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71.xml" ContentType="application/vnd.openxmlformats-officedocument.spreadsheetml.worksheet+xml"/>
  <Override PartName="/xl/worksheets/sheet13.xml" ContentType="application/vnd.openxmlformats-officedocument.spreadsheetml.worksheet+xml"/>
  <Override PartName="/xl/worksheets/sheet60.xml" ContentType="application/vnd.openxmlformats-officedocument.spreadsheetml.worksheet+xml"/>
  <Override PartName="/xl/styles.xml" ContentType="application/vnd.openxmlformats-officedocument.spreadsheetml.styles+xml"/>
  <Override PartName="/xl/comments8.xml" ContentType="application/vnd.openxmlformats-officedocument.spreadsheetml.comments+xml"/>
  <Override PartName="/xl/drawings/drawing39.xml" ContentType="application/vnd.openxmlformats-officedocument.drawing+xml"/>
  <Override PartName="/xl/externalLinks/externalLink27.xml" ContentType="application/vnd.openxmlformats-officedocument.spreadsheetml.externalLink+xml"/>
  <Override PartName="/xl/drawings/drawing17.xml" ContentType="application/vnd.openxmlformats-officedocument.drawing+xml"/>
  <Override PartName="/xl/comments29.xml" ContentType="application/vnd.openxmlformats-officedocument.spreadsheetml.comments+xml"/>
  <Override PartName="/xl/drawings/drawing28.xml" ContentType="application/vnd.openxmlformats-officedocument.drawing+xml"/>
  <Default Extension="xml" ContentType="application/xml"/>
  <Override PartName="/xl/externalLinks/externalLink5.xml" ContentType="application/vnd.openxmlformats-officedocument.spreadsheetml.externalLink+xml"/>
  <Override PartName="/xl/externalLinks/externalLink16.xml" ContentType="application/vnd.openxmlformats-officedocument.spreadsheetml.externalLink+xml"/>
  <Override PartName="/xl/drawings/drawing2.xml" ContentType="application/vnd.openxmlformats-officedocument.drawing+xml"/>
  <Override PartName="/xl/comments18.xml" ContentType="application/vnd.openxmlformats-officedocument.spreadsheetml.comments+xml"/>
  <Override PartName="/xl/comments65.xml" ContentType="application/vnd.openxmlformats-officedocument.spreadsheetml.comments+xml"/>
  <Override PartName="/xl/worksheets/sheet3.xml" ContentType="application/vnd.openxmlformats-officedocument.spreadsheetml.worksheet+xml"/>
  <Override PartName="/xl/comments54.xml" ContentType="application/vnd.openxmlformats-officedocument.spreadsheetml.comments+xml"/>
  <Override PartName="/xl/externalLinks/externalLink30.xml" ContentType="application/vnd.openxmlformats-officedocument.spreadsheetml.externalLink+xml"/>
  <Override PartName="/xl/drawings/drawing20.xml" ContentType="application/vnd.openxmlformats-officedocument.drawing+xml"/>
  <Override PartName="/xl/comments43.xml" ContentType="application/vnd.openxmlformats-officedocument.spreadsheetml.comments+xml"/>
  <Override PartName="/xl/drawings/drawing31.xml" ContentType="application/vnd.openxmlformats-officedocument.drawing+xml"/>
  <Override PartName="/xl/worksheets/sheet29.xml" ContentType="application/vnd.openxmlformats-officedocument.spreadsheetml.worksheet+xml"/>
  <Override PartName="/xl/worksheets/sheet76.xml" ContentType="application/vnd.openxmlformats-officedocument.spreadsheetml.worksheet+xml"/>
  <Override PartName="/xl/comments21.xml" ContentType="application/vnd.openxmlformats-officedocument.spreadsheetml.comments+xml"/>
  <Override PartName="/xl/comments32.xml" ContentType="application/vnd.openxmlformats-officedocument.spreadsheetml.comments+xml"/>
  <Override PartName="/xl/worksheets/sheet18.xml" ContentType="application/vnd.openxmlformats-officedocument.spreadsheetml.worksheet+xml"/>
  <Override PartName="/xl/worksheets/sheet54.xml" ContentType="application/vnd.openxmlformats-officedocument.spreadsheetml.worksheet+xml"/>
  <Override PartName="/xl/worksheets/sheet65.xml" ContentType="application/vnd.openxmlformats-officedocument.spreadsheetml.worksheet+xml"/>
  <Override PartName="/xl/comments10.xml" ContentType="application/vnd.openxmlformats-officedocument.spreadsheetml.comments+xml"/>
  <Override PartName="/xl/printerSettings/printerSettings2.bin" ContentType="application/vnd.openxmlformats-officedocument.spreadsheetml.printerSettings"/>
  <Override PartName="/xl/worksheets/sheet25.xml" ContentType="application/vnd.openxmlformats-officedocument.spreadsheetml.worksheet+xml"/>
  <Override PartName="/xl/worksheets/sheet43.xml" ContentType="application/vnd.openxmlformats-officedocument.spreadsheetml.worksheet+xml"/>
  <Override PartName="/xl/worksheets/sheet72.xml" ContentType="application/vnd.openxmlformats-officedocument.spreadsheetml.worksheet+xml"/>
  <Default Extension="bin" ContentType="application/vnd.openxmlformats-officedocument.oleObject"/>
  <Default Extension="png" ContentType="image/png"/>
  <Override PartName="/xl/worksheets/sheet14.xml" ContentType="application/vnd.openxmlformats-officedocument.spreadsheetml.worksheet+xml"/>
  <Override PartName="/xl/worksheets/sheet32.xml" ContentType="application/vnd.openxmlformats-officedocument.spreadsheetml.worksheet+xml"/>
  <Override PartName="/xl/worksheets/sheet50.xml" ContentType="application/vnd.openxmlformats-officedocument.spreadsheetml.worksheet+xml"/>
  <Override PartName="/xl/worksheets/sheet61.xml" ContentType="application/vnd.openxmlformats-officedocument.spreadsheetml.worksheet+xml"/>
  <Override PartName="/xl/comments9.xml" ContentType="application/vnd.openxmlformats-officedocument.spreadsheetml.comments+xml"/>
  <Override PartName="/xl/drawings/drawing7.xml" ContentType="application/vnd.openxmlformats-officedocument.drawing+xml"/>
  <Override PartName="/xl/drawings/drawing29.xml" ContentType="application/vnd.openxmlformats-officedocument.drawing+xml"/>
  <Override PartName="/xl/worksheets/sheet8.xml" ContentType="application/vnd.openxmlformats-officedocument.spreadsheetml.worksheet+xml"/>
  <Override PartName="/xl/worksheets/sheet21.xml" ContentType="application/vnd.openxmlformats-officedocument.spreadsheetml.worksheet+xml"/>
  <Override PartName="/xl/externalLinks/externalLink6.xml" ContentType="application/vnd.openxmlformats-officedocument.spreadsheetml.externalLink+xml"/>
  <Override PartName="/xl/externalLinks/externalLink17.xml" ContentType="application/vnd.openxmlformats-officedocument.spreadsheetml.externalLink+xml"/>
  <Override PartName="/xl/externalLinks/externalLink28.xml" ContentType="application/vnd.openxmlformats-officedocument.spreadsheetml.externalLink+xml"/>
  <Default Extension="emf" ContentType="image/x-emf"/>
  <Override PartName="/xl/drawings/drawing18.xml" ContentType="application/vnd.openxmlformats-officedocument.drawing+xml"/>
  <Override PartName="/xl/comments48.xml" ContentType="application/vnd.openxmlformats-officedocument.spreadsheetml.comments+xml"/>
  <Override PartName="/xl/drawings/drawing36.xml" ContentType="application/vnd.openxmlformats-officedocument.drawing+xml"/>
  <Override PartName="/xl/comments59.xml" ContentType="application/vnd.openxmlformats-officedocument.spreadsheetml.comments+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externalLinks/externalLink24.xml" ContentType="application/vnd.openxmlformats-officedocument.spreadsheetml.externalLink+xml"/>
  <Override PartName="/xl/drawings/drawing3.xml" ContentType="application/vnd.openxmlformats-officedocument.drawing+xml"/>
  <Override PartName="/xl/comments5.xml" ContentType="application/vnd.openxmlformats-officedocument.spreadsheetml.comments+xml"/>
  <Override PartName="/xl/comments19.xml" ContentType="application/vnd.openxmlformats-officedocument.spreadsheetml.comments+xml"/>
  <Override PartName="/xl/comments37.xml" ContentType="application/vnd.openxmlformats-officedocument.spreadsheetml.comments+xml"/>
  <Override PartName="/xl/drawings/drawing25.xml" ContentType="application/vnd.openxmlformats-officedocument.drawing+xml"/>
  <Override PartName="/xl/comments66.xml" ContentType="application/vnd.openxmlformats-officedocument.spreadsheetml.comments+xml"/>
  <Override PartName="/docProps/app.xml" ContentType="application/vnd.openxmlformats-officedocument.extended-properties+xml"/>
  <Override PartName="/xl/externalLinks/externalLink2.xml" ContentType="application/vnd.openxmlformats-officedocument.spreadsheetml.externalLink+xml"/>
  <Override PartName="/xl/externalLinks/externalLink13.xml" ContentType="application/vnd.openxmlformats-officedocument.spreadsheetml.externalLink+xml"/>
  <Override PartName="/xl/drawings/drawing14.xml" ContentType="application/vnd.openxmlformats-officedocument.drawing+xml"/>
  <Override PartName="/xl/comments26.xml" ContentType="application/vnd.openxmlformats-officedocument.spreadsheetml.comments+xml"/>
  <Override PartName="/xl/comments44.xml" ContentType="application/vnd.openxmlformats-officedocument.spreadsheetml.comments+xml"/>
  <Override PartName="/xl/drawings/drawing32.xml" ContentType="application/vnd.openxmlformats-officedocument.drawing+xml"/>
  <Override PartName="/xl/comments55.xml" ContentType="application/vnd.openxmlformats-officedocument.spreadsheetml.comments+xml"/>
  <Override PartName="/xl/worksheets/sheet59.xml" ContentType="application/vnd.openxmlformats-officedocument.spreadsheetml.worksheet+xml"/>
  <Override PartName="/xl/worksheets/sheet77.xml" ContentType="application/vnd.openxmlformats-officedocument.spreadsheetml.worksheet+xml"/>
  <Override PartName="/xl/externalLinks/externalLink20.xml" ContentType="application/vnd.openxmlformats-officedocument.spreadsheetml.externalLink+xml"/>
  <Override PartName="/xl/externalLinks/externalLink31.xml" ContentType="application/vnd.openxmlformats-officedocument.spreadsheetml.externalLink+xml"/>
  <Default Extension="vml" ContentType="application/vnd.openxmlformats-officedocument.vmlDrawing"/>
  <Override PartName="/xl/comments1.xml" ContentType="application/vnd.openxmlformats-officedocument.spreadsheetml.comments+xml"/>
  <Override PartName="/xl/comments15.xml" ContentType="application/vnd.openxmlformats-officedocument.spreadsheetml.comments+xml"/>
  <Override PartName="/xl/drawings/drawing21.xml" ContentType="application/vnd.openxmlformats-officedocument.drawing+xml"/>
  <Override PartName="/xl/comments33.xml" ContentType="application/vnd.openxmlformats-officedocument.spreadsheetml.comments+xml"/>
  <Override PartName="/xl/comments51.xml" ContentType="application/vnd.openxmlformats-officedocument.spreadsheetml.comments+xml"/>
  <Override PartName="/xl/comments62.xml" ContentType="application/vnd.openxmlformats-officedocument.spreadsheetml.comments+xml"/>
  <Override PartName="/xl/printerSettings/printerSettings7.bin" ContentType="application/vnd.openxmlformats-officedocument.spreadsheetml.printerSettings"/>
  <Override PartName="/xl/calcChain.xml" ContentType="application/vnd.openxmlformats-officedocument.spreadsheetml.calcChain+xml"/>
  <Override PartName="/xl/worksheets/sheet19.xml" ContentType="application/vnd.openxmlformats-officedocument.spreadsheetml.worksheet+xml"/>
  <Override PartName="/xl/worksheets/sheet48.xml" ContentType="application/vnd.openxmlformats-officedocument.spreadsheetml.worksheet+xml"/>
  <Override PartName="/xl/worksheets/sheet66.xml" ContentType="application/vnd.openxmlformats-officedocument.spreadsheetml.worksheet+xml"/>
  <Override PartName="/xl/drawings/drawing10.xml" ContentType="application/vnd.openxmlformats-officedocument.drawing+xml"/>
  <Override PartName="/xl/comments22.xml" ContentType="application/vnd.openxmlformats-officedocument.spreadsheetml.comments+xml"/>
  <Override PartName="/xl/comments40.xml" ContentType="application/vnd.openxmlformats-officedocument.spreadsheetml.comments+xml"/>
  <Override PartName="/xl/worksheets/sheet26.xml" ContentType="application/vnd.openxmlformats-officedocument.spreadsheetml.worksheet+xml"/>
  <Override PartName="/xl/worksheets/sheet37.xml" ContentType="application/vnd.openxmlformats-officedocument.spreadsheetml.worksheet+xml"/>
  <Override PartName="/xl/worksheets/sheet55.xml" ContentType="application/vnd.openxmlformats-officedocument.spreadsheetml.worksheet+xml"/>
  <Override PartName="/xl/worksheets/sheet73.xml" ContentType="application/vnd.openxmlformats-officedocument.spreadsheetml.worksheet+xml"/>
  <Override PartName="/xl/comments11.xml" ContentType="application/vnd.openxmlformats-officedocument.spreadsheetml.comments+xml"/>
  <Override PartName="/xl/printerSettings/printerSettings3.bin" ContentType="application/vnd.openxmlformats-officedocument.spreadsheetml.printerSettings"/>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Override PartName="/xl/worksheets/sheet62.xml" ContentType="application/vnd.openxmlformats-officedocument.spreadsheetml.worksheet+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51.xml" ContentType="application/vnd.openxmlformats-officedocument.spreadsheetml.worksheet+xml"/>
  <Override PartName="/xl/externalLinks/externalLink29.xml" ContentType="application/vnd.openxmlformats-officedocument.spreadsheetml.externalLink+xml"/>
  <Override PartName="/xl/theme/theme1.xml" ContentType="application/vnd.openxmlformats-officedocument.theme+xml"/>
  <Override PartName="/xl/drawings/drawing8.xml" ContentType="application/vnd.openxmlformats-officedocument.drawing+xml"/>
  <Override PartName="/xl/drawings/drawing19.xml" ContentType="application/vnd.openxmlformats-officedocument.drawing+xml"/>
  <Override PartName="/xl/worksheets/sheet11.xml" ContentType="application/vnd.openxmlformats-officedocument.spreadsheetml.worksheet+xml"/>
  <Override PartName="/xl/worksheets/sheet40.xml" ContentType="application/vnd.openxmlformats-officedocument.spreadsheetml.worksheet+xml"/>
  <Override PartName="/xl/externalLinks/externalLink7.xml" ContentType="application/vnd.openxmlformats-officedocument.spreadsheetml.externalLink+xml"/>
  <Override PartName="/xl/externalLinks/externalLink18.xml" ContentType="application/vnd.openxmlformats-officedocument.spreadsheetml.externalLink+xml"/>
  <Override PartName="/xl/comments6.xml" ContentType="application/vnd.openxmlformats-officedocument.spreadsheetml.comments+xml"/>
  <Override PartName="/xl/drawings/drawing4.xml" ContentType="application/vnd.openxmlformats-officedocument.drawing+xml"/>
  <Default Extension="wmf" ContentType="image/x-wmf"/>
  <Override PartName="/xl/comments49.xml" ContentType="application/vnd.openxmlformats-officedocument.spreadsheetml.comments+xml"/>
  <Override PartName="/xl/drawings/drawing37.xml" ContentType="application/vnd.openxmlformats-officedocument.drawing+xml"/>
  <Default Extension="rels" ContentType="application/vnd.openxmlformats-package.relationships+xml"/>
  <Override PartName="/xl/worksheets/sheet5.xml" ContentType="application/vnd.openxmlformats-officedocument.spreadsheetml.worksheet+xml"/>
  <Override PartName="/xl/externalLinks/externalLink25.xml" ContentType="application/vnd.openxmlformats-officedocument.spreadsheetml.externalLink+xml"/>
  <Override PartName="/xl/drawings/drawing15.xml" ContentType="application/vnd.openxmlformats-officedocument.drawing+xml"/>
  <Override PartName="/xl/comments27.xml" ContentType="application/vnd.openxmlformats-officedocument.spreadsheetml.comments+xml"/>
  <Override PartName="/xl/comments38.xml" ContentType="application/vnd.openxmlformats-officedocument.spreadsheetml.comments+xml"/>
  <Override PartName="/xl/drawings/drawing26.xml" ContentType="application/vnd.openxmlformats-officedocument.drawing+xml"/>
  <Override PartName="/xl/comments56.xml" ContentType="application/vnd.openxmlformats-officedocument.spreadsheetml.comments+xml"/>
  <Override PartName="/xl/externalLinks/externalLink3.xml" ContentType="application/vnd.openxmlformats-officedocument.spreadsheetml.externalLink+xml"/>
  <Override PartName="/xl/externalLinks/externalLink14.xml" ContentType="application/vnd.openxmlformats-officedocument.spreadsheetml.externalLink+xml"/>
  <Override PartName="/xl/comments2.xml" ContentType="application/vnd.openxmlformats-officedocument.spreadsheetml.comments+xml"/>
  <Override PartName="/xl/comments16.xml" ContentType="application/vnd.openxmlformats-officedocument.spreadsheetml.comments+xml"/>
  <Override PartName="/xl/drawings/drawing22.xml" ContentType="application/vnd.openxmlformats-officedocument.drawing+xml"/>
  <Override PartName="/xl/comments45.xml" ContentType="application/vnd.openxmlformats-officedocument.spreadsheetml.comments+xml"/>
  <Override PartName="/xl/drawings/drawing33.xml" ContentType="application/vnd.openxmlformats-officedocument.drawing+xml"/>
  <Override PartName="/xl/comments63.xml" ContentType="application/vnd.openxmlformats-officedocument.spreadsheetml.comments+xml"/>
  <Override PartName="/xl/worksheets/sheet1.xml" ContentType="application/vnd.openxmlformats-officedocument.spreadsheetml.worksheet+xml"/>
  <Override PartName="/xl/worksheets/sheet49.xml" ContentType="application/vnd.openxmlformats-officedocument.spreadsheetml.worksheet+xml"/>
  <Override PartName="/xl/worksheets/sheet78.xml" ContentType="application/vnd.openxmlformats-officedocument.spreadsheetml.worksheet+xml"/>
  <Override PartName="/xl/externalLinks/externalLink21.xml" ContentType="application/vnd.openxmlformats-officedocument.spreadsheetml.externalLink+xml"/>
  <Override PartName="/xl/drawings/drawing11.xml" ContentType="application/vnd.openxmlformats-officedocument.drawing+xml"/>
  <Override PartName="/xl/comments23.xml" ContentType="application/vnd.openxmlformats-officedocument.spreadsheetml.comments+xml"/>
  <Override PartName="/xl/comments34.xml" ContentType="application/vnd.openxmlformats-officedocument.spreadsheetml.comments+xml"/>
  <Override PartName="/xl/comments52.xml" ContentType="application/vnd.openxmlformats-officedocument.spreadsheetml.comments+xml"/>
  <Override PartName="/xl/worksheets/sheet38.xml" ContentType="application/vnd.openxmlformats-officedocument.spreadsheetml.worksheet+xml"/>
  <Override PartName="/xl/worksheets/sheet67.xml" ContentType="application/vnd.openxmlformats-officedocument.spreadsheetml.worksheet+xml"/>
  <Override PartName="/xl/externalLinks/externalLink10.xml" ContentType="application/vnd.openxmlformats-officedocument.spreadsheetml.externalLink+xml"/>
  <Override PartName="/xl/comments12.xml" ContentType="application/vnd.openxmlformats-officedocument.spreadsheetml.comments+xml"/>
  <Override PartName="/xl/printerSettings/printerSettings4.bin" ContentType="application/vnd.openxmlformats-officedocument.spreadsheetml.printerSettings"/>
  <Override PartName="/xl/comments41.xml" ContentType="application/vnd.openxmlformats-officedocument.spreadsheetml.comments+xml"/>
  <Override PartName="/xl/worksheets/sheet27.xml" ContentType="application/vnd.openxmlformats-officedocument.spreadsheetml.worksheet+xml"/>
  <Override PartName="/xl/worksheets/sheet45.xml" ContentType="application/vnd.openxmlformats-officedocument.spreadsheetml.worksheet+xml"/>
  <Override PartName="/xl/worksheets/sheet56.xml" ContentType="application/vnd.openxmlformats-officedocument.spreadsheetml.worksheet+xml"/>
  <Override PartName="/xl/worksheets/sheet74.xml" ContentType="application/vnd.openxmlformats-officedocument.spreadsheetml.worksheet+xml"/>
  <Override PartName="/xl/comments30.xml" ContentType="application/vnd.openxmlformats-officedocument.spreadsheetml.comments+xml"/>
  <Override PartName="/xl/worksheets/sheet16.xml" ContentType="application/vnd.openxmlformats-officedocument.spreadsheetml.worksheet+xml"/>
  <Override PartName="/xl/worksheets/sheet34.xml" ContentType="application/vnd.openxmlformats-officedocument.spreadsheetml.worksheet+xml"/>
  <Override PartName="/xl/worksheets/sheet52.xml" ContentType="application/vnd.openxmlformats-officedocument.spreadsheetml.worksheet+xml"/>
  <Override PartName="/xl/worksheets/sheet63.xml" ContentType="application/vnd.openxmlformats-officedocument.spreadsheetml.worksheet+xml"/>
  <Override PartName="/xl/drawings/drawing9.xml" ContentType="application/vnd.openxmlformats-officedocument.drawing+xml"/>
  <Override PartName="/xl/worksheets/sheet23.xml" ContentType="application/vnd.openxmlformats-officedocument.spreadsheetml.worksheet+xml"/>
  <Override PartName="/xl/worksheets/sheet41.xml" ContentType="application/vnd.openxmlformats-officedocument.spreadsheetml.worksheet+xml"/>
  <Override PartName="/xl/worksheets/sheet70.xml" ContentType="application/vnd.openxmlformats-officedocument.spreadsheetml.worksheet+xml"/>
  <Override PartName="/xl/externalLinks/externalLink8.xml" ContentType="application/vnd.openxmlformats-officedocument.spreadsheetml.externalLink+xml"/>
  <Override PartName="/xl/externalLinks/externalLink19.xml" ContentType="application/vnd.openxmlformats-officedocument.spreadsheetml.externalLink+xml"/>
  <Override PartName="/xl/drawings/drawing38.xml" ContentType="application/vnd.openxmlformats-officedocument.drawing+xml"/>
  <Override PartName="/xl/worksheets/sheet6.xml" ContentType="application/vnd.openxmlformats-officedocument.spreadsheetml.worksheet+xml"/>
  <Override PartName="/xl/worksheets/sheet12.xml" ContentType="application/vnd.openxmlformats-officedocument.spreadsheetml.worksheet+xml"/>
  <Override PartName="/xl/worksheets/sheet30.xml" ContentType="application/vnd.openxmlformats-officedocument.spreadsheetml.worksheet+xml"/>
  <Override PartName="/xl/comments7.xml" ContentType="application/vnd.openxmlformats-officedocument.spreadsheetml.comments+xml"/>
  <Override PartName="/xl/drawings/drawing5.xml" ContentType="application/vnd.openxmlformats-officedocument.drawing+xml"/>
  <Override PartName="/xl/comments39.xml" ContentType="application/vnd.openxmlformats-officedocument.spreadsheetml.comments+xml"/>
  <Override PartName="/xl/drawings/drawing27.xml" ContentType="application/vnd.openxmlformats-officedocument.drawing+xml"/>
  <Override PartName="/xl/externalLinks/externalLink4.xml" ContentType="application/vnd.openxmlformats-officedocument.spreadsheetml.externalLink+xml"/>
  <Override PartName="/xl/externalLinks/externalLink15.xml" ContentType="application/vnd.openxmlformats-officedocument.spreadsheetml.externalLink+xml"/>
  <Override PartName="/xl/externalLinks/externalLink26.xml" ContentType="application/vnd.openxmlformats-officedocument.spreadsheetml.externalLink+xml"/>
  <Override PartName="/xl/drawings/drawing16.xml" ContentType="application/vnd.openxmlformats-officedocument.drawing+xml"/>
  <Override PartName="/xl/comments28.xml" ContentType="application/vnd.openxmlformats-officedocument.spreadsheetml.comments+xml"/>
  <Override PartName="/xl/comments46.xml" ContentType="application/vnd.openxmlformats-officedocument.spreadsheetml.comments+xml"/>
  <Override PartName="/xl/drawings/drawing34.xml" ContentType="application/vnd.openxmlformats-officedocument.drawing+xml"/>
  <Override PartName="/xl/comments57.xml" ContentType="application/vnd.openxmlformats-officedocument.spreadsheetml.comments+xml"/>
  <Override PartName="/xl/worksheets/sheet2.xml" ContentType="application/vnd.openxmlformats-officedocument.spreadsheetml.worksheet+xml"/>
  <Override PartName="/xl/externalLinks/externalLink22.xml" ContentType="application/vnd.openxmlformats-officedocument.spreadsheetml.externalLink+xml"/>
  <Override PartName="/xl/drawings/drawing1.xml" ContentType="application/vnd.openxmlformats-officedocument.drawing+xml"/>
  <Override PartName="/xl/comments3.xml" ContentType="application/vnd.openxmlformats-officedocument.spreadsheetml.comments+xml"/>
  <Override PartName="/xl/comments17.xml" ContentType="application/vnd.openxmlformats-officedocument.spreadsheetml.comments+xml"/>
  <Override PartName="/xl/comments35.xml" ContentType="application/vnd.openxmlformats-officedocument.spreadsheetml.comments+xml"/>
  <Override PartName="/xl/drawings/drawing23.xml" ContentType="application/vnd.openxmlformats-officedocument.drawing+xml"/>
  <Override PartName="/xl/comments64.xml" ContentType="application/vnd.openxmlformats-officedocument.spreadsheetml.comments+xml"/>
  <Override PartName="/xl/worksheets/sheet68.xml" ContentType="application/vnd.openxmlformats-officedocument.spreadsheetml.worksheet+xml"/>
  <Override PartName="/xl/externalLinks/externalLink11.xml" ContentType="application/vnd.openxmlformats-officedocument.spreadsheetml.externalLink+xml"/>
  <Override PartName="/xl/drawings/drawing12.xml" ContentType="application/vnd.openxmlformats-officedocument.drawing+xml"/>
  <Override PartName="/xl/comments24.xml" ContentType="application/vnd.openxmlformats-officedocument.spreadsheetml.comments+xml"/>
  <Override PartName="/xl/comments42.xml" ContentType="application/vnd.openxmlformats-officedocument.spreadsheetml.comments+xml"/>
  <Override PartName="/xl/drawings/drawing30.xml" ContentType="application/vnd.openxmlformats-officedocument.drawing+xml"/>
  <Override PartName="/xl/comments53.xml" ContentType="application/vnd.openxmlformats-officedocument.spreadsheetml.comments+xml"/>
  <Override PartName="/xl/worksheets/sheet28.xml" ContentType="application/vnd.openxmlformats-officedocument.spreadsheetml.worksheet+xml"/>
  <Override PartName="/xl/worksheets/sheet39.xml" ContentType="application/vnd.openxmlformats-officedocument.spreadsheetml.worksheet+xml"/>
  <Override PartName="/xl/worksheets/sheet57.xml" ContentType="application/vnd.openxmlformats-officedocument.spreadsheetml.worksheet+xml"/>
  <Override PartName="/xl/worksheets/sheet75.xml" ContentType="application/vnd.openxmlformats-officedocument.spreadsheetml.worksheet+xml"/>
  <Override PartName="/xl/comments13.xml" ContentType="application/vnd.openxmlformats-officedocument.spreadsheetml.comments+xml"/>
  <Override PartName="/xl/printerSettings/printerSettings5.bin" ContentType="application/vnd.openxmlformats-officedocument.spreadsheetml.printerSettings"/>
  <Override PartName="/xl/comments31.xml" ContentType="application/vnd.openxmlformats-officedocument.spreadsheetml.comments+xml"/>
  <Override PartName="/xl/comments60.xml" ContentType="application/vnd.openxmlformats-officedocument.spreadsheetml.comments+xml"/>
  <Override PartName="/xl/worksheets/sheet17.xml" ContentType="application/vnd.openxmlformats-officedocument.spreadsheetml.worksheet+xml"/>
  <Override PartName="/xl/worksheets/sheet46.xml" ContentType="application/vnd.openxmlformats-officedocument.spreadsheetml.worksheet+xml"/>
  <Override PartName="/xl/worksheets/sheet64.xml" ContentType="application/vnd.openxmlformats-officedocument.spreadsheetml.worksheet+xml"/>
  <Override PartName="/xl/comments20.xml" ContentType="application/vnd.openxmlformats-officedocument.spreadsheetml.comments+xml"/>
  <Override PartName="/xl/worksheets/sheet53.xml" ContentType="application/vnd.openxmlformats-officedocument.spreadsheetml.worksheet+xml"/>
  <Override PartName="/xl/printerSettings/printerSettings1.bin" ContentType="application/vnd.openxmlformats-officedocument.spreadsheetml.printerSettings"/>
  <Override PartName="/xl/worksheets/sheet42.xml" ContentType="application/vnd.openxmlformats-officedocument.spreadsheetml.worksheet+xml"/>
  <Override PartName="/xl/externalLinks/externalLink9.xml" ContentType="application/vnd.openxmlformats-officedocument.spreadsheetml.externalLink+xml"/>
  <Override PartName="/xl/drawings/drawing6.xml" ContentType="application/vnd.openxmlformats-officedocument.drawing+xml"/>
  <Override PartName="/xl/worksheets/sheet7.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comments58.xml" ContentType="application/vnd.openxmlformats-officedocument.spreadsheetml.comments+xml"/>
  <Override PartName="/xl/comments4.xml" ContentType="application/vnd.openxmlformats-officedocument.spreadsheetml.comments+xml"/>
  <Override PartName="/xl/comments47.xml" ContentType="application/vnd.openxmlformats-officedocument.spreadsheetml.comments+xml"/>
  <Override PartName="/xl/drawings/drawing35.xml" ContentType="application/vnd.openxmlformats-officedocument.drawing+xml"/>
  <Override PartName="/xl/externalLinks/externalLink23.xml" ContentType="application/vnd.openxmlformats-officedocument.spreadsheetml.externalLink+xml"/>
  <Override PartName="/xl/drawings/drawing13.xml" ContentType="application/vnd.openxmlformats-officedocument.drawing+xml"/>
  <Override PartName="/xl/comments25.xml" ContentType="application/vnd.openxmlformats-officedocument.spreadsheetml.comments+xml"/>
  <Override PartName="/xl/comments36.xml" ContentType="application/vnd.openxmlformats-officedocument.spreadsheetml.comments+xml"/>
  <Override PartName="/xl/drawings/drawing24.xml" ContentType="application/vnd.openxmlformats-officedocument.drawing+xml"/>
  <Override PartName="/docProps/custom.xml" ContentType="application/vnd.openxmlformats-officedocument.custom-properties+xml"/>
  <Override PartName="/xl/worksheets/sheet69.xml" ContentType="application/vnd.openxmlformats-officedocument.spreadsheetml.worksheet+xml"/>
  <Override PartName="/xl/externalLinks/externalLink1.xml" ContentType="application/vnd.openxmlformats-officedocument.spreadsheetml.externalLink+xml"/>
  <Override PartName="/xl/externalLinks/externalLink12.xml" ContentType="application/vnd.openxmlformats-officedocument.spreadsheetml.externalLink+xml"/>
  <Override PartName="/xl/comments14.xml" ContentType="application/vnd.openxmlformats-officedocument.spreadsheetml.comments+xml"/>
  <Override PartName="/xl/printerSettings/printerSettings6.bin" ContentType="application/vnd.openxmlformats-officedocument.spreadsheetml.printerSettings"/>
  <Override PartName="/xl/comments61.xml" ContentType="application/vnd.openxmlformats-officedocument.spreadsheetml.comments+xml"/>
  <Override PartName="/xl/worksheets/sheet47.xml" ContentType="application/vnd.openxmlformats-officedocument.spreadsheetml.worksheet+xml"/>
  <Override PartName="/xl/worksheets/sheet58.xml" ContentType="application/vnd.openxmlformats-officedocument.spreadsheetml.worksheet+xml"/>
  <Override PartName="/xl/sharedStrings.xml" ContentType="application/vnd.openxmlformats-officedocument.spreadsheetml.sharedStrings+xml"/>
  <Override PartName="/xl/comments50.xml" ContentType="application/vnd.openxmlformats-officedocument.spreadsheetml.comments+xml"/>
  <Override PartName="/xl/worksheets/sheet36.xml" ContentType="application/vnd.openxmlformats-officedocument.spreadsheetml.worksheet+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6" rupBuild="4507"/>
  <workbookPr defaultThemeVersion="124226"/>
  <bookViews>
    <workbookView xWindow="0" yWindow="0" windowWidth="20490" windowHeight="9075" tabRatio="741" activeTab="2"/>
  </bookViews>
  <sheets>
    <sheet name="综述" sheetId="37" r:id="rId1"/>
    <sheet name="检定项目标明颜色说明" sheetId="61" r:id="rId2"/>
    <sheet name="各实验室规程总结" sheetId="1" r:id="rId3"/>
    <sheet name="JJG 124-2005电流电压" sheetId="3" r:id="rId4"/>
    <sheet name="JJG124-2005不确定度算法" sheetId="43" r:id="rId5"/>
    <sheet name="JJG 440-2008 工频单相相位表" sheetId="40" r:id="rId6"/>
    <sheet name="JJG 603-2006 频率表" sheetId="39" r:id="rId7"/>
    <sheet name="JJG 603-2006不确定度算法" sheetId="46" r:id="rId8"/>
    <sheet name="JJG 622-1997绝缘电阻" sheetId="4" r:id="rId9"/>
    <sheet name="JJG 622-1997不确定度算法" sheetId="44" r:id="rId10"/>
    <sheet name="JJG 1005-2005 电子式绝缘电阻表" sheetId="5" r:id="rId11"/>
    <sheet name="JJG 1005-2005 不确定算法同绝缘电阻" sheetId="47" r:id="rId12"/>
    <sheet name="JJG 366-2004 接地电阻表" sheetId="6" r:id="rId13"/>
    <sheet name="JJG 366-2004不确定度" sheetId="45" r:id="rId14"/>
    <sheet name="JJG 445-1986 直流标准电压源检定规程" sheetId="7" r:id="rId15"/>
    <sheet name="JJG(航天) 38-1987 直流标准电流源检定规程" sheetId="8" r:id="rId16"/>
    <sheet name="JJG(航天)34-1999 交流数字电压表检定规程" sheetId="9" r:id="rId17"/>
    <sheet name="JJG(航天)34-1999 -交流电压测量-单相" sheetId="75" r:id="rId18"/>
    <sheet name="JJG(航天)34-1999 -交流电压测量-两相" sheetId="76" r:id="rId19"/>
    <sheet name="JJG(航天)34-1999 -交流电压测量-三相" sheetId="77" r:id="rId20"/>
    <sheet name="JJG(航天)34-1999不确定算法" sheetId="67" r:id="rId21"/>
    <sheet name="JJG 410-94 精密交流电压校准源检定规程" sheetId="10" r:id="rId22"/>
    <sheet name="JJG(航天) 51-1999 交流标准电流源检定规程" sheetId="11" r:id="rId23"/>
    <sheet name="JJG(航天) 51-1999 不确定度算法" sheetId="69" r:id="rId24"/>
    <sheet name="JJG 315-1983 直流数字电压表检定规程（试行）" sheetId="12" r:id="rId25"/>
    <sheet name="JJG 315-1983-直流电压测量-一列（正负极性）" sheetId="71" r:id="rId26"/>
    <sheet name="JJG 315-1983-直流电压测量-一列多通道（正负极性）" sheetId="72" r:id="rId27"/>
    <sheet name="JJG 315-1983-直流电压测量-一列（非正负极）" sheetId="83" r:id="rId28"/>
    <sheet name="JJG 315-1983-直流电压测量-三列多通道" sheetId="73" r:id="rId29"/>
    <sheet name="JJG 598-1989 直流数字电流表检定规程（试行）" sheetId="13" r:id="rId30"/>
    <sheet name="JJG 598-1989-直流电流测量-一列（正负极性）" sheetId="74" r:id="rId31"/>
    <sheet name="JJG 598-1989-直流电流测量-一列（非正负极）" sheetId="82" r:id="rId32"/>
    <sheet name="JJG（航天）35-1999 交流数字电流表检定规程" sheetId="15" r:id="rId33"/>
    <sheet name="JJG(航天)35-1999-交流电流测量-单相" sheetId="78" r:id="rId34"/>
    <sheet name="JJG(航天)35-1999-交流电流测量-两相" sheetId="79" r:id="rId35"/>
    <sheet name="JJG(航天)35-1999-交流电流测量-三相" sheetId="80" r:id="rId36"/>
    <sheet name="JJG（航天）35-1999不确定度算法" sheetId="68" r:id="rId37"/>
    <sheet name="JJG 724-1991 直流数字式欧姆表检定规程" sheetId="14" r:id="rId38"/>
    <sheet name="JJG 1052-2009 回路电阻测试仪、直阻仪检定" sheetId="16" r:id="rId39"/>
    <sheet name="JJG 1052-2009直阻仪不确定度算法" sheetId="52" r:id="rId40"/>
    <sheet name="JJG 1052-2009 回路不确定度算法" sheetId="53" r:id="rId41"/>
    <sheet name="JJG 166-1993直流电阻器" sheetId="17" r:id="rId42"/>
    <sheet name="JJG 166-1993  不确定度算法" sheetId="54" r:id="rId43"/>
    <sheet name="JJG 125-2004 直流电桥检定规程" sheetId="18" r:id="rId44"/>
    <sheet name="JJG 125-2004 不确定度算法" sheetId="55" r:id="rId45"/>
    <sheet name="JJG 982-2003 直流电阻箱检定规程" sheetId="19" r:id="rId46"/>
    <sheet name="JJG 982-2003不确定度算法" sheetId="56" r:id="rId47"/>
    <sheet name="JJG 984-2004 接地导通电阻测试仪检定规程" sheetId="20" r:id="rId48"/>
    <sheet name="JJG 984-2004 不确定度算法" sheetId="57" r:id="rId49"/>
    <sheet name="JJG 837-2003 直流低电阻表检定规程" sheetId="21" r:id="rId50"/>
    <sheet name="JJG 837-2003 不确定度算法" sheetId="58" r:id="rId51"/>
    <sheet name="JJF 1101-2003 环境试验设备温度、湿度校准规范" sheetId="41" r:id="rId52"/>
    <sheet name="SD112-83 直流仪表检验装置检定方法" sheetId="42" r:id="rId53"/>
    <sheet name="SD112-83 不确定度算法" sheetId="59" r:id="rId54"/>
    <sheet name="JJG 1072-2011 直流高压高值电阻器" sheetId="22" r:id="rId55"/>
    <sheet name="JJG 1072-2011不确定度算法" sheetId="60" r:id="rId56"/>
    <sheet name="JJG 603-2006 频率表检定规程" sheetId="23" r:id="rId57"/>
    <sheet name="JJG 603-2006数表不确定度算法" sheetId="63" r:id="rId58"/>
    <sheet name="JJG 440-2008 工频单相相位表检定规程" sheetId="24" r:id="rId59"/>
    <sheet name="JJG 440-2008 不确定度算法" sheetId="64" r:id="rId60"/>
    <sheet name="JJG 410-94 精密交流电压校准源检定" sheetId="25" r:id="rId61"/>
    <sheet name="JJG 410-94 不确定度算法" sheetId="66" r:id="rId62"/>
    <sheet name="JJG 780-92 交流数字功率表检定规程" sheetId="26" r:id="rId63"/>
    <sheet name="国家电网公司交流采样测量装置校验规范" sheetId="27" r:id="rId64"/>
    <sheet name="JJG 1085-2013《标准电能表检定规程》" sheetId="28" r:id="rId65"/>
    <sheet name="JJG 596-2012 电子式交流电能表检定规程" sheetId="29" r:id="rId66"/>
    <sheet name="JJG 597-2005 交流电能表检定装置" sheetId="30" r:id="rId67"/>
    <sheet name="JJG-313-2010测量用电流互感器" sheetId="31" r:id="rId68"/>
    <sheet name="JJF 1075-2001 钳形电流表校准规范" sheetId="32" r:id="rId69"/>
    <sheet name="JJF 1075-2001不确定算法" sheetId="48" r:id="rId70"/>
    <sheet name="JJG970-2002《变压比电桥》" sheetId="33" r:id="rId71"/>
    <sheet name="JJG 970-2002 不确定度算法" sheetId="49" r:id="rId72"/>
    <sheet name="JJG 169-2010《互感器校验仪》" sheetId="34" r:id="rId73"/>
    <sheet name="JJG 169-2010不确定度算法" sheetId="62" r:id="rId74"/>
    <sheet name="JJF 1264-2010 互感器负荷箱校准规范" sheetId="35" r:id="rId75"/>
    <sheet name="JJF 1264-2010 不确定度算法" sheetId="51" r:id="rId76"/>
    <sheet name="JJG126-1995 交流电量变换为直流电量电工测量变送器" sheetId="36" r:id="rId77"/>
    <sheet name="JJG126-1995不确定度算法" sheetId="70" r:id="rId78"/>
  </sheets>
  <externalReferences>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s>
  <definedNames>
    <definedName name="_xlnm._FilterDatabase" localSheetId="8" hidden="1">'JJG 622-1997绝缘电阻'!$A$1:$A$52</definedName>
    <definedName name="_xlnm.Print_Area" localSheetId="28">'JJG 315-1983-直流电压测量-三列多通道'!$A$1:$L$104</definedName>
    <definedName name="_xlnm.Print_Area" localSheetId="25">'JJG 315-1983-直流电压测量-一列（正负极性）'!$A$13:$E$42</definedName>
    <definedName name="_xlnm.Print_Area" localSheetId="26">'JJG 315-1983-直流电压测量-一列多通道（正负极性）'!$A$1:$K$209</definedName>
    <definedName name="_xlnm.Print_Titles" localSheetId="28">'JJG 315-1983-直流电压测量-三列多通道'!$1:$2</definedName>
    <definedName name="_xlnm.Print_Titles" localSheetId="25">'JJG 315-1983-直流电压测量-一列（正负极性）'!$13:$15</definedName>
    <definedName name="_xlnm.Print_Titles" localSheetId="26">'JJG 315-1983-直流电压测量-一列多通道（正负极性）'!$1:$2</definedName>
    <definedName name="_xlnm.Print_Titles" localSheetId="30">'JJG 598-1989-直流电流测量-一列（正负极性）'!$1:$3</definedName>
  </definedNames>
  <calcPr calcId="125725"/>
</workbook>
</file>

<file path=xl/calcChain.xml><?xml version="1.0" encoding="utf-8"?>
<calcChain xmlns="http://schemas.openxmlformats.org/spreadsheetml/2006/main">
  <c r="L28" i="24"/>
  <c r="A1" i="73" l="1"/>
  <c r="C15" i="83"/>
  <c r="I15" s="1"/>
  <c r="C14"/>
  <c r="I14" s="1"/>
  <c r="C13"/>
  <c r="I13" s="1"/>
  <c r="C12"/>
  <c r="I12" s="1"/>
  <c r="C11"/>
  <c r="I11" s="1"/>
  <c r="C10"/>
  <c r="I10" s="1"/>
  <c r="C9"/>
  <c r="I9" s="1"/>
  <c r="C8"/>
  <c r="I8" s="1"/>
  <c r="C7"/>
  <c r="I7" s="1"/>
  <c r="C6"/>
  <c r="I6" s="1"/>
  <c r="C5"/>
  <c r="I5" s="1"/>
  <c r="C4"/>
  <c r="I4" s="1"/>
  <c r="C3"/>
  <c r="I3" s="1"/>
  <c r="C15" i="82"/>
  <c r="I15" s="1"/>
  <c r="C14"/>
  <c r="I14" s="1"/>
  <c r="C13"/>
  <c r="I13" s="1"/>
  <c r="C12"/>
  <c r="I12" s="1"/>
  <c r="C11"/>
  <c r="I11" s="1"/>
  <c r="C10"/>
  <c r="I10" s="1"/>
  <c r="C9"/>
  <c r="I9" s="1"/>
  <c r="C8"/>
  <c r="I8" s="1"/>
  <c r="C7"/>
  <c r="I7" s="1"/>
  <c r="C6"/>
  <c r="I6"/>
  <c r="C5"/>
  <c r="I5" s="1"/>
  <c r="C4"/>
  <c r="I4"/>
  <c r="C3"/>
  <c r="I3" s="1"/>
  <c r="E59" i="8"/>
  <c r="E60"/>
  <c r="I60" s="1"/>
  <c r="E61"/>
  <c r="I61" s="1"/>
  <c r="E62"/>
  <c r="I62"/>
  <c r="E63"/>
  <c r="I63" s="1"/>
  <c r="E64"/>
  <c r="E65"/>
  <c r="E66"/>
  <c r="I66"/>
  <c r="E67"/>
  <c r="I67" s="1"/>
  <c r="E58"/>
  <c r="H82"/>
  <c r="H81"/>
  <c r="H80"/>
  <c r="H79"/>
  <c r="H78"/>
  <c r="H77"/>
  <c r="H76"/>
  <c r="H75"/>
  <c r="H74"/>
  <c r="H73"/>
  <c r="H72"/>
  <c r="H71"/>
  <c r="H70"/>
  <c r="H69"/>
  <c r="H68"/>
  <c r="H67"/>
  <c r="H66"/>
  <c r="H65"/>
  <c r="I65"/>
  <c r="I64"/>
  <c r="H64"/>
  <c r="H63"/>
  <c r="H62"/>
  <c r="H61"/>
  <c r="H60"/>
  <c r="I59"/>
  <c r="H59"/>
  <c r="H58"/>
  <c r="I58"/>
  <c r="A52"/>
  <c r="H25"/>
  <c r="H26"/>
  <c r="H27"/>
  <c r="H28"/>
  <c r="H29"/>
  <c r="H30"/>
  <c r="H31"/>
  <c r="H32"/>
  <c r="H33"/>
  <c r="H34"/>
  <c r="H35"/>
  <c r="H36"/>
  <c r="H37"/>
  <c r="H38"/>
  <c r="H39"/>
  <c r="H40"/>
  <c r="H41"/>
  <c r="H42"/>
  <c r="H43"/>
  <c r="H44"/>
  <c r="H45"/>
  <c r="H46"/>
  <c r="I20" i="80"/>
  <c r="J20"/>
  <c r="K20"/>
  <c r="I21"/>
  <c r="J21"/>
  <c r="K21"/>
  <c r="K19"/>
  <c r="J19"/>
  <c r="I19"/>
  <c r="I15"/>
  <c r="J15"/>
  <c r="K15"/>
  <c r="I16"/>
  <c r="J16"/>
  <c r="K16"/>
  <c r="I17"/>
  <c r="J17"/>
  <c r="K17"/>
  <c r="I18"/>
  <c r="J18"/>
  <c r="K18"/>
  <c r="K14"/>
  <c r="J14"/>
  <c r="I14"/>
  <c r="I5"/>
  <c r="J5"/>
  <c r="K5"/>
  <c r="I6"/>
  <c r="J6"/>
  <c r="K6"/>
  <c r="I7"/>
  <c r="J7"/>
  <c r="K7"/>
  <c r="I8"/>
  <c r="J8"/>
  <c r="K8"/>
  <c r="I9"/>
  <c r="J9"/>
  <c r="K9"/>
  <c r="I10"/>
  <c r="J10"/>
  <c r="K10"/>
  <c r="I11"/>
  <c r="J11"/>
  <c r="K11"/>
  <c r="I12"/>
  <c r="J12"/>
  <c r="K12"/>
  <c r="I13"/>
  <c r="J13"/>
  <c r="K13"/>
  <c r="K4"/>
  <c r="J4"/>
  <c r="I4"/>
  <c r="L14"/>
  <c r="L4"/>
  <c r="K21" i="79"/>
  <c r="M21"/>
  <c r="K22"/>
  <c r="M22"/>
  <c r="K23"/>
  <c r="M23"/>
  <c r="K24"/>
  <c r="M24"/>
  <c r="K25"/>
  <c r="M25"/>
  <c r="K26"/>
  <c r="M26"/>
  <c r="K27"/>
  <c r="M27"/>
  <c r="K28"/>
  <c r="M28"/>
  <c r="K29"/>
  <c r="M29"/>
  <c r="M20"/>
  <c r="K20"/>
  <c r="O20"/>
  <c r="K5"/>
  <c r="M5"/>
  <c r="K6"/>
  <c r="M6"/>
  <c r="K7"/>
  <c r="M7"/>
  <c r="K8"/>
  <c r="M8"/>
  <c r="K9"/>
  <c r="M9"/>
  <c r="K10"/>
  <c r="M10"/>
  <c r="K11"/>
  <c r="M11"/>
  <c r="K12"/>
  <c r="M12"/>
  <c r="K13"/>
  <c r="M13"/>
  <c r="M4"/>
  <c r="K4"/>
  <c r="O4"/>
  <c r="K52" i="77"/>
  <c r="J52"/>
  <c r="I52"/>
  <c r="K51"/>
  <c r="J51"/>
  <c r="I51"/>
  <c r="K50"/>
  <c r="J50"/>
  <c r="I50"/>
  <c r="K49"/>
  <c r="J49"/>
  <c r="I49"/>
  <c r="K48"/>
  <c r="J48"/>
  <c r="I48"/>
  <c r="K47"/>
  <c r="J47"/>
  <c r="I47"/>
  <c r="K46"/>
  <c r="J46"/>
  <c r="I46"/>
  <c r="K45"/>
  <c r="J45"/>
  <c r="I45"/>
  <c r="K44"/>
  <c r="J44"/>
  <c r="I44"/>
  <c r="L43"/>
  <c r="K43"/>
  <c r="J43"/>
  <c r="I43"/>
  <c r="K42"/>
  <c r="J42"/>
  <c r="I42"/>
  <c r="B19" i="76"/>
  <c r="A19"/>
  <c r="K18"/>
  <c r="J18"/>
  <c r="I18"/>
  <c r="A18"/>
  <c r="K17"/>
  <c r="I17"/>
  <c r="G17"/>
  <c r="E17"/>
  <c r="C17"/>
  <c r="M16"/>
  <c r="K16"/>
  <c r="I16"/>
  <c r="G16"/>
  <c r="E16"/>
  <c r="C16"/>
  <c r="K15"/>
  <c r="I15"/>
  <c r="G15"/>
  <c r="E15"/>
  <c r="C15"/>
  <c r="M14"/>
  <c r="K14"/>
  <c r="I14"/>
  <c r="G14"/>
  <c r="E14"/>
  <c r="C14"/>
  <c r="K13"/>
  <c r="I13"/>
  <c r="G13"/>
  <c r="E13"/>
  <c r="C13"/>
  <c r="M12"/>
  <c r="K12"/>
  <c r="I12"/>
  <c r="G12"/>
  <c r="E12"/>
  <c r="C12"/>
  <c r="K11"/>
  <c r="I11"/>
  <c r="G11"/>
  <c r="E11"/>
  <c r="C11"/>
  <c r="M10"/>
  <c r="K10"/>
  <c r="I10"/>
  <c r="G10"/>
  <c r="E10"/>
  <c r="C10"/>
  <c r="K9"/>
  <c r="I9"/>
  <c r="G9"/>
  <c r="E9"/>
  <c r="C9"/>
  <c r="M8"/>
  <c r="K8"/>
  <c r="I8"/>
  <c r="G8"/>
  <c r="E8"/>
  <c r="C8"/>
  <c r="A8"/>
  <c r="K6"/>
  <c r="G6"/>
  <c r="C6"/>
  <c r="A6"/>
  <c r="B5"/>
  <c r="A3"/>
  <c r="A1"/>
  <c r="B26" i="75"/>
  <c r="B23"/>
  <c r="B22"/>
  <c r="B21"/>
  <c r="B20"/>
  <c r="B17"/>
  <c r="B16"/>
  <c r="B15"/>
  <c r="B14"/>
  <c r="B13"/>
  <c r="B12"/>
  <c r="B11"/>
  <c r="B10"/>
  <c r="B9"/>
  <c r="K36" i="77"/>
  <c r="I36"/>
  <c r="D36"/>
  <c r="J36"/>
  <c r="K35"/>
  <c r="I35"/>
  <c r="D35"/>
  <c r="J35"/>
  <c r="K34"/>
  <c r="I34"/>
  <c r="D34"/>
  <c r="J34"/>
  <c r="K33"/>
  <c r="J33"/>
  <c r="I33"/>
  <c r="K32"/>
  <c r="J32"/>
  <c r="I32"/>
  <c r="K31"/>
  <c r="J31"/>
  <c r="I31"/>
  <c r="K30"/>
  <c r="J30"/>
  <c r="I30"/>
  <c r="K29"/>
  <c r="J29"/>
  <c r="I29"/>
  <c r="K28"/>
  <c r="J28"/>
  <c r="I28"/>
  <c r="K27"/>
  <c r="J27"/>
  <c r="I27"/>
  <c r="K26"/>
  <c r="J26"/>
  <c r="I26"/>
  <c r="L25"/>
  <c r="K25"/>
  <c r="J25"/>
  <c r="I25"/>
  <c r="K24"/>
  <c r="J24"/>
  <c r="I24"/>
  <c r="K23"/>
  <c r="J23"/>
  <c r="I23"/>
  <c r="K22"/>
  <c r="J22"/>
  <c r="I22"/>
  <c r="K21"/>
  <c r="J21"/>
  <c r="I21"/>
  <c r="K20"/>
  <c r="J20"/>
  <c r="I20"/>
  <c r="K19"/>
  <c r="J19"/>
  <c r="I19"/>
  <c r="K18"/>
  <c r="J18"/>
  <c r="I18"/>
  <c r="K17"/>
  <c r="J17"/>
  <c r="I17"/>
  <c r="K16"/>
  <c r="J16"/>
  <c r="I16"/>
  <c r="K15"/>
  <c r="J15"/>
  <c r="I15"/>
  <c r="K14"/>
  <c r="J14"/>
  <c r="I14"/>
  <c r="K13"/>
  <c r="J13"/>
  <c r="I13"/>
  <c r="K12"/>
  <c r="J12"/>
  <c r="I12"/>
  <c r="K11"/>
  <c r="J11"/>
  <c r="I11"/>
  <c r="L10"/>
  <c r="K10"/>
  <c r="J10"/>
  <c r="I10"/>
  <c r="K9"/>
  <c r="J9"/>
  <c r="I9"/>
  <c r="K8"/>
  <c r="J8"/>
  <c r="I8"/>
  <c r="L7"/>
  <c r="K7"/>
  <c r="J7"/>
  <c r="I7"/>
  <c r="A1"/>
  <c r="I25" i="74"/>
  <c r="F25"/>
  <c r="E25"/>
  <c r="I24"/>
  <c r="F24"/>
  <c r="E24"/>
  <c r="I23"/>
  <c r="F23"/>
  <c r="E23"/>
  <c r="I22"/>
  <c r="F22"/>
  <c r="E22"/>
  <c r="I21"/>
  <c r="F21"/>
  <c r="E21"/>
  <c r="I20"/>
  <c r="F20"/>
  <c r="E20"/>
  <c r="I19"/>
  <c r="F19"/>
  <c r="E19"/>
  <c r="I18"/>
  <c r="F18"/>
  <c r="E18"/>
  <c r="I17"/>
  <c r="F17"/>
  <c r="E17"/>
  <c r="I16"/>
  <c r="F16"/>
  <c r="E16"/>
  <c r="I15"/>
  <c r="F15"/>
  <c r="E15"/>
  <c r="I14"/>
  <c r="F14"/>
  <c r="E14"/>
  <c r="I13"/>
  <c r="F13"/>
  <c r="E13"/>
  <c r="I12"/>
  <c r="F12"/>
  <c r="E12"/>
  <c r="I11"/>
  <c r="F11"/>
  <c r="E11"/>
  <c r="I10"/>
  <c r="F10"/>
  <c r="E10"/>
  <c r="I9"/>
  <c r="F9"/>
  <c r="E9"/>
  <c r="I8"/>
  <c r="F8"/>
  <c r="E8"/>
  <c r="I7"/>
  <c r="F7"/>
  <c r="E7"/>
  <c r="A1"/>
  <c r="I119" i="73"/>
  <c r="H119"/>
  <c r="K119"/>
  <c r="G119"/>
  <c r="J119"/>
  <c r="I118"/>
  <c r="H118"/>
  <c r="K118"/>
  <c r="G118"/>
  <c r="J118" s="1"/>
  <c r="I117"/>
  <c r="H117"/>
  <c r="K117" s="1"/>
  <c r="G117"/>
  <c r="J117"/>
  <c r="F116"/>
  <c r="I116"/>
  <c r="F115"/>
  <c r="H115"/>
  <c r="K115"/>
  <c r="H114"/>
  <c r="K114" s="1"/>
  <c r="F114"/>
  <c r="I114"/>
  <c r="F113"/>
  <c r="H113" s="1"/>
  <c r="K113" s="1"/>
  <c r="F112"/>
  <c r="I112"/>
  <c r="I111"/>
  <c r="H111"/>
  <c r="K111"/>
  <c r="G111"/>
  <c r="J111" s="1"/>
  <c r="I110"/>
  <c r="H110"/>
  <c r="K110"/>
  <c r="G110"/>
  <c r="J110"/>
  <c r="K102"/>
  <c r="J102"/>
  <c r="I102"/>
  <c r="K101"/>
  <c r="J101"/>
  <c r="I101"/>
  <c r="K100"/>
  <c r="J100"/>
  <c r="I100"/>
  <c r="K99"/>
  <c r="J99"/>
  <c r="I99"/>
  <c r="K98"/>
  <c r="J98"/>
  <c r="I98"/>
  <c r="K97"/>
  <c r="J97"/>
  <c r="I97"/>
  <c r="K96"/>
  <c r="J96"/>
  <c r="I96"/>
  <c r="K95"/>
  <c r="J95"/>
  <c r="I95"/>
  <c r="K94"/>
  <c r="J94"/>
  <c r="I94"/>
  <c r="K93"/>
  <c r="J93"/>
  <c r="I93"/>
  <c r="K92"/>
  <c r="J92"/>
  <c r="I92"/>
  <c r="I84"/>
  <c r="I83"/>
  <c r="I82"/>
  <c r="I81"/>
  <c r="I80"/>
  <c r="I79"/>
  <c r="I78"/>
  <c r="I77"/>
  <c r="I76"/>
  <c r="I75"/>
  <c r="J73"/>
  <c r="I73"/>
  <c r="J72"/>
  <c r="I72"/>
  <c r="J71"/>
  <c r="I71"/>
  <c r="J70"/>
  <c r="I70"/>
  <c r="J69"/>
  <c r="I69"/>
  <c r="J68"/>
  <c r="I68"/>
  <c r="J67"/>
  <c r="I67"/>
  <c r="J66"/>
  <c r="I66"/>
  <c r="J65"/>
  <c r="I65"/>
  <c r="J64"/>
  <c r="I64"/>
  <c r="K62"/>
  <c r="J62"/>
  <c r="I62"/>
  <c r="K61"/>
  <c r="J61"/>
  <c r="I61"/>
  <c r="K60"/>
  <c r="J60"/>
  <c r="I60"/>
  <c r="K59"/>
  <c r="J59"/>
  <c r="I59"/>
  <c r="K58"/>
  <c r="J58"/>
  <c r="I58"/>
  <c r="K57"/>
  <c r="J57"/>
  <c r="I57"/>
  <c r="K56"/>
  <c r="J56"/>
  <c r="I56"/>
  <c r="K55"/>
  <c r="J55"/>
  <c r="I55"/>
  <c r="K54"/>
  <c r="J54"/>
  <c r="I54"/>
  <c r="K53"/>
  <c r="J53"/>
  <c r="I53"/>
  <c r="K51"/>
  <c r="J51"/>
  <c r="I51"/>
  <c r="K50"/>
  <c r="J50"/>
  <c r="I50"/>
  <c r="K49"/>
  <c r="J49"/>
  <c r="I49"/>
  <c r="K48"/>
  <c r="J48"/>
  <c r="I48"/>
  <c r="K47"/>
  <c r="J47"/>
  <c r="I47"/>
  <c r="K46"/>
  <c r="J46"/>
  <c r="I46"/>
  <c r="K45"/>
  <c r="J45"/>
  <c r="I45"/>
  <c r="K44"/>
  <c r="J44"/>
  <c r="I44"/>
  <c r="K43"/>
  <c r="J43"/>
  <c r="I43"/>
  <c r="K42"/>
  <c r="J42"/>
  <c r="I42"/>
  <c r="J39"/>
  <c r="I39"/>
  <c r="J38"/>
  <c r="I38"/>
  <c r="J37"/>
  <c r="I37"/>
  <c r="J36"/>
  <c r="I36"/>
  <c r="J35"/>
  <c r="I35"/>
  <c r="J34"/>
  <c r="I34"/>
  <c r="J33"/>
  <c r="I33"/>
  <c r="J32"/>
  <c r="I32"/>
  <c r="J31"/>
  <c r="I31"/>
  <c r="L30"/>
  <c r="J30"/>
  <c r="I30"/>
  <c r="K28"/>
  <c r="J28"/>
  <c r="I28"/>
  <c r="K27"/>
  <c r="J27"/>
  <c r="I27"/>
  <c r="K26"/>
  <c r="J26"/>
  <c r="I26"/>
  <c r="K25"/>
  <c r="J25"/>
  <c r="I25"/>
  <c r="K24"/>
  <c r="J24"/>
  <c r="I24"/>
  <c r="K23"/>
  <c r="J23"/>
  <c r="I23"/>
  <c r="K22"/>
  <c r="J22"/>
  <c r="I22"/>
  <c r="K21"/>
  <c r="J21"/>
  <c r="I21"/>
  <c r="K20"/>
  <c r="J20"/>
  <c r="I20"/>
  <c r="L19"/>
  <c r="K19"/>
  <c r="J19"/>
  <c r="I19"/>
  <c r="K16"/>
  <c r="J16"/>
  <c r="I16"/>
  <c r="K15"/>
  <c r="J15"/>
  <c r="I15"/>
  <c r="K14"/>
  <c r="J14"/>
  <c r="I14"/>
  <c r="K13"/>
  <c r="J13"/>
  <c r="I13"/>
  <c r="K12"/>
  <c r="J12"/>
  <c r="I12"/>
  <c r="K11"/>
  <c r="J11"/>
  <c r="I11"/>
  <c r="K10"/>
  <c r="J10"/>
  <c r="I10"/>
  <c r="K9"/>
  <c r="J9"/>
  <c r="I9"/>
  <c r="K8"/>
  <c r="J8"/>
  <c r="I8"/>
  <c r="L7"/>
  <c r="K7"/>
  <c r="J7"/>
  <c r="I7"/>
  <c r="I206" i="72"/>
  <c r="H206"/>
  <c r="F206"/>
  <c r="D206"/>
  <c r="I205"/>
  <c r="H205"/>
  <c r="F205"/>
  <c r="D205"/>
  <c r="I204"/>
  <c r="H204"/>
  <c r="F204"/>
  <c r="D204"/>
  <c r="I203"/>
  <c r="H203"/>
  <c r="F203"/>
  <c r="D203"/>
  <c r="I202"/>
  <c r="H202"/>
  <c r="F202"/>
  <c r="D202"/>
  <c r="I201"/>
  <c r="H201"/>
  <c r="F201"/>
  <c r="D201"/>
  <c r="I200"/>
  <c r="H200"/>
  <c r="F200"/>
  <c r="D200"/>
  <c r="I199"/>
  <c r="H199"/>
  <c r="F199"/>
  <c r="D199"/>
  <c r="I198"/>
  <c r="H198"/>
  <c r="F198"/>
  <c r="D198"/>
  <c r="K197"/>
  <c r="I197"/>
  <c r="H197"/>
  <c r="F197"/>
  <c r="D197"/>
  <c r="I192"/>
  <c r="H192"/>
  <c r="F192"/>
  <c r="D192"/>
  <c r="I191"/>
  <c r="H191"/>
  <c r="F191"/>
  <c r="D191"/>
  <c r="I190"/>
  <c r="H190"/>
  <c r="F190"/>
  <c r="D190"/>
  <c r="I189"/>
  <c r="H189"/>
  <c r="F189"/>
  <c r="D189"/>
  <c r="I188"/>
  <c r="H188"/>
  <c r="F188"/>
  <c r="D188"/>
  <c r="I187"/>
  <c r="H187"/>
  <c r="F187"/>
  <c r="D187"/>
  <c r="I186"/>
  <c r="H186"/>
  <c r="F186"/>
  <c r="D186"/>
  <c r="I185"/>
  <c r="H185"/>
  <c r="F185"/>
  <c r="D185"/>
  <c r="I184"/>
  <c r="H184"/>
  <c r="F184"/>
  <c r="D184"/>
  <c r="K183"/>
  <c r="I183"/>
  <c r="H183"/>
  <c r="F183"/>
  <c r="D183"/>
  <c r="I180"/>
  <c r="H180"/>
  <c r="F180"/>
  <c r="D180"/>
  <c r="I179"/>
  <c r="H179"/>
  <c r="F179"/>
  <c r="D179"/>
  <c r="I178"/>
  <c r="H178"/>
  <c r="F178"/>
  <c r="D178"/>
  <c r="I177"/>
  <c r="H177"/>
  <c r="F177"/>
  <c r="D177"/>
  <c r="I176"/>
  <c r="H176"/>
  <c r="F176"/>
  <c r="D176"/>
  <c r="I175"/>
  <c r="H175"/>
  <c r="F175"/>
  <c r="D175"/>
  <c r="I174"/>
  <c r="H174"/>
  <c r="F174"/>
  <c r="D174"/>
  <c r="I173"/>
  <c r="H173"/>
  <c r="F173"/>
  <c r="D173"/>
  <c r="I172"/>
  <c r="H172"/>
  <c r="F172"/>
  <c r="D172"/>
  <c r="K171"/>
  <c r="I171"/>
  <c r="H171"/>
  <c r="F171"/>
  <c r="D171"/>
  <c r="I168"/>
  <c r="H168"/>
  <c r="F168"/>
  <c r="D168"/>
  <c r="I167"/>
  <c r="H167"/>
  <c r="F167"/>
  <c r="D167"/>
  <c r="I166"/>
  <c r="H166"/>
  <c r="F166"/>
  <c r="D166"/>
  <c r="I165"/>
  <c r="H165"/>
  <c r="F165"/>
  <c r="D165"/>
  <c r="I164"/>
  <c r="H164"/>
  <c r="F164"/>
  <c r="D164"/>
  <c r="I163"/>
  <c r="H163"/>
  <c r="F163"/>
  <c r="D163"/>
  <c r="I162"/>
  <c r="H162"/>
  <c r="F162"/>
  <c r="D162"/>
  <c r="I161"/>
  <c r="H161"/>
  <c r="F161"/>
  <c r="D161"/>
  <c r="I160"/>
  <c r="H160"/>
  <c r="F160"/>
  <c r="D160"/>
  <c r="K159"/>
  <c r="I159"/>
  <c r="H159"/>
  <c r="F159"/>
  <c r="D159"/>
  <c r="I154"/>
  <c r="H154"/>
  <c r="F154"/>
  <c r="D154"/>
  <c r="I153"/>
  <c r="H153"/>
  <c r="F153"/>
  <c r="D153"/>
  <c r="I152"/>
  <c r="H152"/>
  <c r="F152"/>
  <c r="D152"/>
  <c r="I151"/>
  <c r="H151"/>
  <c r="F151"/>
  <c r="D151"/>
  <c r="I150"/>
  <c r="H150"/>
  <c r="F150"/>
  <c r="D150"/>
  <c r="I149"/>
  <c r="H149"/>
  <c r="F149"/>
  <c r="D149"/>
  <c r="I148"/>
  <c r="H148"/>
  <c r="F148"/>
  <c r="D148"/>
  <c r="I147"/>
  <c r="H147"/>
  <c r="F147"/>
  <c r="D147"/>
  <c r="I146"/>
  <c r="H146"/>
  <c r="F146"/>
  <c r="D146"/>
  <c r="K145"/>
  <c r="I145"/>
  <c r="H145"/>
  <c r="F145"/>
  <c r="D145"/>
  <c r="I142"/>
  <c r="H142"/>
  <c r="F142"/>
  <c r="D142"/>
  <c r="I141"/>
  <c r="H141"/>
  <c r="F141"/>
  <c r="D141"/>
  <c r="I140"/>
  <c r="H140"/>
  <c r="F140"/>
  <c r="D140"/>
  <c r="I139"/>
  <c r="H139"/>
  <c r="F139"/>
  <c r="D139"/>
  <c r="I138"/>
  <c r="H138"/>
  <c r="F138"/>
  <c r="D138"/>
  <c r="I137"/>
  <c r="H137"/>
  <c r="F137"/>
  <c r="D137"/>
  <c r="I136"/>
  <c r="H136"/>
  <c r="F136"/>
  <c r="D136"/>
  <c r="I135"/>
  <c r="H135"/>
  <c r="F135"/>
  <c r="D135"/>
  <c r="I134"/>
  <c r="H134"/>
  <c r="F134"/>
  <c r="D134"/>
  <c r="K133"/>
  <c r="I133"/>
  <c r="H133"/>
  <c r="F133"/>
  <c r="D133"/>
  <c r="I130"/>
  <c r="H130"/>
  <c r="F130"/>
  <c r="D130"/>
  <c r="I129"/>
  <c r="H129"/>
  <c r="F129"/>
  <c r="D129"/>
  <c r="I128"/>
  <c r="H128"/>
  <c r="F128"/>
  <c r="D128"/>
  <c r="I127"/>
  <c r="H127"/>
  <c r="F127"/>
  <c r="D127"/>
  <c r="I126"/>
  <c r="H126"/>
  <c r="F126"/>
  <c r="D126"/>
  <c r="I125"/>
  <c r="H125"/>
  <c r="F125"/>
  <c r="D125"/>
  <c r="I124"/>
  <c r="H124"/>
  <c r="F124"/>
  <c r="D124"/>
  <c r="I123"/>
  <c r="H123"/>
  <c r="F123"/>
  <c r="D123"/>
  <c r="I122"/>
  <c r="H122"/>
  <c r="F122"/>
  <c r="D122"/>
  <c r="K121"/>
  <c r="I121"/>
  <c r="H121"/>
  <c r="F121"/>
  <c r="D121"/>
  <c r="I116"/>
  <c r="H116"/>
  <c r="F116"/>
  <c r="D116"/>
  <c r="I115"/>
  <c r="H115"/>
  <c r="F115"/>
  <c r="D115"/>
  <c r="I114"/>
  <c r="H114"/>
  <c r="F114"/>
  <c r="D114"/>
  <c r="I113"/>
  <c r="H113"/>
  <c r="F113"/>
  <c r="D113"/>
  <c r="I112"/>
  <c r="H112"/>
  <c r="F112"/>
  <c r="D112"/>
  <c r="I111"/>
  <c r="H111"/>
  <c r="F111"/>
  <c r="D111"/>
  <c r="I110"/>
  <c r="H110"/>
  <c r="F110"/>
  <c r="D110"/>
  <c r="I109"/>
  <c r="H109"/>
  <c r="F109"/>
  <c r="D109"/>
  <c r="I108"/>
  <c r="H108"/>
  <c r="F108"/>
  <c r="D108"/>
  <c r="K107"/>
  <c r="I107"/>
  <c r="H107"/>
  <c r="F107"/>
  <c r="D107"/>
  <c r="I104"/>
  <c r="H104"/>
  <c r="F104"/>
  <c r="D104"/>
  <c r="I103"/>
  <c r="H103"/>
  <c r="F103"/>
  <c r="D103"/>
  <c r="I102"/>
  <c r="H102"/>
  <c r="F102"/>
  <c r="D102"/>
  <c r="I101"/>
  <c r="H101"/>
  <c r="F101"/>
  <c r="D101"/>
  <c r="I100"/>
  <c r="H100"/>
  <c r="F100"/>
  <c r="D100"/>
  <c r="I99"/>
  <c r="H99"/>
  <c r="F99"/>
  <c r="D99"/>
  <c r="I98"/>
  <c r="H98"/>
  <c r="F98"/>
  <c r="D98"/>
  <c r="I97"/>
  <c r="H97"/>
  <c r="F97"/>
  <c r="D97"/>
  <c r="I96"/>
  <c r="H96"/>
  <c r="F96"/>
  <c r="D96"/>
  <c r="K95"/>
  <c r="I95"/>
  <c r="H95"/>
  <c r="F95"/>
  <c r="D95"/>
  <c r="I92"/>
  <c r="H92"/>
  <c r="F92"/>
  <c r="D92"/>
  <c r="I91"/>
  <c r="H91"/>
  <c r="F91"/>
  <c r="D91"/>
  <c r="I90"/>
  <c r="H90"/>
  <c r="F90"/>
  <c r="D90"/>
  <c r="I89"/>
  <c r="H89"/>
  <c r="F89"/>
  <c r="D89"/>
  <c r="I88"/>
  <c r="H88"/>
  <c r="F88"/>
  <c r="D88"/>
  <c r="I87"/>
  <c r="H87"/>
  <c r="F87"/>
  <c r="D87"/>
  <c r="I86"/>
  <c r="H86"/>
  <c r="F86"/>
  <c r="D86"/>
  <c r="I85"/>
  <c r="H85"/>
  <c r="F85"/>
  <c r="D85"/>
  <c r="I84"/>
  <c r="H84"/>
  <c r="F84"/>
  <c r="D84"/>
  <c r="K83"/>
  <c r="I83"/>
  <c r="H83"/>
  <c r="F83"/>
  <c r="D83"/>
  <c r="I78"/>
  <c r="H78"/>
  <c r="F78"/>
  <c r="D78"/>
  <c r="I77"/>
  <c r="H77"/>
  <c r="F77"/>
  <c r="D77"/>
  <c r="I76"/>
  <c r="H76"/>
  <c r="F76"/>
  <c r="D76"/>
  <c r="I75"/>
  <c r="H75"/>
  <c r="F75"/>
  <c r="D75"/>
  <c r="I74"/>
  <c r="H74"/>
  <c r="F74"/>
  <c r="D74"/>
  <c r="I73"/>
  <c r="H73"/>
  <c r="F73"/>
  <c r="D73"/>
  <c r="I72"/>
  <c r="H72"/>
  <c r="F72"/>
  <c r="D72"/>
  <c r="I71"/>
  <c r="H71"/>
  <c r="F71"/>
  <c r="D71"/>
  <c r="I70"/>
  <c r="H70"/>
  <c r="F70"/>
  <c r="D70"/>
  <c r="K69"/>
  <c r="I69"/>
  <c r="H69"/>
  <c r="F69"/>
  <c r="D69"/>
  <c r="I66"/>
  <c r="H66"/>
  <c r="F66"/>
  <c r="D66"/>
  <c r="I65"/>
  <c r="H65"/>
  <c r="F65"/>
  <c r="D65"/>
  <c r="I64"/>
  <c r="H64"/>
  <c r="F64"/>
  <c r="D64"/>
  <c r="I63"/>
  <c r="H63"/>
  <c r="F63"/>
  <c r="D63"/>
  <c r="I62"/>
  <c r="H62"/>
  <c r="F62"/>
  <c r="D62"/>
  <c r="I61"/>
  <c r="H61"/>
  <c r="F61"/>
  <c r="D61"/>
  <c r="I60"/>
  <c r="H60"/>
  <c r="F60"/>
  <c r="D60"/>
  <c r="I59"/>
  <c r="H59"/>
  <c r="F59"/>
  <c r="D59"/>
  <c r="I58"/>
  <c r="H58"/>
  <c r="F58"/>
  <c r="D58"/>
  <c r="K57"/>
  <c r="I57"/>
  <c r="H57"/>
  <c r="F57"/>
  <c r="D57"/>
  <c r="I54"/>
  <c r="H54"/>
  <c r="F54"/>
  <c r="D54"/>
  <c r="I53"/>
  <c r="H53"/>
  <c r="F53"/>
  <c r="D53"/>
  <c r="I52"/>
  <c r="H52"/>
  <c r="F52"/>
  <c r="D52"/>
  <c r="I51"/>
  <c r="H51"/>
  <c r="F51"/>
  <c r="D51"/>
  <c r="I50"/>
  <c r="H50"/>
  <c r="F50"/>
  <c r="D50"/>
  <c r="I49"/>
  <c r="H49"/>
  <c r="F49"/>
  <c r="D49"/>
  <c r="I48"/>
  <c r="H48"/>
  <c r="F48"/>
  <c r="D48"/>
  <c r="I47"/>
  <c r="H47"/>
  <c r="F47"/>
  <c r="D47"/>
  <c r="I46"/>
  <c r="H46"/>
  <c r="F46"/>
  <c r="D46"/>
  <c r="K45"/>
  <c r="I45"/>
  <c r="H45"/>
  <c r="F45"/>
  <c r="D45"/>
  <c r="I40"/>
  <c r="H40"/>
  <c r="F40"/>
  <c r="D40"/>
  <c r="I39"/>
  <c r="H39"/>
  <c r="F39"/>
  <c r="D39"/>
  <c r="I38"/>
  <c r="H38"/>
  <c r="F38"/>
  <c r="D38"/>
  <c r="I37"/>
  <c r="H37"/>
  <c r="F37"/>
  <c r="D37"/>
  <c r="I36"/>
  <c r="H36"/>
  <c r="F36"/>
  <c r="D36"/>
  <c r="I35"/>
  <c r="H35"/>
  <c r="F35"/>
  <c r="D35"/>
  <c r="I34"/>
  <c r="H34"/>
  <c r="F34"/>
  <c r="D34"/>
  <c r="I33"/>
  <c r="H33"/>
  <c r="F33"/>
  <c r="D33"/>
  <c r="I32"/>
  <c r="H32"/>
  <c r="F32"/>
  <c r="D32"/>
  <c r="K31"/>
  <c r="I31"/>
  <c r="H31"/>
  <c r="F31"/>
  <c r="D31"/>
  <c r="I28"/>
  <c r="H28"/>
  <c r="D28"/>
  <c r="I27"/>
  <c r="H27"/>
  <c r="F27"/>
  <c r="D27"/>
  <c r="I26"/>
  <c r="H26"/>
  <c r="F26"/>
  <c r="D26"/>
  <c r="I25"/>
  <c r="H25"/>
  <c r="F25"/>
  <c r="D25"/>
  <c r="I24"/>
  <c r="H24"/>
  <c r="F24"/>
  <c r="D24"/>
  <c r="I23"/>
  <c r="H23"/>
  <c r="F23"/>
  <c r="D23"/>
  <c r="I22"/>
  <c r="H22"/>
  <c r="F22"/>
  <c r="D22"/>
  <c r="I21"/>
  <c r="H21"/>
  <c r="F21"/>
  <c r="D21"/>
  <c r="I20"/>
  <c r="H20"/>
  <c r="F20"/>
  <c r="D20"/>
  <c r="I19"/>
  <c r="H19"/>
  <c r="F19"/>
  <c r="D19"/>
  <c r="I16"/>
  <c r="H16"/>
  <c r="F16"/>
  <c r="D16"/>
  <c r="I15"/>
  <c r="H15"/>
  <c r="D15"/>
  <c r="I14"/>
  <c r="H14"/>
  <c r="F14"/>
  <c r="D14"/>
  <c r="I13"/>
  <c r="H13"/>
  <c r="F13"/>
  <c r="D13"/>
  <c r="I12"/>
  <c r="H12"/>
  <c r="F12"/>
  <c r="D12"/>
  <c r="I11"/>
  <c r="H11"/>
  <c r="F11"/>
  <c r="D11"/>
  <c r="I10"/>
  <c r="H10"/>
  <c r="F10"/>
  <c r="D10"/>
  <c r="I9"/>
  <c r="H9"/>
  <c r="F9"/>
  <c r="D9"/>
  <c r="I8"/>
  <c r="H8"/>
  <c r="F8"/>
  <c r="D8"/>
  <c r="K7"/>
  <c r="I7"/>
  <c r="H7"/>
  <c r="F7"/>
  <c r="D7"/>
  <c r="G112" i="73"/>
  <c r="J112" s="1"/>
  <c r="I113"/>
  <c r="G116"/>
  <c r="J116"/>
  <c r="H112"/>
  <c r="K112"/>
  <c r="H116"/>
  <c r="K116"/>
  <c r="G114"/>
  <c r="J114"/>
  <c r="I115"/>
  <c r="G115"/>
  <c r="J115" s="1"/>
  <c r="C6" i="43"/>
  <c r="N140" i="24"/>
  <c r="M140"/>
  <c r="G140"/>
  <c r="L140"/>
  <c r="N139"/>
  <c r="M139"/>
  <c r="G139"/>
  <c r="L139"/>
  <c r="N138"/>
  <c r="M138"/>
  <c r="G138"/>
  <c r="L138"/>
  <c r="N137"/>
  <c r="M137"/>
  <c r="G137"/>
  <c r="L137"/>
  <c r="N136"/>
  <c r="M136"/>
  <c r="G136"/>
  <c r="L136"/>
  <c r="N135"/>
  <c r="M135"/>
  <c r="G135"/>
  <c r="L135"/>
  <c r="N134"/>
  <c r="M134"/>
  <c r="L134"/>
  <c r="N133"/>
  <c r="M133"/>
  <c r="L133"/>
  <c r="N132"/>
  <c r="M132"/>
  <c r="L132"/>
  <c r="N131"/>
  <c r="M131"/>
  <c r="L131"/>
  <c r="N130"/>
  <c r="M130"/>
  <c r="L130"/>
  <c r="Q129"/>
  <c r="N129"/>
  <c r="M129"/>
  <c r="L129"/>
  <c r="M121"/>
  <c r="M120"/>
  <c r="M119"/>
  <c r="M118"/>
  <c r="M117"/>
  <c r="M116"/>
  <c r="M115"/>
  <c r="M114"/>
  <c r="M113"/>
  <c r="M112"/>
  <c r="M111"/>
  <c r="M110"/>
  <c r="N121"/>
  <c r="G121"/>
  <c r="L121"/>
  <c r="N120"/>
  <c r="G120"/>
  <c r="L120" s="1"/>
  <c r="N119"/>
  <c r="G119"/>
  <c r="L119" s="1"/>
  <c r="N118"/>
  <c r="G118"/>
  <c r="L118" s="1"/>
  <c r="N117"/>
  <c r="G117"/>
  <c r="L117"/>
  <c r="N116"/>
  <c r="G116"/>
  <c r="L116" s="1"/>
  <c r="N115"/>
  <c r="L115"/>
  <c r="N114"/>
  <c r="L114"/>
  <c r="N113"/>
  <c r="L113"/>
  <c r="N112"/>
  <c r="L112"/>
  <c r="N111"/>
  <c r="L111"/>
  <c r="Q110"/>
  <c r="N110"/>
  <c r="L110"/>
  <c r="M99"/>
  <c r="H99"/>
  <c r="L99" s="1"/>
  <c r="M98"/>
  <c r="H98"/>
  <c r="L98"/>
  <c r="M97"/>
  <c r="L97"/>
  <c r="H97"/>
  <c r="M96"/>
  <c r="H96"/>
  <c r="L96"/>
  <c r="M95"/>
  <c r="H95"/>
  <c r="L95" s="1"/>
  <c r="M94"/>
  <c r="H94"/>
  <c r="L94"/>
  <c r="M93"/>
  <c r="L93"/>
  <c r="M92"/>
  <c r="L92"/>
  <c r="M91"/>
  <c r="L91"/>
  <c r="M90"/>
  <c r="L90"/>
  <c r="M89"/>
  <c r="L89"/>
  <c r="Q88"/>
  <c r="M88"/>
  <c r="L88"/>
  <c r="L70"/>
  <c r="M81"/>
  <c r="M80"/>
  <c r="M79"/>
  <c r="M78"/>
  <c r="M77"/>
  <c r="M76"/>
  <c r="M75"/>
  <c r="M74"/>
  <c r="M73"/>
  <c r="M72"/>
  <c r="M71"/>
  <c r="M70"/>
  <c r="H81"/>
  <c r="L81"/>
  <c r="H80"/>
  <c r="L80"/>
  <c r="H79"/>
  <c r="L79"/>
  <c r="H78"/>
  <c r="L78"/>
  <c r="H77"/>
  <c r="L77"/>
  <c r="H76"/>
  <c r="L76"/>
  <c r="L75"/>
  <c r="L74"/>
  <c r="L73"/>
  <c r="L72"/>
  <c r="L71"/>
  <c r="Q70"/>
  <c r="H61"/>
  <c r="L61"/>
  <c r="H60"/>
  <c r="L60"/>
  <c r="H59"/>
  <c r="L59"/>
  <c r="H58"/>
  <c r="L58"/>
  <c r="H57"/>
  <c r="L57"/>
  <c r="H56"/>
  <c r="L56"/>
  <c r="L55"/>
  <c r="L54"/>
  <c r="L53"/>
  <c r="L52"/>
  <c r="L51"/>
  <c r="Q50"/>
  <c r="L50"/>
  <c r="H38" i="23"/>
  <c r="H37"/>
  <c r="H36"/>
  <c r="H35"/>
  <c r="H34"/>
  <c r="H33"/>
  <c r="H32"/>
  <c r="H31"/>
  <c r="L30"/>
  <c r="H30"/>
  <c r="H121" i="11"/>
  <c r="G121"/>
  <c r="F121"/>
  <c r="E121"/>
  <c r="D121"/>
  <c r="H120"/>
  <c r="G120"/>
  <c r="F120"/>
  <c r="E120"/>
  <c r="D120"/>
  <c r="H119"/>
  <c r="G119"/>
  <c r="F119"/>
  <c r="E119"/>
  <c r="D119"/>
  <c r="H118"/>
  <c r="G118"/>
  <c r="F118"/>
  <c r="E118"/>
  <c r="D118"/>
  <c r="H117"/>
  <c r="G117"/>
  <c r="F117"/>
  <c r="E117"/>
  <c r="D117"/>
  <c r="H116"/>
  <c r="G116"/>
  <c r="F116"/>
  <c r="E116"/>
  <c r="D116"/>
  <c r="K115"/>
  <c r="J115"/>
  <c r="I115"/>
  <c r="K114"/>
  <c r="J114"/>
  <c r="I114"/>
  <c r="L113"/>
  <c r="K113"/>
  <c r="J113"/>
  <c r="I113"/>
  <c r="K112"/>
  <c r="J112"/>
  <c r="I112"/>
  <c r="K111"/>
  <c r="J111"/>
  <c r="I111"/>
  <c r="K110"/>
  <c r="J110"/>
  <c r="I110"/>
  <c r="K109"/>
  <c r="J109"/>
  <c r="I109"/>
  <c r="L108"/>
  <c r="K108"/>
  <c r="J108"/>
  <c r="I108"/>
  <c r="K107"/>
  <c r="J107"/>
  <c r="I107"/>
  <c r="K106"/>
  <c r="J106"/>
  <c r="I106"/>
  <c r="K105"/>
  <c r="J105"/>
  <c r="I105"/>
  <c r="K104"/>
  <c r="J104"/>
  <c r="I104"/>
  <c r="K102"/>
  <c r="L98"/>
  <c r="C98"/>
  <c r="C101" s="1"/>
  <c r="C96"/>
  <c r="I96" s="1"/>
  <c r="I95"/>
  <c r="C95"/>
  <c r="E95" s="1"/>
  <c r="K95" s="1"/>
  <c r="D95"/>
  <c r="J95" s="1"/>
  <c r="M88"/>
  <c r="M87"/>
  <c r="M86"/>
  <c r="M85"/>
  <c r="M84"/>
  <c r="M83"/>
  <c r="Q82"/>
  <c r="O82"/>
  <c r="Q81"/>
  <c r="O81"/>
  <c r="Q80"/>
  <c r="O80"/>
  <c r="Q79"/>
  <c r="O79"/>
  <c r="Q78"/>
  <c r="O78"/>
  <c r="Q77"/>
  <c r="O77"/>
  <c r="Q76"/>
  <c r="O76"/>
  <c r="S75"/>
  <c r="Q75"/>
  <c r="O75"/>
  <c r="Q74"/>
  <c r="O74"/>
  <c r="Q73"/>
  <c r="O73"/>
  <c r="Q72"/>
  <c r="O72"/>
  <c r="Q71"/>
  <c r="O71"/>
  <c r="Q70"/>
  <c r="O70"/>
  <c r="Q69"/>
  <c r="O69"/>
  <c r="Q68"/>
  <c r="O68"/>
  <c r="Q67"/>
  <c r="O67"/>
  <c r="Q66"/>
  <c r="O66"/>
  <c r="S65"/>
  <c r="Q65"/>
  <c r="O65"/>
  <c r="Q64"/>
  <c r="O64"/>
  <c r="Q63"/>
  <c r="O63"/>
  <c r="Q62"/>
  <c r="O62"/>
  <c r="D98"/>
  <c r="J98"/>
  <c r="C100"/>
  <c r="C102"/>
  <c r="C97"/>
  <c r="E98"/>
  <c r="K98" s="1"/>
  <c r="C103"/>
  <c r="I98"/>
  <c r="C99"/>
  <c r="R13" i="69"/>
  <c r="R12"/>
  <c r="R11"/>
  <c r="R13" i="68"/>
  <c r="R12"/>
  <c r="R11"/>
  <c r="Q13" i="67"/>
  <c r="Q12"/>
  <c r="Q11"/>
  <c r="Q13" i="66"/>
  <c r="Q12"/>
  <c r="Q11"/>
  <c r="R13" i="64"/>
  <c r="R12"/>
  <c r="R11"/>
  <c r="R12" i="63"/>
  <c r="R11"/>
  <c r="D139" i="35"/>
  <c r="E139" s="1"/>
  <c r="D94"/>
  <c r="E94" s="1"/>
  <c r="AO32" i="22"/>
  <c r="AB105" i="18"/>
  <c r="AB104"/>
  <c r="AB103"/>
  <c r="AB102"/>
  <c r="AB101"/>
  <c r="AB100"/>
  <c r="AB99"/>
  <c r="AB98"/>
  <c r="AB97"/>
  <c r="AB96"/>
  <c r="AB95"/>
  <c r="AB94"/>
  <c r="AB93"/>
  <c r="AB92"/>
  <c r="AB91"/>
  <c r="AB90"/>
  <c r="AB89"/>
  <c r="AB88"/>
  <c r="AB87"/>
  <c r="V53" i="17"/>
  <c r="Z84" i="12"/>
  <c r="X84"/>
  <c r="V84"/>
  <c r="Q84"/>
  <c r="O84"/>
  <c r="M84"/>
  <c r="G84"/>
  <c r="Z83"/>
  <c r="X83"/>
  <c r="V83"/>
  <c r="Q83"/>
  <c r="O83"/>
  <c r="M83"/>
  <c r="G83"/>
  <c r="Z82"/>
  <c r="X82"/>
  <c r="V82"/>
  <c r="Q82"/>
  <c r="O82"/>
  <c r="M82"/>
  <c r="G82"/>
  <c r="Z81"/>
  <c r="X81"/>
  <c r="V81"/>
  <c r="Q81"/>
  <c r="O81"/>
  <c r="M81"/>
  <c r="G81"/>
  <c r="Z80"/>
  <c r="X80"/>
  <c r="V80"/>
  <c r="Q80"/>
  <c r="O80"/>
  <c r="M80"/>
  <c r="G80"/>
  <c r="Z79"/>
  <c r="X79"/>
  <c r="V79"/>
  <c r="Q79"/>
  <c r="O79"/>
  <c r="M79"/>
  <c r="G79"/>
  <c r="Z78"/>
  <c r="X78"/>
  <c r="V78"/>
  <c r="Q78"/>
  <c r="O78"/>
  <c r="M78"/>
  <c r="G78"/>
  <c r="Z77"/>
  <c r="X77"/>
  <c r="V77"/>
  <c r="Q77"/>
  <c r="O77"/>
  <c r="M77"/>
  <c r="G77"/>
  <c r="Z76"/>
  <c r="X76"/>
  <c r="V76"/>
  <c r="Q76"/>
  <c r="O76"/>
  <c r="M76"/>
  <c r="G76"/>
  <c r="Z75"/>
  <c r="X75"/>
  <c r="V75"/>
  <c r="Q75"/>
  <c r="O75"/>
  <c r="M75"/>
  <c r="G75"/>
  <c r="Z74"/>
  <c r="X74"/>
  <c r="V74"/>
  <c r="Q74"/>
  <c r="O74"/>
  <c r="M74"/>
  <c r="G74"/>
  <c r="Z73"/>
  <c r="X73"/>
  <c r="V73"/>
  <c r="Q73"/>
  <c r="O73"/>
  <c r="M73"/>
  <c r="G73"/>
  <c r="H177" i="35"/>
  <c r="E177"/>
  <c r="H176"/>
  <c r="E176"/>
  <c r="H175"/>
  <c r="E175"/>
  <c r="H174"/>
  <c r="E174"/>
  <c r="H173"/>
  <c r="E173"/>
  <c r="H172"/>
  <c r="E172"/>
  <c r="H171"/>
  <c r="E171"/>
  <c r="H170"/>
  <c r="E170"/>
  <c r="H169"/>
  <c r="E169"/>
  <c r="H168"/>
  <c r="E168"/>
  <c r="H167"/>
  <c r="E167"/>
  <c r="H166"/>
  <c r="E166"/>
  <c r="H165"/>
  <c r="E165"/>
  <c r="H164"/>
  <c r="E164"/>
  <c r="H163"/>
  <c r="E163"/>
  <c r="H162"/>
  <c r="E162"/>
  <c r="H161"/>
  <c r="E161"/>
  <c r="H160"/>
  <c r="E160"/>
  <c r="H159"/>
  <c r="E159"/>
  <c r="H158"/>
  <c r="E158"/>
  <c r="H157"/>
  <c r="E157"/>
  <c r="H156"/>
  <c r="E156"/>
  <c r="H155"/>
  <c r="E155"/>
  <c r="H154"/>
  <c r="E154"/>
  <c r="H153"/>
  <c r="E153"/>
  <c r="H152"/>
  <c r="E152"/>
  <c r="H151"/>
  <c r="E151"/>
  <c r="H150"/>
  <c r="E150"/>
  <c r="H149"/>
  <c r="E149"/>
  <c r="H148"/>
  <c r="E148"/>
  <c r="H147"/>
  <c r="E147"/>
  <c r="H146"/>
  <c r="E146"/>
  <c r="H145"/>
  <c r="E145"/>
  <c r="H144"/>
  <c r="E144"/>
  <c r="H143"/>
  <c r="E143"/>
  <c r="H142"/>
  <c r="E142"/>
  <c r="H141"/>
  <c r="E141"/>
  <c r="H140"/>
  <c r="E140"/>
  <c r="H139"/>
  <c r="H135"/>
  <c r="D135"/>
  <c r="E135"/>
  <c r="H134"/>
  <c r="D134"/>
  <c r="E134" s="1"/>
  <c r="H133"/>
  <c r="D133"/>
  <c r="E133"/>
  <c r="H132"/>
  <c r="D132"/>
  <c r="E132" s="1"/>
  <c r="H131"/>
  <c r="D131"/>
  <c r="E131"/>
  <c r="H130"/>
  <c r="D130"/>
  <c r="E130" s="1"/>
  <c r="H129"/>
  <c r="D129"/>
  <c r="E129"/>
  <c r="H128"/>
  <c r="D128"/>
  <c r="E128" s="1"/>
  <c r="H127"/>
  <c r="D127"/>
  <c r="E127"/>
  <c r="H126"/>
  <c r="D126"/>
  <c r="E126" s="1"/>
  <c r="H125"/>
  <c r="D125"/>
  <c r="E125"/>
  <c r="H124"/>
  <c r="D124"/>
  <c r="E124" s="1"/>
  <c r="H123"/>
  <c r="D123"/>
  <c r="E123"/>
  <c r="H122"/>
  <c r="D122"/>
  <c r="E122" s="1"/>
  <c r="H121"/>
  <c r="D121"/>
  <c r="E121"/>
  <c r="H120"/>
  <c r="D120"/>
  <c r="E120" s="1"/>
  <c r="H119"/>
  <c r="D119"/>
  <c r="E119"/>
  <c r="H118"/>
  <c r="D118"/>
  <c r="E118" s="1"/>
  <c r="H117"/>
  <c r="D117"/>
  <c r="E117"/>
  <c r="H116"/>
  <c r="D116"/>
  <c r="E116" s="1"/>
  <c r="H115"/>
  <c r="D115"/>
  <c r="E115"/>
  <c r="H114"/>
  <c r="D114"/>
  <c r="E114" s="1"/>
  <c r="H113"/>
  <c r="D113"/>
  <c r="E113"/>
  <c r="H112"/>
  <c r="D112"/>
  <c r="E112" s="1"/>
  <c r="H111"/>
  <c r="D111"/>
  <c r="E111"/>
  <c r="H110"/>
  <c r="D110"/>
  <c r="E110" s="1"/>
  <c r="H109"/>
  <c r="D109"/>
  <c r="E109"/>
  <c r="H108"/>
  <c r="D108"/>
  <c r="E108" s="1"/>
  <c r="H107"/>
  <c r="D107"/>
  <c r="E107"/>
  <c r="H106"/>
  <c r="D106"/>
  <c r="E106" s="1"/>
  <c r="H105"/>
  <c r="D105"/>
  <c r="E105"/>
  <c r="H104"/>
  <c r="D104"/>
  <c r="E104" s="1"/>
  <c r="H103"/>
  <c r="D103"/>
  <c r="E103"/>
  <c r="H102"/>
  <c r="D102"/>
  <c r="E102" s="1"/>
  <c r="H101"/>
  <c r="D101"/>
  <c r="E101"/>
  <c r="H100"/>
  <c r="D100"/>
  <c r="E100" s="1"/>
  <c r="H99"/>
  <c r="D99"/>
  <c r="E99"/>
  <c r="H98"/>
  <c r="D98"/>
  <c r="E98" s="1"/>
  <c r="H97"/>
  <c r="D97"/>
  <c r="E97"/>
  <c r="H96"/>
  <c r="D96"/>
  <c r="E96" s="1"/>
  <c r="H95"/>
  <c r="D95"/>
  <c r="E95"/>
  <c r="H94"/>
  <c r="G88"/>
  <c r="D88"/>
  <c r="G87"/>
  <c r="D87"/>
  <c r="G86"/>
  <c r="D86"/>
  <c r="G85"/>
  <c r="D85"/>
  <c r="G84"/>
  <c r="D84"/>
  <c r="G83"/>
  <c r="D83"/>
  <c r="G82"/>
  <c r="D82"/>
  <c r="G81"/>
  <c r="D81"/>
  <c r="G80"/>
  <c r="D80"/>
  <c r="G79"/>
  <c r="D79"/>
  <c r="G78"/>
  <c r="D78"/>
  <c r="G77"/>
  <c r="D77"/>
  <c r="G76"/>
  <c r="D76"/>
  <c r="G75"/>
  <c r="D75"/>
  <c r="G74"/>
  <c r="D74"/>
  <c r="G73"/>
  <c r="D73"/>
  <c r="G72"/>
  <c r="D72"/>
  <c r="G71"/>
  <c r="D71"/>
  <c r="G70"/>
  <c r="D70"/>
  <c r="G69"/>
  <c r="D69"/>
  <c r="G68"/>
  <c r="D68"/>
  <c r="G67"/>
  <c r="D67"/>
  <c r="G66"/>
  <c r="D66"/>
  <c r="G65"/>
  <c r="D65"/>
  <c r="G64"/>
  <c r="D64"/>
  <c r="G63"/>
  <c r="D63"/>
  <c r="G62"/>
  <c r="D62"/>
  <c r="G61"/>
  <c r="D61"/>
  <c r="G60"/>
  <c r="D60"/>
  <c r="G59"/>
  <c r="D59"/>
  <c r="G58"/>
  <c r="D58"/>
  <c r="G57"/>
  <c r="D57"/>
  <c r="G56"/>
  <c r="D56"/>
  <c r="G55"/>
  <c r="D55"/>
  <c r="G54"/>
  <c r="D54"/>
  <c r="G53"/>
  <c r="D53"/>
  <c r="G52"/>
  <c r="D52"/>
  <c r="G51"/>
  <c r="D51"/>
  <c r="G50"/>
  <c r="D50"/>
  <c r="G49"/>
  <c r="D49"/>
  <c r="G48"/>
  <c r="D48"/>
  <c r="G47"/>
  <c r="D47"/>
  <c r="G46"/>
  <c r="D46"/>
  <c r="G45"/>
  <c r="D45"/>
  <c r="G44"/>
  <c r="D44"/>
  <c r="G39"/>
  <c r="D39"/>
  <c r="G38"/>
  <c r="D38"/>
  <c r="G37"/>
  <c r="D37"/>
  <c r="G36"/>
  <c r="D36"/>
  <c r="G35"/>
  <c r="D35"/>
  <c r="G34"/>
  <c r="D34"/>
  <c r="G33"/>
  <c r="D33"/>
  <c r="G32"/>
  <c r="D32"/>
  <c r="G31"/>
  <c r="D31"/>
  <c r="G30"/>
  <c r="D30"/>
  <c r="G29"/>
  <c r="D29"/>
  <c r="G28"/>
  <c r="D28"/>
  <c r="D27"/>
  <c r="D26"/>
  <c r="D25"/>
  <c r="G24"/>
  <c r="D24"/>
  <c r="G23"/>
  <c r="D23"/>
  <c r="G22"/>
  <c r="D22"/>
  <c r="G21"/>
  <c r="D21"/>
  <c r="G20"/>
  <c r="D20"/>
  <c r="G19"/>
  <c r="D19"/>
  <c r="K90" i="34"/>
  <c r="J90"/>
  <c r="I90"/>
  <c r="H90"/>
  <c r="K89"/>
  <c r="J89"/>
  <c r="I89"/>
  <c r="H89"/>
  <c r="K88"/>
  <c r="J88"/>
  <c r="I88"/>
  <c r="H88"/>
  <c r="K87"/>
  <c r="J87"/>
  <c r="I87"/>
  <c r="H87"/>
  <c r="K86"/>
  <c r="J86"/>
  <c r="I86"/>
  <c r="H86"/>
  <c r="K85"/>
  <c r="J85"/>
  <c r="I85"/>
  <c r="H85"/>
  <c r="K84"/>
  <c r="J84"/>
  <c r="I84"/>
  <c r="H84"/>
  <c r="K83"/>
  <c r="J83"/>
  <c r="I83"/>
  <c r="H83"/>
  <c r="K82"/>
  <c r="J82"/>
  <c r="I82"/>
  <c r="H82"/>
  <c r="K81"/>
  <c r="J81"/>
  <c r="I81"/>
  <c r="H81"/>
  <c r="K80"/>
  <c r="J80"/>
  <c r="I80"/>
  <c r="H80"/>
  <c r="K79"/>
  <c r="J79"/>
  <c r="I79"/>
  <c r="H79"/>
  <c r="K78"/>
  <c r="J78"/>
  <c r="I78"/>
  <c r="H78"/>
  <c r="K77"/>
  <c r="J77"/>
  <c r="I77"/>
  <c r="H77"/>
  <c r="K76"/>
  <c r="J76"/>
  <c r="I76"/>
  <c r="H76"/>
  <c r="K75"/>
  <c r="J75"/>
  <c r="I75"/>
  <c r="H75"/>
  <c r="K74"/>
  <c r="J74"/>
  <c r="I74"/>
  <c r="H74"/>
  <c r="K73"/>
  <c r="J73"/>
  <c r="I73"/>
  <c r="H73"/>
  <c r="K72"/>
  <c r="J72"/>
  <c r="I72"/>
  <c r="H72"/>
  <c r="K71"/>
  <c r="J71"/>
  <c r="I71"/>
  <c r="H71"/>
  <c r="K70"/>
  <c r="J70"/>
  <c r="I70"/>
  <c r="H70"/>
  <c r="K69"/>
  <c r="J69"/>
  <c r="I69"/>
  <c r="H69"/>
  <c r="K68"/>
  <c r="J68"/>
  <c r="I68"/>
  <c r="H68"/>
  <c r="K67"/>
  <c r="J67"/>
  <c r="I67"/>
  <c r="H67"/>
  <c r="K66"/>
  <c r="J66"/>
  <c r="I66"/>
  <c r="H66"/>
  <c r="K65"/>
  <c r="J65"/>
  <c r="I65"/>
  <c r="H65"/>
  <c r="K64"/>
  <c r="J64"/>
  <c r="I64"/>
  <c r="H64"/>
  <c r="K63"/>
  <c r="J63"/>
  <c r="I63"/>
  <c r="H63"/>
  <c r="K62"/>
  <c r="J62"/>
  <c r="I62"/>
  <c r="H62"/>
  <c r="K61"/>
  <c r="J61"/>
  <c r="I61"/>
  <c r="H61"/>
  <c r="K60"/>
  <c r="J60"/>
  <c r="I60"/>
  <c r="H60"/>
  <c r="K59"/>
  <c r="J59"/>
  <c r="I59"/>
  <c r="H59"/>
  <c r="K58"/>
  <c r="J58"/>
  <c r="I58"/>
  <c r="H58"/>
  <c r="H38"/>
  <c r="H37"/>
  <c r="H36"/>
  <c r="H35"/>
  <c r="H34"/>
  <c r="I34" s="1"/>
  <c r="L34" s="1"/>
  <c r="H33"/>
  <c r="H32"/>
  <c r="H31"/>
  <c r="H30"/>
  <c r="H29"/>
  <c r="I29"/>
  <c r="L29"/>
  <c r="H26"/>
  <c r="H25"/>
  <c r="H24"/>
  <c r="H23"/>
  <c r="I23" s="1"/>
  <c r="L23" s="1"/>
  <c r="H22"/>
  <c r="H21"/>
  <c r="H20"/>
  <c r="H19"/>
  <c r="I19" s="1"/>
  <c r="L19" s="1"/>
  <c r="Y49" i="33"/>
  <c r="X49"/>
  <c r="W49"/>
  <c r="V49"/>
  <c r="U49"/>
  <c r="T49"/>
  <c r="S49"/>
  <c r="R49"/>
  <c r="J49"/>
  <c r="I49"/>
  <c r="H49"/>
  <c r="G49"/>
  <c r="F49"/>
  <c r="E49"/>
  <c r="D49"/>
  <c r="C49"/>
  <c r="Y47"/>
  <c r="X47"/>
  <c r="W47"/>
  <c r="V47"/>
  <c r="U47"/>
  <c r="T47"/>
  <c r="J47"/>
  <c r="I47"/>
  <c r="H47"/>
  <c r="G47"/>
  <c r="F47"/>
  <c r="E47"/>
  <c r="Y45"/>
  <c r="X45"/>
  <c r="W45"/>
  <c r="V45"/>
  <c r="U45"/>
  <c r="T45"/>
  <c r="S45"/>
  <c r="R45"/>
  <c r="J45"/>
  <c r="I45"/>
  <c r="H45"/>
  <c r="G45"/>
  <c r="F45"/>
  <c r="E45"/>
  <c r="D45"/>
  <c r="C45"/>
  <c r="P39"/>
  <c r="B39"/>
  <c r="P38"/>
  <c r="B38"/>
  <c r="H33"/>
  <c r="D33"/>
  <c r="H32"/>
  <c r="D32"/>
  <c r="H31"/>
  <c r="D31"/>
  <c r="H30"/>
  <c r="D30"/>
  <c r="H29"/>
  <c r="D29"/>
  <c r="H28"/>
  <c r="D28"/>
  <c r="H27"/>
  <c r="D27"/>
  <c r="H26"/>
  <c r="D26"/>
  <c r="H25"/>
  <c r="D25"/>
  <c r="H24"/>
  <c r="D24"/>
  <c r="H23"/>
  <c r="D23"/>
  <c r="H22"/>
  <c r="D22"/>
  <c r="H21"/>
  <c r="D21"/>
  <c r="H20"/>
  <c r="D20"/>
  <c r="H19"/>
  <c r="D19"/>
  <c r="H18"/>
  <c r="D18"/>
  <c r="F34" i="32"/>
  <c r="G34"/>
  <c r="F33"/>
  <c r="G33"/>
  <c r="F32"/>
  <c r="G32" s="1"/>
  <c r="F31"/>
  <c r="G31" s="1"/>
  <c r="F30"/>
  <c r="G30"/>
  <c r="F29"/>
  <c r="G29" s="1"/>
  <c r="H25"/>
  <c r="J25" s="1"/>
  <c r="H24"/>
  <c r="J24" s="1"/>
  <c r="H23"/>
  <c r="J23"/>
  <c r="H22"/>
  <c r="J22" s="1"/>
  <c r="H21"/>
  <c r="J21" s="1"/>
  <c r="H20"/>
  <c r="J20"/>
  <c r="H19"/>
  <c r="J19"/>
  <c r="H18"/>
  <c r="J18"/>
  <c r="H17"/>
  <c r="J17" s="1"/>
  <c r="H16"/>
  <c r="J16"/>
  <c r="AD62" i="31"/>
  <c r="AC62"/>
  <c r="AB62"/>
  <c r="R62"/>
  <c r="Q62"/>
  <c r="P62"/>
  <c r="G62"/>
  <c r="F62"/>
  <c r="E62"/>
  <c r="AD59"/>
  <c r="AC59"/>
  <c r="AB59"/>
  <c r="R59"/>
  <c r="Q59"/>
  <c r="P59"/>
  <c r="G59"/>
  <c r="F59"/>
  <c r="E59"/>
  <c r="AE56"/>
  <c r="AD56"/>
  <c r="AC56"/>
  <c r="AB56"/>
  <c r="S56"/>
  <c r="R56"/>
  <c r="Q56"/>
  <c r="P56"/>
  <c r="H56"/>
  <c r="G56"/>
  <c r="F56"/>
  <c r="E56"/>
  <c r="AE53"/>
  <c r="AD53"/>
  <c r="AC53"/>
  <c r="AB53"/>
  <c r="S53"/>
  <c r="R53"/>
  <c r="Q53"/>
  <c r="P53"/>
  <c r="H53"/>
  <c r="G53"/>
  <c r="F53"/>
  <c r="E53"/>
  <c r="AD50"/>
  <c r="AC50"/>
  <c r="AB50"/>
  <c r="R50"/>
  <c r="Q50"/>
  <c r="P50"/>
  <c r="G50"/>
  <c r="F50"/>
  <c r="E50"/>
  <c r="AD47"/>
  <c r="AC47"/>
  <c r="AB47"/>
  <c r="R47"/>
  <c r="Q47"/>
  <c r="P47"/>
  <c r="G47"/>
  <c r="F47"/>
  <c r="E47"/>
  <c r="AE44"/>
  <c r="AD44"/>
  <c r="AC44"/>
  <c r="AB44"/>
  <c r="S44"/>
  <c r="R44"/>
  <c r="Q44"/>
  <c r="P44"/>
  <c r="H44"/>
  <c r="G44"/>
  <c r="F44"/>
  <c r="E44"/>
  <c r="AE41"/>
  <c r="AD41"/>
  <c r="AC41"/>
  <c r="AB41"/>
  <c r="S41"/>
  <c r="R41"/>
  <c r="Q41"/>
  <c r="P41"/>
  <c r="H41"/>
  <c r="G41"/>
  <c r="F41"/>
  <c r="E41"/>
  <c r="Z32" i="22"/>
  <c r="V32"/>
  <c r="R32"/>
  <c r="I32"/>
  <c r="M27"/>
  <c r="I27"/>
  <c r="E27"/>
  <c r="AS26"/>
  <c r="AO26"/>
  <c r="AK26"/>
  <c r="AD26"/>
  <c r="Z26"/>
  <c r="V26"/>
  <c r="M26"/>
  <c r="I26"/>
  <c r="E26"/>
  <c r="AS25"/>
  <c r="AO25"/>
  <c r="AK25"/>
  <c r="AD25"/>
  <c r="Z25"/>
  <c r="V25"/>
  <c r="M25"/>
  <c r="I25"/>
  <c r="E25"/>
  <c r="AS24"/>
  <c r="AO24"/>
  <c r="AK24"/>
  <c r="AD24"/>
  <c r="Z24"/>
  <c r="V24"/>
  <c r="M24"/>
  <c r="I24"/>
  <c r="E24"/>
  <c r="AS23"/>
  <c r="AO23"/>
  <c r="AK23"/>
  <c r="AD23"/>
  <c r="Z23"/>
  <c r="V23"/>
  <c r="M23"/>
  <c r="I23"/>
  <c r="E23"/>
  <c r="AS22"/>
  <c r="AO22"/>
  <c r="AK22"/>
  <c r="AD22"/>
  <c r="Z22"/>
  <c r="V22"/>
  <c r="M22"/>
  <c r="I22"/>
  <c r="E22"/>
  <c r="AS21"/>
  <c r="AO21"/>
  <c r="AK21"/>
  <c r="AD21"/>
  <c r="Z21"/>
  <c r="V21"/>
  <c r="M21"/>
  <c r="I21"/>
  <c r="E21"/>
  <c r="AS20"/>
  <c r="AO20"/>
  <c r="AK20"/>
  <c r="AD20"/>
  <c r="Z20"/>
  <c r="V20"/>
  <c r="M20"/>
  <c r="I20"/>
  <c r="E20"/>
  <c r="AS19"/>
  <c r="AO19"/>
  <c r="AK19"/>
  <c r="AD19"/>
  <c r="Z19"/>
  <c r="V19"/>
  <c r="M19"/>
  <c r="I19"/>
  <c r="E19"/>
  <c r="AS18"/>
  <c r="AO18"/>
  <c r="AK18"/>
  <c r="AD18"/>
  <c r="Z18"/>
  <c r="V18"/>
  <c r="M18"/>
  <c r="I18"/>
  <c r="E18"/>
  <c r="AS17"/>
  <c r="AO17"/>
  <c r="AK17"/>
  <c r="AD17"/>
  <c r="Z17"/>
  <c r="V17"/>
  <c r="R26" i="42"/>
  <c r="M26"/>
  <c r="S26" s="1"/>
  <c r="H26"/>
  <c r="R20"/>
  <c r="M20"/>
  <c r="S20" s="1"/>
  <c r="H20"/>
  <c r="R14"/>
  <c r="M14"/>
  <c r="S14" s="1"/>
  <c r="H14"/>
  <c r="R8"/>
  <c r="M8"/>
  <c r="S8" s="1"/>
  <c r="H8"/>
  <c r="C36" i="41"/>
  <c r="G22"/>
  <c r="F22"/>
  <c r="E22"/>
  <c r="D22"/>
  <c r="C22"/>
  <c r="B22"/>
  <c r="G21"/>
  <c r="F21"/>
  <c r="E21"/>
  <c r="D21"/>
  <c r="C21"/>
  <c r="B21"/>
  <c r="G20"/>
  <c r="B23" s="1"/>
  <c r="B28"/>
  <c r="F20"/>
  <c r="E20"/>
  <c r="D20"/>
  <c r="C20"/>
  <c r="I19"/>
  <c r="H19"/>
  <c r="I18"/>
  <c r="H18"/>
  <c r="I17"/>
  <c r="H17"/>
  <c r="I16"/>
  <c r="H16"/>
  <c r="I15"/>
  <c r="H15"/>
  <c r="I14"/>
  <c r="H14"/>
  <c r="I13"/>
  <c r="H13"/>
  <c r="I12"/>
  <c r="I20" s="1"/>
  <c r="H12"/>
  <c r="N11"/>
  <c r="I11"/>
  <c r="H11"/>
  <c r="N10"/>
  <c r="I10"/>
  <c r="H10"/>
  <c r="C30" s="1"/>
  <c r="N8"/>
  <c r="N9" s="1"/>
  <c r="AI46" i="21"/>
  <c r="AG46"/>
  <c r="AE46"/>
  <c r="AC46"/>
  <c r="V46"/>
  <c r="T46"/>
  <c r="R46"/>
  <c r="P46"/>
  <c r="I46"/>
  <c r="AI45"/>
  <c r="AG45"/>
  <c r="AE45"/>
  <c r="AC45"/>
  <c r="V45"/>
  <c r="T45"/>
  <c r="R45"/>
  <c r="P45"/>
  <c r="I45"/>
  <c r="AI44"/>
  <c r="AG44"/>
  <c r="AE44"/>
  <c r="AC44"/>
  <c r="V44"/>
  <c r="T44"/>
  <c r="R44"/>
  <c r="P44"/>
  <c r="I44"/>
  <c r="AI43"/>
  <c r="AG43"/>
  <c r="AE43"/>
  <c r="AC43"/>
  <c r="V43"/>
  <c r="T43"/>
  <c r="R43"/>
  <c r="P43"/>
  <c r="I43"/>
  <c r="AI42"/>
  <c r="AG42"/>
  <c r="AE42"/>
  <c r="AC42"/>
  <c r="V42"/>
  <c r="T42"/>
  <c r="R42"/>
  <c r="P42"/>
  <c r="I42"/>
  <c r="AI41"/>
  <c r="AG41"/>
  <c r="AE41"/>
  <c r="AC41"/>
  <c r="V41"/>
  <c r="T41"/>
  <c r="R41"/>
  <c r="P41"/>
  <c r="I41"/>
  <c r="AI40"/>
  <c r="AG40"/>
  <c r="AE40"/>
  <c r="V40"/>
  <c r="T40"/>
  <c r="R40"/>
  <c r="I40"/>
  <c r="AI39"/>
  <c r="AG39"/>
  <c r="AE39"/>
  <c r="V39"/>
  <c r="T39"/>
  <c r="R39"/>
  <c r="I39"/>
  <c r="AI38"/>
  <c r="AG38"/>
  <c r="AE38"/>
  <c r="V38"/>
  <c r="T38"/>
  <c r="R38"/>
  <c r="I38"/>
  <c r="AI37"/>
  <c r="AG37"/>
  <c r="AE37"/>
  <c r="V37"/>
  <c r="T37"/>
  <c r="R37"/>
  <c r="I37"/>
  <c r="AI36"/>
  <c r="AG36"/>
  <c r="AE36"/>
  <c r="AC36"/>
  <c r="V36"/>
  <c r="T36"/>
  <c r="R36"/>
  <c r="P36"/>
  <c r="I36"/>
  <c r="AJ32"/>
  <c r="X32"/>
  <c r="J32"/>
  <c r="AJ31"/>
  <c r="X31"/>
  <c r="J31"/>
  <c r="AJ30"/>
  <c r="X30"/>
  <c r="J30"/>
  <c r="AJ29"/>
  <c r="X29"/>
  <c r="J29"/>
  <c r="AJ28"/>
  <c r="X28"/>
  <c r="J28"/>
  <c r="AJ27"/>
  <c r="X27"/>
  <c r="J27"/>
  <c r="AJ26"/>
  <c r="X26"/>
  <c r="J26"/>
  <c r="AJ25"/>
  <c r="X25"/>
  <c r="J25"/>
  <c r="AJ24"/>
  <c r="X24"/>
  <c r="J24"/>
  <c r="AJ23"/>
  <c r="X23"/>
  <c r="J23"/>
  <c r="AJ22"/>
  <c r="X22"/>
  <c r="J22"/>
  <c r="AJ21"/>
  <c r="X21"/>
  <c r="J21"/>
  <c r="AJ20"/>
  <c r="X20"/>
  <c r="J20"/>
  <c r="AJ19"/>
  <c r="X19"/>
  <c r="J19"/>
  <c r="AJ18"/>
  <c r="X18"/>
  <c r="J18"/>
  <c r="AJ17"/>
  <c r="X17"/>
  <c r="J17"/>
  <c r="AJ16"/>
  <c r="X16"/>
  <c r="J16"/>
  <c r="AJ15"/>
  <c r="X15"/>
  <c r="J15"/>
  <c r="AJ14"/>
  <c r="X14"/>
  <c r="J14"/>
  <c r="AJ13"/>
  <c r="X13"/>
  <c r="J13"/>
  <c r="AJ12"/>
  <c r="X12"/>
  <c r="J12"/>
  <c r="AJ11"/>
  <c r="X11"/>
  <c r="J11"/>
  <c r="AJ10"/>
  <c r="X10"/>
  <c r="J10"/>
  <c r="AR26" i="20"/>
  <c r="AP26"/>
  <c r="AN26"/>
  <c r="AM26"/>
  <c r="AK26"/>
  <c r="AC26"/>
  <c r="AA26"/>
  <c r="Y26"/>
  <c r="X26"/>
  <c r="V26"/>
  <c r="K26"/>
  <c r="AR25"/>
  <c r="AP25"/>
  <c r="AN25"/>
  <c r="AM25"/>
  <c r="AK25"/>
  <c r="AC25"/>
  <c r="AA25"/>
  <c r="Y25"/>
  <c r="X25"/>
  <c r="V25"/>
  <c r="K25"/>
  <c r="AR24"/>
  <c r="AP24"/>
  <c r="AN24"/>
  <c r="AM24"/>
  <c r="AK24"/>
  <c r="AC24"/>
  <c r="AA24"/>
  <c r="Y24"/>
  <c r="X24"/>
  <c r="V24"/>
  <c r="K24"/>
  <c r="AR23"/>
  <c r="AP23"/>
  <c r="AN23"/>
  <c r="AM23"/>
  <c r="AK23"/>
  <c r="AC23"/>
  <c r="AA23"/>
  <c r="Y23"/>
  <c r="X23"/>
  <c r="V23"/>
  <c r="K23"/>
  <c r="AR22"/>
  <c r="AP22"/>
  <c r="AN22"/>
  <c r="AM22"/>
  <c r="AK22"/>
  <c r="AC22"/>
  <c r="AA22"/>
  <c r="Y22"/>
  <c r="X22"/>
  <c r="V22"/>
  <c r="K22"/>
  <c r="AR21"/>
  <c r="AP21"/>
  <c r="AN21"/>
  <c r="AM21"/>
  <c r="AK21"/>
  <c r="AC21"/>
  <c r="AA21"/>
  <c r="Y21"/>
  <c r="X21"/>
  <c r="V21"/>
  <c r="K21"/>
  <c r="AR20"/>
  <c r="AP20"/>
  <c r="AN20"/>
  <c r="AM20"/>
  <c r="AK20"/>
  <c r="AC20"/>
  <c r="AA20"/>
  <c r="Y20"/>
  <c r="X20"/>
  <c r="V20"/>
  <c r="K20"/>
  <c r="AR19"/>
  <c r="AP19"/>
  <c r="AN19"/>
  <c r="AM19"/>
  <c r="AK19"/>
  <c r="AC19"/>
  <c r="AA19"/>
  <c r="Y19"/>
  <c r="X19"/>
  <c r="V19"/>
  <c r="K19"/>
  <c r="AR18"/>
  <c r="AP18"/>
  <c r="AN18"/>
  <c r="AM18"/>
  <c r="AK18"/>
  <c r="AC18"/>
  <c r="AA18"/>
  <c r="Y18"/>
  <c r="X18"/>
  <c r="V18"/>
  <c r="K18"/>
  <c r="AR17"/>
  <c r="AP17"/>
  <c r="AN17"/>
  <c r="AM17"/>
  <c r="AK17"/>
  <c r="AI17"/>
  <c r="AH17"/>
  <c r="AF17"/>
  <c r="AC17"/>
  <c r="AA17"/>
  <c r="Y17"/>
  <c r="X17"/>
  <c r="V17"/>
  <c r="T17"/>
  <c r="S17"/>
  <c r="Q17"/>
  <c r="K17"/>
  <c r="AB115" i="19"/>
  <c r="Y115"/>
  <c r="S115"/>
  <c r="P115"/>
  <c r="G115"/>
  <c r="D115"/>
  <c r="AB114"/>
  <c r="Y114"/>
  <c r="S114"/>
  <c r="P114"/>
  <c r="AB113"/>
  <c r="Y113"/>
  <c r="S113"/>
  <c r="P113"/>
  <c r="AB112"/>
  <c r="Y112"/>
  <c r="S112"/>
  <c r="P112"/>
  <c r="Z110"/>
  <c r="Y110"/>
  <c r="Q110"/>
  <c r="P110"/>
  <c r="E110"/>
  <c r="Z109"/>
  <c r="Y109"/>
  <c r="Q109"/>
  <c r="P109"/>
  <c r="E109"/>
  <c r="Z108"/>
  <c r="Y108"/>
  <c r="Q108"/>
  <c r="P108"/>
  <c r="E108"/>
  <c r="Z107"/>
  <c r="Y107"/>
  <c r="Q107"/>
  <c r="P107"/>
  <c r="E107"/>
  <c r="Z106"/>
  <c r="Y106"/>
  <c r="Q106"/>
  <c r="P106"/>
  <c r="E106"/>
  <c r="Z105"/>
  <c r="Y105"/>
  <c r="Q105"/>
  <c r="P105"/>
  <c r="E105"/>
  <c r="Z104"/>
  <c r="Y104"/>
  <c r="Q104"/>
  <c r="P104"/>
  <c r="E104"/>
  <c r="Z103"/>
  <c r="Y103"/>
  <c r="Q103"/>
  <c r="P103"/>
  <c r="E103"/>
  <c r="AC98"/>
  <c r="Y98"/>
  <c r="S98"/>
  <c r="P98"/>
  <c r="AD97"/>
  <c r="AC97"/>
  <c r="AB97"/>
  <c r="Z97"/>
  <c r="Y97"/>
  <c r="X97"/>
  <c r="T97"/>
  <c r="S97"/>
  <c r="R97"/>
  <c r="Q97"/>
  <c r="P97"/>
  <c r="O97"/>
  <c r="I97"/>
  <c r="K97" s="1"/>
  <c r="D97"/>
  <c r="F97"/>
  <c r="AD96"/>
  <c r="AC96"/>
  <c r="AB96"/>
  <c r="Z96"/>
  <c r="Y96"/>
  <c r="X96"/>
  <c r="T96"/>
  <c r="S96"/>
  <c r="R96"/>
  <c r="Q96"/>
  <c r="P96"/>
  <c r="O96"/>
  <c r="I96"/>
  <c r="K96" s="1"/>
  <c r="D96"/>
  <c r="F96" s="1"/>
  <c r="AD95"/>
  <c r="AC95"/>
  <c r="AB95"/>
  <c r="Z95"/>
  <c r="Y95"/>
  <c r="X95"/>
  <c r="T95"/>
  <c r="S95"/>
  <c r="R95"/>
  <c r="Q95"/>
  <c r="P95"/>
  <c r="O95"/>
  <c r="I95"/>
  <c r="K95" s="1"/>
  <c r="D95"/>
  <c r="F95"/>
  <c r="AD94"/>
  <c r="AC94"/>
  <c r="AB94"/>
  <c r="Z94"/>
  <c r="Y94"/>
  <c r="X94"/>
  <c r="T94"/>
  <c r="S94"/>
  <c r="R94"/>
  <c r="Q94"/>
  <c r="P94"/>
  <c r="O94"/>
  <c r="I94"/>
  <c r="K94" s="1"/>
  <c r="D94"/>
  <c r="F94" s="1"/>
  <c r="AD93"/>
  <c r="AC93"/>
  <c r="AB93"/>
  <c r="Z93"/>
  <c r="Y93"/>
  <c r="X93"/>
  <c r="T93"/>
  <c r="S93"/>
  <c r="R93"/>
  <c r="Q93"/>
  <c r="P93"/>
  <c r="O93"/>
  <c r="I93"/>
  <c r="K93"/>
  <c r="D93"/>
  <c r="F93"/>
  <c r="AD92"/>
  <c r="AC92"/>
  <c r="AB92"/>
  <c r="Z92"/>
  <c r="Y92"/>
  <c r="X92"/>
  <c r="T92"/>
  <c r="S92"/>
  <c r="R92"/>
  <c r="Q92"/>
  <c r="P92"/>
  <c r="O92"/>
  <c r="I92"/>
  <c r="K92"/>
  <c r="D92"/>
  <c r="F92" s="1"/>
  <c r="AD91"/>
  <c r="AC91"/>
  <c r="AB91"/>
  <c r="Z91"/>
  <c r="Y91"/>
  <c r="X91"/>
  <c r="T91"/>
  <c r="S91"/>
  <c r="R91"/>
  <c r="Q91"/>
  <c r="P91"/>
  <c r="O91"/>
  <c r="I91"/>
  <c r="K91"/>
  <c r="D91"/>
  <c r="F91"/>
  <c r="AD90"/>
  <c r="AC90"/>
  <c r="AB90"/>
  <c r="Z90"/>
  <c r="Y90"/>
  <c r="X90"/>
  <c r="T90"/>
  <c r="S90"/>
  <c r="R90"/>
  <c r="Q90"/>
  <c r="P90"/>
  <c r="O90"/>
  <c r="I90"/>
  <c r="K90"/>
  <c r="D90"/>
  <c r="F90" s="1"/>
  <c r="AD89"/>
  <c r="AC89"/>
  <c r="AB89"/>
  <c r="Z89"/>
  <c r="Y89"/>
  <c r="X89"/>
  <c r="T89"/>
  <c r="S89"/>
  <c r="R89"/>
  <c r="Q89"/>
  <c r="P89"/>
  <c r="O89"/>
  <c r="I89"/>
  <c r="K89" s="1"/>
  <c r="D89"/>
  <c r="F89"/>
  <c r="AD88"/>
  <c r="AC88"/>
  <c r="AB88"/>
  <c r="Z88"/>
  <c r="Y88"/>
  <c r="X88"/>
  <c r="T88"/>
  <c r="S88"/>
  <c r="R88"/>
  <c r="Q88"/>
  <c r="P88"/>
  <c r="O88"/>
  <c r="I88"/>
  <c r="K88" s="1"/>
  <c r="D88"/>
  <c r="F88" s="1"/>
  <c r="AC82"/>
  <c r="Y82"/>
  <c r="S82"/>
  <c r="P82"/>
  <c r="AD81"/>
  <c r="AC81"/>
  <c r="AB81"/>
  <c r="Z81"/>
  <c r="Y81"/>
  <c r="X81"/>
  <c r="T81"/>
  <c r="S81"/>
  <c r="R81"/>
  <c r="Q81"/>
  <c r="P81"/>
  <c r="O81"/>
  <c r="I81"/>
  <c r="K81" s="1"/>
  <c r="D81"/>
  <c r="F81"/>
  <c r="AD80"/>
  <c r="AC80"/>
  <c r="AB80"/>
  <c r="Z80"/>
  <c r="Y80"/>
  <c r="X80"/>
  <c r="T80"/>
  <c r="S80"/>
  <c r="R80"/>
  <c r="Q80"/>
  <c r="P80"/>
  <c r="O80"/>
  <c r="I80"/>
  <c r="K80" s="1"/>
  <c r="D80"/>
  <c r="F80" s="1"/>
  <c r="AD79"/>
  <c r="AC79"/>
  <c r="AB79"/>
  <c r="Z79"/>
  <c r="Y79"/>
  <c r="X79"/>
  <c r="T79"/>
  <c r="S79"/>
  <c r="R79"/>
  <c r="Q79"/>
  <c r="P79"/>
  <c r="O79"/>
  <c r="I79"/>
  <c r="K79"/>
  <c r="D79"/>
  <c r="F79"/>
  <c r="AD78"/>
  <c r="AC78"/>
  <c r="AB78"/>
  <c r="Z78"/>
  <c r="Y78"/>
  <c r="X78"/>
  <c r="T78"/>
  <c r="S78"/>
  <c r="R78"/>
  <c r="Q78"/>
  <c r="P78"/>
  <c r="O78"/>
  <c r="I78"/>
  <c r="K78"/>
  <c r="D78"/>
  <c r="F78" s="1"/>
  <c r="AD77"/>
  <c r="AC77"/>
  <c r="AB77"/>
  <c r="Z77"/>
  <c r="Y77"/>
  <c r="X77"/>
  <c r="T77"/>
  <c r="S77"/>
  <c r="R77"/>
  <c r="Q77"/>
  <c r="P77"/>
  <c r="O77"/>
  <c r="I77"/>
  <c r="K77"/>
  <c r="D77"/>
  <c r="F77"/>
  <c r="AD76"/>
  <c r="AC76"/>
  <c r="AB76"/>
  <c r="Z76"/>
  <c r="Y76"/>
  <c r="X76"/>
  <c r="T76"/>
  <c r="S76"/>
  <c r="R76"/>
  <c r="Q76"/>
  <c r="P76"/>
  <c r="O76"/>
  <c r="I76"/>
  <c r="K76"/>
  <c r="D76"/>
  <c r="F76" s="1"/>
  <c r="AD75"/>
  <c r="AC75"/>
  <c r="AB75"/>
  <c r="Z75"/>
  <c r="Y75"/>
  <c r="X75"/>
  <c r="T75"/>
  <c r="S75"/>
  <c r="R75"/>
  <c r="Q75"/>
  <c r="P75"/>
  <c r="O75"/>
  <c r="I75"/>
  <c r="K75" s="1"/>
  <c r="D75"/>
  <c r="F75"/>
  <c r="AD74"/>
  <c r="AC74"/>
  <c r="AB74"/>
  <c r="Z74"/>
  <c r="Y74"/>
  <c r="X74"/>
  <c r="T74"/>
  <c r="S74"/>
  <c r="R74"/>
  <c r="Q74"/>
  <c r="P74"/>
  <c r="O74"/>
  <c r="I74"/>
  <c r="K74" s="1"/>
  <c r="D74"/>
  <c r="F74" s="1"/>
  <c r="AD73"/>
  <c r="AC73"/>
  <c r="AB73"/>
  <c r="Z73"/>
  <c r="Y73"/>
  <c r="X73"/>
  <c r="T73"/>
  <c r="S73"/>
  <c r="R73"/>
  <c r="Q73"/>
  <c r="P73"/>
  <c r="O73"/>
  <c r="I73"/>
  <c r="K73" s="1"/>
  <c r="D73"/>
  <c r="F73"/>
  <c r="AD72"/>
  <c r="AC72"/>
  <c r="AB72"/>
  <c r="Z72"/>
  <c r="Y72"/>
  <c r="X72"/>
  <c r="T72"/>
  <c r="S72"/>
  <c r="R72"/>
  <c r="Q72"/>
  <c r="P72"/>
  <c r="O72"/>
  <c r="I72"/>
  <c r="K72" s="1"/>
  <c r="D72"/>
  <c r="F72" s="1"/>
  <c r="G66"/>
  <c r="D66"/>
  <c r="AI59"/>
  <c r="AC59"/>
  <c r="V59"/>
  <c r="Q59"/>
  <c r="AK58"/>
  <c r="AI58"/>
  <c r="AG58"/>
  <c r="AE58"/>
  <c r="AC58"/>
  <c r="AA58"/>
  <c r="X58"/>
  <c r="V58"/>
  <c r="T58"/>
  <c r="S58"/>
  <c r="Q58"/>
  <c r="O58"/>
  <c r="I58"/>
  <c r="K58" s="1"/>
  <c r="D58"/>
  <c r="F58"/>
  <c r="AK57"/>
  <c r="AI57"/>
  <c r="AG57"/>
  <c r="AE57"/>
  <c r="AC57"/>
  <c r="AA57"/>
  <c r="X57"/>
  <c r="V57"/>
  <c r="T57"/>
  <c r="S57"/>
  <c r="Q57"/>
  <c r="O57"/>
  <c r="I57"/>
  <c r="K57"/>
  <c r="D57"/>
  <c r="F57"/>
  <c r="AK56"/>
  <c r="AI56"/>
  <c r="AG56"/>
  <c r="AE56"/>
  <c r="AC56"/>
  <c r="AA56"/>
  <c r="X56"/>
  <c r="V56"/>
  <c r="T56"/>
  <c r="S56"/>
  <c r="Q56"/>
  <c r="O56"/>
  <c r="I56"/>
  <c r="K56" s="1"/>
  <c r="D56"/>
  <c r="F56" s="1"/>
  <c r="AK55"/>
  <c r="AI55"/>
  <c r="AG55"/>
  <c r="AE55"/>
  <c r="AC55"/>
  <c r="AA55"/>
  <c r="X55"/>
  <c r="V55"/>
  <c r="T55"/>
  <c r="S55"/>
  <c r="Q55"/>
  <c r="O55"/>
  <c r="I55"/>
  <c r="K55"/>
  <c r="D55"/>
  <c r="F55" s="1"/>
  <c r="AK54"/>
  <c r="AI54"/>
  <c r="AG54"/>
  <c r="AE54"/>
  <c r="AC54"/>
  <c r="AA54"/>
  <c r="X54"/>
  <c r="V54"/>
  <c r="T54"/>
  <c r="S54"/>
  <c r="Q54"/>
  <c r="O54"/>
  <c r="I54"/>
  <c r="K54" s="1"/>
  <c r="D54"/>
  <c r="F54" s="1"/>
  <c r="AK53"/>
  <c r="AI53"/>
  <c r="AG53"/>
  <c r="AE53"/>
  <c r="AC53"/>
  <c r="AA53"/>
  <c r="X53"/>
  <c r="V53"/>
  <c r="T53"/>
  <c r="S53"/>
  <c r="Q53"/>
  <c r="O53"/>
  <c r="I53"/>
  <c r="K53"/>
  <c r="D53"/>
  <c r="F53" s="1"/>
  <c r="AK52"/>
  <c r="AI52"/>
  <c r="AG52"/>
  <c r="AE52"/>
  <c r="AC52"/>
  <c r="AA52"/>
  <c r="X52"/>
  <c r="V52"/>
  <c r="T52"/>
  <c r="S52"/>
  <c r="Q52"/>
  <c r="O52"/>
  <c r="I52"/>
  <c r="K52" s="1"/>
  <c r="D52"/>
  <c r="F52"/>
  <c r="AK51"/>
  <c r="AI51"/>
  <c r="AG51"/>
  <c r="AE51"/>
  <c r="AC51"/>
  <c r="AA51"/>
  <c r="X51"/>
  <c r="V51"/>
  <c r="T51"/>
  <c r="S51"/>
  <c r="Q51"/>
  <c r="O51"/>
  <c r="I51"/>
  <c r="K51"/>
  <c r="D51"/>
  <c r="F51"/>
  <c r="AK50"/>
  <c r="AI50"/>
  <c r="AG50"/>
  <c r="AE50"/>
  <c r="AC50"/>
  <c r="AA50"/>
  <c r="X50"/>
  <c r="V50"/>
  <c r="T50"/>
  <c r="S50"/>
  <c r="Q50"/>
  <c r="O50"/>
  <c r="I50"/>
  <c r="K50" s="1"/>
  <c r="D50"/>
  <c r="F50"/>
  <c r="AK49"/>
  <c r="AI49"/>
  <c r="AG49"/>
  <c r="AE49"/>
  <c r="AC49"/>
  <c r="AA49"/>
  <c r="X49"/>
  <c r="V49"/>
  <c r="T49"/>
  <c r="S49"/>
  <c r="Q49"/>
  <c r="O49"/>
  <c r="I49"/>
  <c r="K49"/>
  <c r="D49"/>
  <c r="F49"/>
  <c r="AI47"/>
  <c r="AC47"/>
  <c r="V47"/>
  <c r="Q47"/>
  <c r="AI46"/>
  <c r="AC46"/>
  <c r="V46"/>
  <c r="Q46"/>
  <c r="V44"/>
  <c r="Q44"/>
  <c r="W43"/>
  <c r="T43"/>
  <c r="R43"/>
  <c r="O43"/>
  <c r="W42"/>
  <c r="T42"/>
  <c r="R42"/>
  <c r="O42"/>
  <c r="W41"/>
  <c r="T41"/>
  <c r="R41"/>
  <c r="O41"/>
  <c r="W40"/>
  <c r="T40"/>
  <c r="R40"/>
  <c r="O40"/>
  <c r="W39"/>
  <c r="T39"/>
  <c r="R39"/>
  <c r="O39"/>
  <c r="W38"/>
  <c r="T38"/>
  <c r="R38"/>
  <c r="O38"/>
  <c r="W37"/>
  <c r="T37"/>
  <c r="R37"/>
  <c r="O37"/>
  <c r="W36"/>
  <c r="T36"/>
  <c r="R36"/>
  <c r="O36"/>
  <c r="W35"/>
  <c r="T35"/>
  <c r="R35"/>
  <c r="O35"/>
  <c r="AD34"/>
  <c r="W34"/>
  <c r="T34"/>
  <c r="R34"/>
  <c r="O34"/>
  <c r="E34"/>
  <c r="V32"/>
  <c r="Q32"/>
  <c r="V31"/>
  <c r="Q31"/>
  <c r="AC28"/>
  <c r="AB28"/>
  <c r="AA28"/>
  <c r="Q28"/>
  <c r="P28"/>
  <c r="O28"/>
  <c r="C28"/>
  <c r="AC27"/>
  <c r="AB27"/>
  <c r="AA27"/>
  <c r="Q27"/>
  <c r="P27"/>
  <c r="O27"/>
  <c r="C27"/>
  <c r="D28" s="1"/>
  <c r="AC26"/>
  <c r="AB26"/>
  <c r="AA26"/>
  <c r="Q26"/>
  <c r="P26"/>
  <c r="O26"/>
  <c r="C26"/>
  <c r="D27" s="1"/>
  <c r="AC25"/>
  <c r="AB25"/>
  <c r="AA25"/>
  <c r="Q25"/>
  <c r="P25"/>
  <c r="O25"/>
  <c r="C25"/>
  <c r="AC24"/>
  <c r="AB24"/>
  <c r="AA24"/>
  <c r="Q24"/>
  <c r="P24"/>
  <c r="O24"/>
  <c r="C24"/>
  <c r="D25"/>
  <c r="AC23"/>
  <c r="AB23"/>
  <c r="AA23"/>
  <c r="Q23"/>
  <c r="P23"/>
  <c r="O23"/>
  <c r="C23"/>
  <c r="AG22"/>
  <c r="AE22"/>
  <c r="AC22"/>
  <c r="AB22"/>
  <c r="AA22"/>
  <c r="U22"/>
  <c r="S22"/>
  <c r="Q22"/>
  <c r="P22"/>
  <c r="O22"/>
  <c r="C22"/>
  <c r="D23" s="1"/>
  <c r="AI20"/>
  <c r="AE20"/>
  <c r="AB20"/>
  <c r="W20"/>
  <c r="S20"/>
  <c r="P20"/>
  <c r="AD17"/>
  <c r="AB17"/>
  <c r="AA17"/>
  <c r="R17"/>
  <c r="P17"/>
  <c r="O17"/>
  <c r="E17"/>
  <c r="G15" s="1"/>
  <c r="C13" s="1"/>
  <c r="AJ16"/>
  <c r="AH16"/>
  <c r="AD16"/>
  <c r="AB16"/>
  <c r="AA16"/>
  <c r="X16"/>
  <c r="V16"/>
  <c r="R16"/>
  <c r="P16"/>
  <c r="O16"/>
  <c r="E16"/>
  <c r="AF15"/>
  <c r="AD15"/>
  <c r="AB15"/>
  <c r="AA15"/>
  <c r="T15"/>
  <c r="P13" s="1"/>
  <c r="R15"/>
  <c r="P15"/>
  <c r="O15"/>
  <c r="E15"/>
  <c r="R106" i="18"/>
  <c r="Q106"/>
  <c r="O106"/>
  <c r="L106"/>
  <c r="R105"/>
  <c r="Q105"/>
  <c r="O105"/>
  <c r="L105"/>
  <c r="K105"/>
  <c r="G105"/>
  <c r="R104"/>
  <c r="Q104"/>
  <c r="O104"/>
  <c r="L104"/>
  <c r="G104"/>
  <c r="R103"/>
  <c r="Q103"/>
  <c r="O103"/>
  <c r="L103"/>
  <c r="G103"/>
  <c r="R102"/>
  <c r="Q102"/>
  <c r="O102"/>
  <c r="L102"/>
  <c r="K102"/>
  <c r="G102"/>
  <c r="R101"/>
  <c r="Q101"/>
  <c r="O101"/>
  <c r="L101"/>
  <c r="G101"/>
  <c r="R100"/>
  <c r="Q100"/>
  <c r="O100"/>
  <c r="L100"/>
  <c r="G100"/>
  <c r="R99"/>
  <c r="Q99"/>
  <c r="O99"/>
  <c r="L99"/>
  <c r="K99"/>
  <c r="G99"/>
  <c r="R98"/>
  <c r="Q98"/>
  <c r="O98"/>
  <c r="L98"/>
  <c r="G98"/>
  <c r="R97"/>
  <c r="Q97"/>
  <c r="O97"/>
  <c r="L97"/>
  <c r="G97"/>
  <c r="R96"/>
  <c r="Q96"/>
  <c r="O96"/>
  <c r="L96"/>
  <c r="K96"/>
  <c r="G96"/>
  <c r="R95"/>
  <c r="Q95"/>
  <c r="O95"/>
  <c r="L95"/>
  <c r="G95"/>
  <c r="R94"/>
  <c r="Q94"/>
  <c r="O94"/>
  <c r="L94"/>
  <c r="G94"/>
  <c r="R93"/>
  <c r="Q93"/>
  <c r="O93"/>
  <c r="L93"/>
  <c r="K93"/>
  <c r="G93"/>
  <c r="R92"/>
  <c r="Q92"/>
  <c r="O92"/>
  <c r="L92"/>
  <c r="G92"/>
  <c r="R91"/>
  <c r="Q91"/>
  <c r="O91"/>
  <c r="L91"/>
  <c r="G91"/>
  <c r="R90"/>
  <c r="Q90"/>
  <c r="O90"/>
  <c r="L90"/>
  <c r="G90"/>
  <c r="R89"/>
  <c r="Q89"/>
  <c r="O89"/>
  <c r="L89"/>
  <c r="G89"/>
  <c r="R88"/>
  <c r="Q88"/>
  <c r="O88"/>
  <c r="L88"/>
  <c r="G88"/>
  <c r="R87"/>
  <c r="Q87"/>
  <c r="O87"/>
  <c r="L87"/>
  <c r="G87"/>
  <c r="E83"/>
  <c r="E82"/>
  <c r="E81"/>
  <c r="E80"/>
  <c r="E76"/>
  <c r="E75"/>
  <c r="E74"/>
  <c r="E73"/>
  <c r="E72"/>
  <c r="E71"/>
  <c r="E70"/>
  <c r="E69"/>
  <c r="E68"/>
  <c r="E67"/>
  <c r="E64"/>
  <c r="E63"/>
  <c r="E62"/>
  <c r="E61"/>
  <c r="E60"/>
  <c r="E59"/>
  <c r="E58"/>
  <c r="E57"/>
  <c r="E56"/>
  <c r="E55"/>
  <c r="I49"/>
  <c r="I48"/>
  <c r="H47"/>
  <c r="I47" s="1"/>
  <c r="I46"/>
  <c r="I45"/>
  <c r="I44"/>
  <c r="I38"/>
  <c r="D38"/>
  <c r="I37"/>
  <c r="D37"/>
  <c r="I36"/>
  <c r="D36"/>
  <c r="I35"/>
  <c r="D35"/>
  <c r="I34"/>
  <c r="D34"/>
  <c r="I33"/>
  <c r="D33"/>
  <c r="I32"/>
  <c r="D32"/>
  <c r="I31"/>
  <c r="D31"/>
  <c r="I30"/>
  <c r="D30"/>
  <c r="I26"/>
  <c r="D26"/>
  <c r="I25"/>
  <c r="D25"/>
  <c r="I24"/>
  <c r="D24"/>
  <c r="I23"/>
  <c r="D23"/>
  <c r="I22"/>
  <c r="D22"/>
  <c r="I21"/>
  <c r="D21"/>
  <c r="I20"/>
  <c r="D20"/>
  <c r="I19"/>
  <c r="D19"/>
  <c r="I18"/>
  <c r="D18"/>
  <c r="I145" i="17"/>
  <c r="I144"/>
  <c r="W143"/>
  <c r="U143"/>
  <c r="S143"/>
  <c r="P143"/>
  <c r="N143"/>
  <c r="L143"/>
  <c r="I143"/>
  <c r="W142"/>
  <c r="U142"/>
  <c r="S142"/>
  <c r="P142"/>
  <c r="N142"/>
  <c r="L142"/>
  <c r="I142"/>
  <c r="W141"/>
  <c r="U141"/>
  <c r="S141"/>
  <c r="P141"/>
  <c r="N141"/>
  <c r="L141"/>
  <c r="W140"/>
  <c r="U140"/>
  <c r="S140"/>
  <c r="P140"/>
  <c r="N140"/>
  <c r="L140"/>
  <c r="H135"/>
  <c r="I135"/>
  <c r="W134"/>
  <c r="U134"/>
  <c r="S134"/>
  <c r="P134"/>
  <c r="N134"/>
  <c r="L134"/>
  <c r="H134"/>
  <c r="I134"/>
  <c r="W133"/>
  <c r="U133"/>
  <c r="S133"/>
  <c r="P133"/>
  <c r="N133"/>
  <c r="L133"/>
  <c r="H133"/>
  <c r="I133"/>
  <c r="W132"/>
  <c r="U132"/>
  <c r="S132"/>
  <c r="P132"/>
  <c r="N132"/>
  <c r="L132"/>
  <c r="H132"/>
  <c r="I132"/>
  <c r="W131"/>
  <c r="U131"/>
  <c r="S131"/>
  <c r="P131"/>
  <c r="N131"/>
  <c r="L131"/>
  <c r="H131"/>
  <c r="I131"/>
  <c r="H130"/>
  <c r="I130" s="1"/>
  <c r="H129"/>
  <c r="I129"/>
  <c r="H128"/>
  <c r="I128" s="1"/>
  <c r="K117"/>
  <c r="K109"/>
  <c r="K96"/>
  <c r="K88"/>
  <c r="I78"/>
  <c r="J78"/>
  <c r="H78"/>
  <c r="AM77"/>
  <c r="AJ77"/>
  <c r="AG77"/>
  <c r="AD77"/>
  <c r="Y77"/>
  <c r="V77"/>
  <c r="S77"/>
  <c r="P77"/>
  <c r="I77"/>
  <c r="J77" s="1"/>
  <c r="H77"/>
  <c r="AM76"/>
  <c r="AJ76"/>
  <c r="AG76"/>
  <c r="AD76"/>
  <c r="Y76"/>
  <c r="V76"/>
  <c r="S76"/>
  <c r="P76"/>
  <c r="I76"/>
  <c r="J76"/>
  <c r="H76"/>
  <c r="AM75"/>
  <c r="AJ75"/>
  <c r="AG75"/>
  <c r="AD75"/>
  <c r="Y75"/>
  <c r="V75"/>
  <c r="S75"/>
  <c r="P75"/>
  <c r="I75"/>
  <c r="J75"/>
  <c r="H75"/>
  <c r="AM74"/>
  <c r="AJ74"/>
  <c r="AG74"/>
  <c r="AD74"/>
  <c r="Y74"/>
  <c r="V74"/>
  <c r="S74"/>
  <c r="P74"/>
  <c r="I74"/>
  <c r="J74"/>
  <c r="H74"/>
  <c r="AM73"/>
  <c r="AJ73"/>
  <c r="AG73"/>
  <c r="AD73"/>
  <c r="Y73"/>
  <c r="V73"/>
  <c r="S73"/>
  <c r="P73"/>
  <c r="I73"/>
  <c r="J73" s="1"/>
  <c r="H73"/>
  <c r="AM72"/>
  <c r="AJ72"/>
  <c r="AG72"/>
  <c r="AD72"/>
  <c r="Y72"/>
  <c r="V72"/>
  <c r="S72"/>
  <c r="P72"/>
  <c r="I72"/>
  <c r="J72"/>
  <c r="H72"/>
  <c r="AM71"/>
  <c r="AJ71"/>
  <c r="AG71"/>
  <c r="AD71"/>
  <c r="Y71"/>
  <c r="V71"/>
  <c r="S71"/>
  <c r="P71"/>
  <c r="I71"/>
  <c r="J71" s="1"/>
  <c r="H71"/>
  <c r="AM70"/>
  <c r="AJ70"/>
  <c r="AG70"/>
  <c r="AD70"/>
  <c r="Y70"/>
  <c r="V70"/>
  <c r="S70"/>
  <c r="P70"/>
  <c r="Y65"/>
  <c r="W65"/>
  <c r="U65"/>
  <c r="S65"/>
  <c r="Q65"/>
  <c r="O65"/>
  <c r="K65"/>
  <c r="L65" s="1"/>
  <c r="G65"/>
  <c r="I65"/>
  <c r="D65"/>
  <c r="E65" s="1"/>
  <c r="Y64"/>
  <c r="W64"/>
  <c r="U64"/>
  <c r="S64"/>
  <c r="Q64"/>
  <c r="O64"/>
  <c r="K64"/>
  <c r="L64"/>
  <c r="G64"/>
  <c r="I64"/>
  <c r="D64"/>
  <c r="E64"/>
  <c r="Y63"/>
  <c r="W63"/>
  <c r="U63"/>
  <c r="S63"/>
  <c r="Q63"/>
  <c r="O63"/>
  <c r="K63"/>
  <c r="L63" s="1"/>
  <c r="G63"/>
  <c r="I63"/>
  <c r="D63"/>
  <c r="E63" s="1"/>
  <c r="Y62"/>
  <c r="W62"/>
  <c r="U62"/>
  <c r="S62"/>
  <c r="Q62"/>
  <c r="O62"/>
  <c r="K62"/>
  <c r="L62"/>
  <c r="G62"/>
  <c r="I62"/>
  <c r="D62"/>
  <c r="E62"/>
  <c r="Y61"/>
  <c r="W61"/>
  <c r="U61"/>
  <c r="S61"/>
  <c r="Q61"/>
  <c r="O61"/>
  <c r="K61"/>
  <c r="L61" s="1"/>
  <c r="G61"/>
  <c r="I61"/>
  <c r="D61"/>
  <c r="E61" s="1"/>
  <c r="Y60"/>
  <c r="W60"/>
  <c r="U60"/>
  <c r="S60"/>
  <c r="Q60"/>
  <c r="O60"/>
  <c r="K60"/>
  <c r="L60"/>
  <c r="G60"/>
  <c r="I60"/>
  <c r="D60"/>
  <c r="E60"/>
  <c r="Y59"/>
  <c r="W59"/>
  <c r="U59"/>
  <c r="S59"/>
  <c r="Q59"/>
  <c r="O59"/>
  <c r="K59"/>
  <c r="L59" s="1"/>
  <c r="G59"/>
  <c r="I59"/>
  <c r="D59"/>
  <c r="E59" s="1"/>
  <c r="Y58"/>
  <c r="W58"/>
  <c r="U58"/>
  <c r="S58"/>
  <c r="Q58"/>
  <c r="O58"/>
  <c r="K58"/>
  <c r="L58"/>
  <c r="G58"/>
  <c r="I58"/>
  <c r="D58"/>
  <c r="E58"/>
  <c r="Y57"/>
  <c r="W57"/>
  <c r="U57"/>
  <c r="S57"/>
  <c r="Q57"/>
  <c r="O57"/>
  <c r="K57"/>
  <c r="L57" s="1"/>
  <c r="G57"/>
  <c r="I57"/>
  <c r="D57"/>
  <c r="E57" s="1"/>
  <c r="Y56"/>
  <c r="W56"/>
  <c r="U56"/>
  <c r="S56"/>
  <c r="Q56"/>
  <c r="O56"/>
  <c r="K56"/>
  <c r="L56"/>
  <c r="G56"/>
  <c r="I56"/>
  <c r="D56"/>
  <c r="E56"/>
  <c r="Y55"/>
  <c r="W55"/>
  <c r="U55"/>
  <c r="S55"/>
  <c r="Q55"/>
  <c r="O55"/>
  <c r="K55"/>
  <c r="L55" s="1"/>
  <c r="G55"/>
  <c r="I55"/>
  <c r="D55"/>
  <c r="E55" s="1"/>
  <c r="J45"/>
  <c r="J44"/>
  <c r="T37"/>
  <c r="R37"/>
  <c r="P37"/>
  <c r="G37"/>
  <c r="T36"/>
  <c r="R36"/>
  <c r="P36"/>
  <c r="G36"/>
  <c r="T35"/>
  <c r="R35"/>
  <c r="P35"/>
  <c r="G35"/>
  <c r="T34"/>
  <c r="R34"/>
  <c r="P34"/>
  <c r="H34"/>
  <c r="G34"/>
  <c r="T33"/>
  <c r="R33"/>
  <c r="P33"/>
  <c r="H33"/>
  <c r="G33"/>
  <c r="T32"/>
  <c r="R32"/>
  <c r="P32"/>
  <c r="H32"/>
  <c r="G32"/>
  <c r="T31"/>
  <c r="R31"/>
  <c r="P31"/>
  <c r="H31"/>
  <c r="G31"/>
  <c r="T30"/>
  <c r="R30"/>
  <c r="P30"/>
  <c r="H30"/>
  <c r="G30"/>
  <c r="T29"/>
  <c r="R29"/>
  <c r="P29"/>
  <c r="H29"/>
  <c r="G29"/>
  <c r="T28"/>
  <c r="R28"/>
  <c r="P28"/>
  <c r="H28"/>
  <c r="G28"/>
  <c r="T27"/>
  <c r="R27"/>
  <c r="P27"/>
  <c r="F27"/>
  <c r="I27"/>
  <c r="AE21"/>
  <c r="AD21"/>
  <c r="AC21"/>
  <c r="AB21"/>
  <c r="AA21"/>
  <c r="T21"/>
  <c r="S21"/>
  <c r="R21"/>
  <c r="Q21"/>
  <c r="P21"/>
  <c r="I21"/>
  <c r="J21"/>
  <c r="AE20"/>
  <c r="AD20"/>
  <c r="AC20"/>
  <c r="AB20"/>
  <c r="AA20"/>
  <c r="T20"/>
  <c r="S20"/>
  <c r="R20"/>
  <c r="Q20"/>
  <c r="P20"/>
  <c r="I20"/>
  <c r="J20"/>
  <c r="AE19"/>
  <c r="AD19"/>
  <c r="AC19"/>
  <c r="AB19"/>
  <c r="AA19"/>
  <c r="T19"/>
  <c r="S19"/>
  <c r="R19"/>
  <c r="Q19"/>
  <c r="P19"/>
  <c r="I19"/>
  <c r="J19"/>
  <c r="AE18"/>
  <c r="AD18"/>
  <c r="AC18"/>
  <c r="AB18"/>
  <c r="AA18"/>
  <c r="T18"/>
  <c r="S18"/>
  <c r="R18"/>
  <c r="Q18"/>
  <c r="P18"/>
  <c r="I18"/>
  <c r="J18"/>
  <c r="AE17"/>
  <c r="AD17"/>
  <c r="AC17"/>
  <c r="AB17"/>
  <c r="AA17"/>
  <c r="T17"/>
  <c r="S17"/>
  <c r="R17"/>
  <c r="Q17"/>
  <c r="P17"/>
  <c r="I17"/>
  <c r="J17"/>
  <c r="AE16"/>
  <c r="AD16"/>
  <c r="AC16"/>
  <c r="AB16"/>
  <c r="AA16"/>
  <c r="T16"/>
  <c r="S16"/>
  <c r="R16"/>
  <c r="Q16"/>
  <c r="P16"/>
  <c r="I16"/>
  <c r="H36"/>
  <c r="AE15"/>
  <c r="AD15"/>
  <c r="AC15"/>
  <c r="AB15"/>
  <c r="AA15"/>
  <c r="T15"/>
  <c r="S15"/>
  <c r="R15"/>
  <c r="Q15"/>
  <c r="P15"/>
  <c r="I15"/>
  <c r="J15"/>
  <c r="F29" s="1"/>
  <c r="I29" s="1"/>
  <c r="AE14"/>
  <c r="AD14"/>
  <c r="AC14"/>
  <c r="AB14"/>
  <c r="AA14"/>
  <c r="T14"/>
  <c r="S14"/>
  <c r="R14"/>
  <c r="Q14"/>
  <c r="P14"/>
  <c r="AE13"/>
  <c r="AD13"/>
  <c r="AC13"/>
  <c r="AB13"/>
  <c r="AA13"/>
  <c r="T13"/>
  <c r="S13"/>
  <c r="R13"/>
  <c r="Q13"/>
  <c r="P13"/>
  <c r="AO44" i="16"/>
  <c r="AJ44"/>
  <c r="X44"/>
  <c r="S44"/>
  <c r="AA39"/>
  <c r="Y39"/>
  <c r="AC39" s="1"/>
  <c r="W39"/>
  <c r="U39"/>
  <c r="AX36"/>
  <c r="AR36"/>
  <c r="AP36"/>
  <c r="AN36"/>
  <c r="AL36"/>
  <c r="O36"/>
  <c r="I36"/>
  <c r="K36" s="1"/>
  <c r="AU32"/>
  <c r="AS32"/>
  <c r="AQ32"/>
  <c r="AP32"/>
  <c r="AN32"/>
  <c r="AE32"/>
  <c r="AC32"/>
  <c r="AA32"/>
  <c r="Z32"/>
  <c r="X32"/>
  <c r="K32"/>
  <c r="AU31"/>
  <c r="AS31"/>
  <c r="AQ31"/>
  <c r="AP31"/>
  <c r="AN31"/>
  <c r="AE31"/>
  <c r="AC31"/>
  <c r="AA31"/>
  <c r="Z31"/>
  <c r="X31"/>
  <c r="K31"/>
  <c r="AU30"/>
  <c r="AS30"/>
  <c r="AQ30"/>
  <c r="AP30"/>
  <c r="AN30"/>
  <c r="AE30"/>
  <c r="AC30"/>
  <c r="AA30"/>
  <c r="Z30"/>
  <c r="X30"/>
  <c r="K30"/>
  <c r="AU29"/>
  <c r="AS29"/>
  <c r="AQ29"/>
  <c r="AP29"/>
  <c r="AN29"/>
  <c r="AE29"/>
  <c r="AC29"/>
  <c r="AA29"/>
  <c r="Z29"/>
  <c r="X29"/>
  <c r="K29"/>
  <c r="AU28"/>
  <c r="AS28"/>
  <c r="AQ28"/>
  <c r="AP28"/>
  <c r="AN28"/>
  <c r="AE28"/>
  <c r="AC28"/>
  <c r="AA28"/>
  <c r="Z28"/>
  <c r="X28"/>
  <c r="K28"/>
  <c r="AU27"/>
  <c r="AS27"/>
  <c r="AQ27"/>
  <c r="AP27"/>
  <c r="AN27"/>
  <c r="AE27"/>
  <c r="AC27"/>
  <c r="AA27"/>
  <c r="Z27"/>
  <c r="X27"/>
  <c r="K27"/>
  <c r="AU26"/>
  <c r="AS26"/>
  <c r="AQ26"/>
  <c r="AP26"/>
  <c r="AN26"/>
  <c r="AE26"/>
  <c r="AC26"/>
  <c r="AA26"/>
  <c r="Z26"/>
  <c r="X26"/>
  <c r="K26"/>
  <c r="AU25"/>
  <c r="AS25"/>
  <c r="AQ25"/>
  <c r="AP25"/>
  <c r="AN25"/>
  <c r="AE25"/>
  <c r="AC25"/>
  <c r="AA25"/>
  <c r="Z25"/>
  <c r="X25"/>
  <c r="K25"/>
  <c r="AU24"/>
  <c r="AS24"/>
  <c r="AQ24"/>
  <c r="AP24"/>
  <c r="AN24"/>
  <c r="AE24"/>
  <c r="AC24"/>
  <c r="AA24"/>
  <c r="Z24"/>
  <c r="X24"/>
  <c r="K24"/>
  <c r="AU23"/>
  <c r="AS23"/>
  <c r="AQ23"/>
  <c r="AP23"/>
  <c r="AN23"/>
  <c r="AK23"/>
  <c r="AI23"/>
  <c r="AE23"/>
  <c r="AC23"/>
  <c r="AA23"/>
  <c r="Z23"/>
  <c r="X23"/>
  <c r="U23"/>
  <c r="S23"/>
  <c r="K23"/>
  <c r="P107" i="27"/>
  <c r="AT107" s="1"/>
  <c r="K107"/>
  <c r="AO107"/>
  <c r="F107"/>
  <c r="AJ107" s="1"/>
  <c r="P106"/>
  <c r="AT106"/>
  <c r="K106"/>
  <c r="AO106" s="1"/>
  <c r="F106"/>
  <c r="AJ106" s="1"/>
  <c r="P105"/>
  <c r="AT105" s="1"/>
  <c r="K105"/>
  <c r="AO105" s="1"/>
  <c r="F105"/>
  <c r="AJ105" s="1"/>
  <c r="P104"/>
  <c r="AT104"/>
  <c r="K104"/>
  <c r="AO104" s="1"/>
  <c r="F104"/>
  <c r="AJ104"/>
  <c r="P103"/>
  <c r="AT103" s="1"/>
  <c r="K103"/>
  <c r="AO103" s="1"/>
  <c r="F103"/>
  <c r="AJ103" s="1"/>
  <c r="P102"/>
  <c r="AT102" s="1"/>
  <c r="K102"/>
  <c r="AO102" s="1"/>
  <c r="F102"/>
  <c r="AJ102"/>
  <c r="S99"/>
  <c r="ED89"/>
  <c r="DV89"/>
  <c r="DM89"/>
  <c r="CD89"/>
  <c r="BV89"/>
  <c r="BM89"/>
  <c r="AC89"/>
  <c r="U89"/>
  <c r="L89"/>
  <c r="DT79"/>
  <c r="DK79"/>
  <c r="BT79"/>
  <c r="BK79"/>
  <c r="S79"/>
  <c r="J79"/>
  <c r="AP34" i="26"/>
  <c r="AB34"/>
  <c r="I34"/>
  <c r="AP33"/>
  <c r="AB33"/>
  <c r="I33"/>
  <c r="AP32"/>
  <c r="AB32"/>
  <c r="I32"/>
  <c r="AP31"/>
  <c r="AB31"/>
  <c r="I31"/>
  <c r="AP30"/>
  <c r="AB30"/>
  <c r="I30"/>
  <c r="AP29"/>
  <c r="AB29"/>
  <c r="I29"/>
  <c r="AP28"/>
  <c r="AE28"/>
  <c r="AB28"/>
  <c r="L28"/>
  <c r="I28"/>
  <c r="AP25"/>
  <c r="AB25"/>
  <c r="I25"/>
  <c r="AP24"/>
  <c r="AB24"/>
  <c r="I24"/>
  <c r="AP23"/>
  <c r="AB23"/>
  <c r="I23"/>
  <c r="AP22"/>
  <c r="AB22"/>
  <c r="I22"/>
  <c r="AP21"/>
  <c r="AB21"/>
  <c r="I21"/>
  <c r="AP20"/>
  <c r="AB20"/>
  <c r="I20"/>
  <c r="AP19"/>
  <c r="AE19"/>
  <c r="AB19"/>
  <c r="L19"/>
  <c r="I19"/>
  <c r="M65" i="25"/>
  <c r="K65"/>
  <c r="M64"/>
  <c r="K64"/>
  <c r="O63"/>
  <c r="M63"/>
  <c r="K63"/>
  <c r="M62"/>
  <c r="K62"/>
  <c r="M61"/>
  <c r="K61"/>
  <c r="O60"/>
  <c r="M60"/>
  <c r="K60"/>
  <c r="M59"/>
  <c r="K59"/>
  <c r="M58"/>
  <c r="K58"/>
  <c r="M57"/>
  <c r="K57"/>
  <c r="M56"/>
  <c r="K56"/>
  <c r="M55"/>
  <c r="K55"/>
  <c r="M54"/>
  <c r="K54"/>
  <c r="M53"/>
  <c r="K53"/>
  <c r="M52"/>
  <c r="K52"/>
  <c r="M51"/>
  <c r="K51"/>
  <c r="O50"/>
  <c r="M50"/>
  <c r="K50"/>
  <c r="C42"/>
  <c r="D42"/>
  <c r="J42"/>
  <c r="AL41"/>
  <c r="AF41"/>
  <c r="AF42"/>
  <c r="S41"/>
  <c r="C41"/>
  <c r="I41" s="1"/>
  <c r="AF40"/>
  <c r="S40"/>
  <c r="U40" s="1"/>
  <c r="AA40" s="1"/>
  <c r="K40"/>
  <c r="J40"/>
  <c r="I40"/>
  <c r="AN39"/>
  <c r="AM39"/>
  <c r="AL39"/>
  <c r="AA39"/>
  <c r="Z39"/>
  <c r="Y39"/>
  <c r="K39"/>
  <c r="J39"/>
  <c r="I39"/>
  <c r="AN38"/>
  <c r="AM38"/>
  <c r="AL38"/>
  <c r="AA38"/>
  <c r="Z38"/>
  <c r="Y38"/>
  <c r="K38"/>
  <c r="J38"/>
  <c r="I38"/>
  <c r="AN37"/>
  <c r="AM37"/>
  <c r="AL37"/>
  <c r="AA37"/>
  <c r="Z37"/>
  <c r="Y37"/>
  <c r="K37"/>
  <c r="J37"/>
  <c r="I37"/>
  <c r="AN36"/>
  <c r="AM36"/>
  <c r="AL36"/>
  <c r="AA36"/>
  <c r="Z36"/>
  <c r="Y36"/>
  <c r="K36"/>
  <c r="J36"/>
  <c r="I36"/>
  <c r="AN35"/>
  <c r="AM35"/>
  <c r="AL35"/>
  <c r="AA35"/>
  <c r="Z35"/>
  <c r="Y35"/>
  <c r="K35"/>
  <c r="J35"/>
  <c r="I35"/>
  <c r="AN34"/>
  <c r="AM34"/>
  <c r="AL34"/>
  <c r="AA34"/>
  <c r="Z34"/>
  <c r="Y34"/>
  <c r="L34"/>
  <c r="K34"/>
  <c r="J34"/>
  <c r="I34"/>
  <c r="AN33"/>
  <c r="AM33"/>
  <c r="AL33"/>
  <c r="AB33"/>
  <c r="AA33"/>
  <c r="Z33"/>
  <c r="Y33"/>
  <c r="K33"/>
  <c r="J33"/>
  <c r="I33"/>
  <c r="AN32"/>
  <c r="AM32"/>
  <c r="AL32"/>
  <c r="AA32"/>
  <c r="Z32"/>
  <c r="Y32"/>
  <c r="K32"/>
  <c r="J32"/>
  <c r="I32"/>
  <c r="AN31"/>
  <c r="AM31"/>
  <c r="AL31"/>
  <c r="AA31"/>
  <c r="Z31"/>
  <c r="Y31"/>
  <c r="K31"/>
  <c r="J31"/>
  <c r="I31"/>
  <c r="AN30"/>
  <c r="AM30"/>
  <c r="AL30"/>
  <c r="AA30"/>
  <c r="Z30"/>
  <c r="Y30"/>
  <c r="K30"/>
  <c r="J30"/>
  <c r="I30"/>
  <c r="AN29"/>
  <c r="AM29"/>
  <c r="AL29"/>
  <c r="AA29"/>
  <c r="Z29"/>
  <c r="Y29"/>
  <c r="K29"/>
  <c r="J29"/>
  <c r="I29"/>
  <c r="AN28"/>
  <c r="AM28"/>
  <c r="AL28"/>
  <c r="AA28"/>
  <c r="Z28"/>
  <c r="Y28"/>
  <c r="K28"/>
  <c r="J28"/>
  <c r="I28"/>
  <c r="AN27"/>
  <c r="AM27"/>
  <c r="AL27"/>
  <c r="AA27"/>
  <c r="Z27"/>
  <c r="Y27"/>
  <c r="K27"/>
  <c r="J27"/>
  <c r="I27"/>
  <c r="AN26"/>
  <c r="AM26"/>
  <c r="AL26"/>
  <c r="AA26"/>
  <c r="Z26"/>
  <c r="Y26"/>
  <c r="K26"/>
  <c r="J26"/>
  <c r="I26"/>
  <c r="AN25"/>
  <c r="AM25"/>
  <c r="AL25"/>
  <c r="AA25"/>
  <c r="Z25"/>
  <c r="Y25"/>
  <c r="K25"/>
  <c r="J25"/>
  <c r="I25"/>
  <c r="AN24"/>
  <c r="AM24"/>
  <c r="AL24"/>
  <c r="AA24"/>
  <c r="Z24"/>
  <c r="Y24"/>
  <c r="L24"/>
  <c r="K24"/>
  <c r="J24"/>
  <c r="I24"/>
  <c r="AN23"/>
  <c r="AM23"/>
  <c r="AL23"/>
  <c r="AB23"/>
  <c r="AA23"/>
  <c r="Z23"/>
  <c r="Y23"/>
  <c r="AU40" i="24"/>
  <c r="AY40" s="1"/>
  <c r="AD40"/>
  <c r="AH40" s="1"/>
  <c r="AU39"/>
  <c r="AY39" s="1"/>
  <c r="AD39"/>
  <c r="AH39"/>
  <c r="H39"/>
  <c r="L39" s="1"/>
  <c r="AU38"/>
  <c r="AY38"/>
  <c r="AD38"/>
  <c r="AH38" s="1"/>
  <c r="H38"/>
  <c r="L38" s="1"/>
  <c r="AU37"/>
  <c r="AY37" s="1"/>
  <c r="AD37"/>
  <c r="AH37" s="1"/>
  <c r="H37"/>
  <c r="L37" s="1"/>
  <c r="AU36"/>
  <c r="AY36"/>
  <c r="AD36"/>
  <c r="AH36" s="1"/>
  <c r="H36"/>
  <c r="L36"/>
  <c r="AU35"/>
  <c r="AY35" s="1"/>
  <c r="AD35"/>
  <c r="AH35" s="1"/>
  <c r="H35"/>
  <c r="L35" s="1"/>
  <c r="AY34"/>
  <c r="AH34"/>
  <c r="H34"/>
  <c r="L34" s="1"/>
  <c r="AY33"/>
  <c r="AH33"/>
  <c r="L33"/>
  <c r="AY32"/>
  <c r="AH32"/>
  <c r="L32"/>
  <c r="AY31"/>
  <c r="AH31"/>
  <c r="L31"/>
  <c r="AY30"/>
  <c r="AH30"/>
  <c r="L30"/>
  <c r="AY29"/>
  <c r="AL29"/>
  <c r="AH29"/>
  <c r="L29"/>
  <c r="Q28"/>
  <c r="AM21" i="23"/>
  <c r="Y21"/>
  <c r="H21"/>
  <c r="AM20"/>
  <c r="Y20"/>
  <c r="H20"/>
  <c r="AM19"/>
  <c r="Y19"/>
  <c r="H19"/>
  <c r="AM18"/>
  <c r="Y18"/>
  <c r="H18"/>
  <c r="AM17"/>
  <c r="AC17"/>
  <c r="Y17"/>
  <c r="L17"/>
  <c r="H17"/>
  <c r="K88" i="15"/>
  <c r="J88"/>
  <c r="I88"/>
  <c r="K87"/>
  <c r="J87"/>
  <c r="I87"/>
  <c r="K86"/>
  <c r="J86"/>
  <c r="I86"/>
  <c r="K85"/>
  <c r="J85"/>
  <c r="I85"/>
  <c r="K84"/>
  <c r="J84"/>
  <c r="I84"/>
  <c r="K83"/>
  <c r="J83"/>
  <c r="I83"/>
  <c r="K82"/>
  <c r="J82"/>
  <c r="I82"/>
  <c r="L81"/>
  <c r="K81"/>
  <c r="J81"/>
  <c r="I81"/>
  <c r="K80"/>
  <c r="J80"/>
  <c r="I80"/>
  <c r="K79"/>
  <c r="J79"/>
  <c r="I79"/>
  <c r="K78"/>
  <c r="J78"/>
  <c r="I78"/>
  <c r="K77"/>
  <c r="J77"/>
  <c r="I77"/>
  <c r="K76"/>
  <c r="J76"/>
  <c r="I76"/>
  <c r="K75"/>
  <c r="J75"/>
  <c r="I75"/>
  <c r="K74"/>
  <c r="J74"/>
  <c r="I74"/>
  <c r="AW73"/>
  <c r="AU73"/>
  <c r="AF73"/>
  <c r="AD73"/>
  <c r="K73"/>
  <c r="J73"/>
  <c r="I73"/>
  <c r="AW72"/>
  <c r="AU72"/>
  <c r="AF72"/>
  <c r="AD72"/>
  <c r="K72"/>
  <c r="J72"/>
  <c r="I72"/>
  <c r="AW71"/>
  <c r="AU71"/>
  <c r="AF71"/>
  <c r="AD71"/>
  <c r="L71"/>
  <c r="K71"/>
  <c r="J71"/>
  <c r="I71"/>
  <c r="AW70"/>
  <c r="AU70"/>
  <c r="AF70"/>
  <c r="AD70"/>
  <c r="AW69"/>
  <c r="AU69"/>
  <c r="AF69"/>
  <c r="AD69"/>
  <c r="AW68"/>
  <c r="AU68"/>
  <c r="AF68"/>
  <c r="AD68"/>
  <c r="AW67"/>
  <c r="AU67"/>
  <c r="AF67"/>
  <c r="AD67"/>
  <c r="AW66"/>
  <c r="AU66"/>
  <c r="AF66"/>
  <c r="AD66"/>
  <c r="AW65"/>
  <c r="AU65"/>
  <c r="AF65"/>
  <c r="AD65"/>
  <c r="AW64"/>
  <c r="AU64"/>
  <c r="AF64"/>
  <c r="AD64"/>
  <c r="AW63"/>
  <c r="AU63"/>
  <c r="AF63"/>
  <c r="AD63"/>
  <c r="AW62"/>
  <c r="AU62"/>
  <c r="AF62"/>
  <c r="AD62"/>
  <c r="M62"/>
  <c r="K62"/>
  <c r="AW61"/>
  <c r="AU61"/>
  <c r="AF61"/>
  <c r="AD61"/>
  <c r="M61"/>
  <c r="K61"/>
  <c r="AW60"/>
  <c r="AU60"/>
  <c r="AF60"/>
  <c r="AD60"/>
  <c r="M60"/>
  <c r="K60"/>
  <c r="AW59"/>
  <c r="AU59"/>
  <c r="AF59"/>
  <c r="AD59"/>
  <c r="M59"/>
  <c r="K59"/>
  <c r="AW58"/>
  <c r="AU58"/>
  <c r="AF58"/>
  <c r="AD58"/>
  <c r="M58"/>
  <c r="K58"/>
  <c r="AW57"/>
  <c r="AU57"/>
  <c r="AF57"/>
  <c r="AD57"/>
  <c r="M57"/>
  <c r="K57"/>
  <c r="AW56"/>
  <c r="AU56"/>
  <c r="AH56"/>
  <c r="AF56"/>
  <c r="AD56"/>
  <c r="M56"/>
  <c r="K56"/>
  <c r="M55"/>
  <c r="K55"/>
  <c r="M54"/>
  <c r="K54"/>
  <c r="M53"/>
  <c r="K53"/>
  <c r="M52"/>
  <c r="K52"/>
  <c r="M51"/>
  <c r="K51"/>
  <c r="M50"/>
  <c r="K50"/>
  <c r="M49"/>
  <c r="K49"/>
  <c r="M48"/>
  <c r="K48"/>
  <c r="M47"/>
  <c r="K47"/>
  <c r="M46"/>
  <c r="K46"/>
  <c r="O45"/>
  <c r="M45"/>
  <c r="K45"/>
  <c r="Q34"/>
  <c r="Q33"/>
  <c r="Q32"/>
  <c r="Q31"/>
  <c r="Q30"/>
  <c r="Q29"/>
  <c r="Q28"/>
  <c r="Q27"/>
  <c r="Q26"/>
  <c r="Q25"/>
  <c r="Q24"/>
  <c r="Q23"/>
  <c r="Q22"/>
  <c r="V39" i="14"/>
  <c r="V38"/>
  <c r="V37"/>
  <c r="V36"/>
  <c r="V35"/>
  <c r="V34"/>
  <c r="O29"/>
  <c r="O28"/>
  <c r="O27"/>
  <c r="O26"/>
  <c r="O25"/>
  <c r="O24"/>
  <c r="AP66" i="13"/>
  <c r="AO66"/>
  <c r="AN66"/>
  <c r="AB66"/>
  <c r="AA66"/>
  <c r="Z66"/>
  <c r="AP65"/>
  <c r="AO65"/>
  <c r="AN65"/>
  <c r="AB65"/>
  <c r="AA65"/>
  <c r="Z65"/>
  <c r="AP64"/>
  <c r="AO64"/>
  <c r="AN64"/>
  <c r="AB64"/>
  <c r="AA64"/>
  <c r="Z64"/>
  <c r="AP63"/>
  <c r="AO63"/>
  <c r="AN63"/>
  <c r="AB63"/>
  <c r="AA63"/>
  <c r="Z63"/>
  <c r="K63"/>
  <c r="J63"/>
  <c r="I63"/>
  <c r="AP62"/>
  <c r="AO62"/>
  <c r="AN62"/>
  <c r="AB62"/>
  <c r="AA62"/>
  <c r="Z62"/>
  <c r="K62"/>
  <c r="J62"/>
  <c r="I62"/>
  <c r="K61"/>
  <c r="J61"/>
  <c r="I61"/>
  <c r="K60"/>
  <c r="J60"/>
  <c r="I60"/>
  <c r="K59"/>
  <c r="J59"/>
  <c r="I59"/>
  <c r="K58"/>
  <c r="J58"/>
  <c r="I58"/>
  <c r="K57"/>
  <c r="J57"/>
  <c r="I57"/>
  <c r="K56"/>
  <c r="J56"/>
  <c r="I56"/>
  <c r="K55"/>
  <c r="J55"/>
  <c r="I55"/>
  <c r="K54"/>
  <c r="J54"/>
  <c r="I54"/>
  <c r="S45"/>
  <c r="S44"/>
  <c r="S43"/>
  <c r="S42"/>
  <c r="S41"/>
  <c r="S40"/>
  <c r="S39"/>
  <c r="S38"/>
  <c r="S37"/>
  <c r="S36"/>
  <c r="S35"/>
  <c r="S34"/>
  <c r="S33"/>
  <c r="S32"/>
  <c r="S31"/>
  <c r="S30"/>
  <c r="S29"/>
  <c r="S28"/>
  <c r="S27"/>
  <c r="I166" i="12"/>
  <c r="I165"/>
  <c r="I164"/>
  <c r="I163"/>
  <c r="I162"/>
  <c r="I161"/>
  <c r="I160"/>
  <c r="I159"/>
  <c r="I158"/>
  <c r="I157"/>
  <c r="J155"/>
  <c r="I155"/>
  <c r="J154"/>
  <c r="I154"/>
  <c r="J153"/>
  <c r="I153"/>
  <c r="J152"/>
  <c r="I152"/>
  <c r="J151"/>
  <c r="I151"/>
  <c r="J150"/>
  <c r="I150"/>
  <c r="J149"/>
  <c r="I149"/>
  <c r="J148"/>
  <c r="I148"/>
  <c r="J147"/>
  <c r="I147"/>
  <c r="J146"/>
  <c r="I146"/>
  <c r="K144"/>
  <c r="J144"/>
  <c r="I144"/>
  <c r="K143"/>
  <c r="J143"/>
  <c r="I143"/>
  <c r="K142"/>
  <c r="J142"/>
  <c r="I142"/>
  <c r="K141"/>
  <c r="J141"/>
  <c r="I141"/>
  <c r="K140"/>
  <c r="J140"/>
  <c r="I140"/>
  <c r="K139"/>
  <c r="J139"/>
  <c r="I139"/>
  <c r="K138"/>
  <c r="J138"/>
  <c r="I138"/>
  <c r="K137"/>
  <c r="J137"/>
  <c r="I137"/>
  <c r="K136"/>
  <c r="J136"/>
  <c r="I136"/>
  <c r="K135"/>
  <c r="J135"/>
  <c r="I135"/>
  <c r="K133"/>
  <c r="J133"/>
  <c r="I133"/>
  <c r="K132"/>
  <c r="J132"/>
  <c r="I132"/>
  <c r="K131"/>
  <c r="J131"/>
  <c r="I131"/>
  <c r="K130"/>
  <c r="J130"/>
  <c r="I130"/>
  <c r="K129"/>
  <c r="J129"/>
  <c r="I129"/>
  <c r="K128"/>
  <c r="J128"/>
  <c r="I128"/>
  <c r="K127"/>
  <c r="J127"/>
  <c r="I127"/>
  <c r="K126"/>
  <c r="J126"/>
  <c r="I126"/>
  <c r="K125"/>
  <c r="J125"/>
  <c r="I125"/>
  <c r="K124"/>
  <c r="J124"/>
  <c r="I124"/>
  <c r="J122"/>
  <c r="I122"/>
  <c r="J121"/>
  <c r="I121"/>
  <c r="J120"/>
  <c r="I120"/>
  <c r="J119"/>
  <c r="I119"/>
  <c r="J118"/>
  <c r="I118"/>
  <c r="J117"/>
  <c r="I117"/>
  <c r="J116"/>
  <c r="I116"/>
  <c r="J115"/>
  <c r="I115"/>
  <c r="J114"/>
  <c r="I114"/>
  <c r="J113"/>
  <c r="I113"/>
  <c r="K111"/>
  <c r="J111"/>
  <c r="I111"/>
  <c r="K110"/>
  <c r="J110"/>
  <c r="I110"/>
  <c r="K109"/>
  <c r="J109"/>
  <c r="I109"/>
  <c r="AO108"/>
  <c r="AN108"/>
  <c r="AM108"/>
  <c r="Z108"/>
  <c r="Y108"/>
  <c r="X108"/>
  <c r="K108"/>
  <c r="J108"/>
  <c r="I108"/>
  <c r="AO107"/>
  <c r="AN107"/>
  <c r="AM107"/>
  <c r="Z107"/>
  <c r="Y107"/>
  <c r="X107"/>
  <c r="K107"/>
  <c r="J107"/>
  <c r="I107"/>
  <c r="AO106"/>
  <c r="AN106"/>
  <c r="AM106"/>
  <c r="Z106"/>
  <c r="Y106"/>
  <c r="X106"/>
  <c r="K106"/>
  <c r="J106"/>
  <c r="I106"/>
  <c r="AO105"/>
  <c r="AN105"/>
  <c r="AM105"/>
  <c r="Z105"/>
  <c r="Y105"/>
  <c r="X105"/>
  <c r="K105"/>
  <c r="J105"/>
  <c r="I105"/>
  <c r="AO104"/>
  <c r="AN104"/>
  <c r="AM104"/>
  <c r="Z104"/>
  <c r="Y104"/>
  <c r="X104"/>
  <c r="K104"/>
  <c r="J104"/>
  <c r="I104"/>
  <c r="AO103"/>
  <c r="AN103"/>
  <c r="AM103"/>
  <c r="Z103"/>
  <c r="Y103"/>
  <c r="X103"/>
  <c r="K103"/>
  <c r="J103"/>
  <c r="I103"/>
  <c r="AO102"/>
  <c r="AN102"/>
  <c r="AM102"/>
  <c r="Z102"/>
  <c r="Y102"/>
  <c r="X102"/>
  <c r="K102"/>
  <c r="J102"/>
  <c r="I102"/>
  <c r="AO101"/>
  <c r="AN101"/>
  <c r="AM101"/>
  <c r="Z101"/>
  <c r="Y101"/>
  <c r="X101"/>
  <c r="AO100"/>
  <c r="AN100"/>
  <c r="AM100"/>
  <c r="Z100"/>
  <c r="Y100"/>
  <c r="X100"/>
  <c r="K100"/>
  <c r="J100"/>
  <c r="I100"/>
  <c r="AO99"/>
  <c r="AN99"/>
  <c r="AM99"/>
  <c r="Z99"/>
  <c r="Y99"/>
  <c r="X99"/>
  <c r="K99"/>
  <c r="J99"/>
  <c r="I99"/>
  <c r="K98"/>
  <c r="J98"/>
  <c r="I98"/>
  <c r="K97"/>
  <c r="J97"/>
  <c r="I97"/>
  <c r="K96"/>
  <c r="J96"/>
  <c r="I96"/>
  <c r="K95"/>
  <c r="J95"/>
  <c r="I95"/>
  <c r="K94"/>
  <c r="J94"/>
  <c r="I94"/>
  <c r="K93"/>
  <c r="J93"/>
  <c r="I93"/>
  <c r="K92"/>
  <c r="J92"/>
  <c r="I92"/>
  <c r="K91"/>
  <c r="J91"/>
  <c r="I91"/>
  <c r="U67"/>
  <c r="G67"/>
  <c r="U66"/>
  <c r="G66"/>
  <c r="U65"/>
  <c r="G65"/>
  <c r="U64"/>
  <c r="G64"/>
  <c r="U63"/>
  <c r="G63"/>
  <c r="U62"/>
  <c r="G62"/>
  <c r="U61"/>
  <c r="G61"/>
  <c r="U60"/>
  <c r="G60"/>
  <c r="U59"/>
  <c r="G59"/>
  <c r="U58"/>
  <c r="G58"/>
  <c r="U57"/>
  <c r="G57"/>
  <c r="U56"/>
  <c r="G56"/>
  <c r="U55"/>
  <c r="G55"/>
  <c r="U54"/>
  <c r="G54"/>
  <c r="U53"/>
  <c r="G53"/>
  <c r="U52"/>
  <c r="G52"/>
  <c r="U51"/>
  <c r="G51"/>
  <c r="U50"/>
  <c r="G50"/>
  <c r="U49"/>
  <c r="G49"/>
  <c r="U48"/>
  <c r="G48"/>
  <c r="U47"/>
  <c r="G47"/>
  <c r="U46"/>
  <c r="G46"/>
  <c r="U41"/>
  <c r="G41"/>
  <c r="U40"/>
  <c r="G40"/>
  <c r="U39"/>
  <c r="G39"/>
  <c r="U38"/>
  <c r="G38"/>
  <c r="U37"/>
  <c r="G37"/>
  <c r="U36"/>
  <c r="G36"/>
  <c r="U35"/>
  <c r="G35"/>
  <c r="U34"/>
  <c r="G34"/>
  <c r="U33"/>
  <c r="G33"/>
  <c r="U32"/>
  <c r="G32"/>
  <c r="U31"/>
  <c r="G31"/>
  <c r="U30"/>
  <c r="G30"/>
  <c r="U29"/>
  <c r="G29"/>
  <c r="U28"/>
  <c r="G28"/>
  <c r="U27"/>
  <c r="G27"/>
  <c r="U26"/>
  <c r="G26"/>
  <c r="U25"/>
  <c r="G25"/>
  <c r="U24"/>
  <c r="G24"/>
  <c r="U23"/>
  <c r="G23"/>
  <c r="U22"/>
  <c r="G22"/>
  <c r="U21"/>
  <c r="G21"/>
  <c r="U20"/>
  <c r="G20"/>
  <c r="AL52" i="11"/>
  <c r="Z52"/>
  <c r="AC52" s="1"/>
  <c r="I52"/>
  <c r="AL51"/>
  <c r="Z51"/>
  <c r="AC51"/>
  <c r="I51"/>
  <c r="AL50"/>
  <c r="Z50"/>
  <c r="AC50" s="1"/>
  <c r="I50"/>
  <c r="AL49"/>
  <c r="Z49"/>
  <c r="AC49"/>
  <c r="I49"/>
  <c r="AL48"/>
  <c r="Z48"/>
  <c r="AC48" s="1"/>
  <c r="I48"/>
  <c r="AL47"/>
  <c r="Z47"/>
  <c r="AC47"/>
  <c r="I47"/>
  <c r="AL46"/>
  <c r="Z46"/>
  <c r="AC46" s="1"/>
  <c r="I46"/>
  <c r="AL45"/>
  <c r="Z45"/>
  <c r="AC45"/>
  <c r="I45"/>
  <c r="AL44"/>
  <c r="Z44"/>
  <c r="AC44" s="1"/>
  <c r="I44"/>
  <c r="AL43"/>
  <c r="Z43"/>
  <c r="AC43"/>
  <c r="I43"/>
  <c r="AL42"/>
  <c r="Z42"/>
  <c r="AC42" s="1"/>
  <c r="I42"/>
  <c r="AL41"/>
  <c r="Z41"/>
  <c r="AC41"/>
  <c r="I41"/>
  <c r="AL40"/>
  <c r="Z40"/>
  <c r="AC40" s="1"/>
  <c r="I40"/>
  <c r="AL39"/>
  <c r="Z39"/>
  <c r="AC39"/>
  <c r="I39"/>
  <c r="AL38"/>
  <c r="Z38"/>
  <c r="AC38" s="1"/>
  <c r="I38"/>
  <c r="AL37"/>
  <c r="Z37"/>
  <c r="AC37"/>
  <c r="I37"/>
  <c r="AL36"/>
  <c r="Z36"/>
  <c r="AC36" s="1"/>
  <c r="I36"/>
  <c r="AL35"/>
  <c r="Z35"/>
  <c r="AC35"/>
  <c r="I35"/>
  <c r="AL34"/>
  <c r="Z34"/>
  <c r="AC34" s="1"/>
  <c r="I34"/>
  <c r="AL33"/>
  <c r="Z33"/>
  <c r="AC33"/>
  <c r="I33"/>
  <c r="AL32"/>
  <c r="Z32"/>
  <c r="AC32" s="1"/>
  <c r="I32"/>
  <c r="AL31"/>
  <c r="Z31"/>
  <c r="AC31"/>
  <c r="I31"/>
  <c r="AL30"/>
  <c r="Z30"/>
  <c r="AC30" s="1"/>
  <c r="I30"/>
  <c r="AL29"/>
  <c r="Z29"/>
  <c r="AC29"/>
  <c r="I29"/>
  <c r="AL28"/>
  <c r="Z28"/>
  <c r="AC28" s="1"/>
  <c r="I28"/>
  <c r="AL27"/>
  <c r="Z27"/>
  <c r="AC27"/>
  <c r="I27"/>
  <c r="AL26"/>
  <c r="Z26"/>
  <c r="AC26" s="1"/>
  <c r="I26"/>
  <c r="AL25"/>
  <c r="Z25"/>
  <c r="AC25"/>
  <c r="I25"/>
  <c r="Y44" i="10"/>
  <c r="I44"/>
  <c r="Y43"/>
  <c r="I43"/>
  <c r="Y42"/>
  <c r="I42"/>
  <c r="Y41"/>
  <c r="I41"/>
  <c r="Y40"/>
  <c r="I40"/>
  <c r="Y39"/>
  <c r="I39"/>
  <c r="Y38"/>
  <c r="I38"/>
  <c r="Y37"/>
  <c r="I37"/>
  <c r="Y36"/>
  <c r="I36"/>
  <c r="Y35"/>
  <c r="I35"/>
  <c r="Y34"/>
  <c r="I34"/>
  <c r="Y33"/>
  <c r="I33"/>
  <c r="Y32"/>
  <c r="I32"/>
  <c r="Y31"/>
  <c r="I31"/>
  <c r="Y30"/>
  <c r="I30"/>
  <c r="Y29"/>
  <c r="I29"/>
  <c r="Y28"/>
  <c r="I28"/>
  <c r="Y27"/>
  <c r="I27"/>
  <c r="Y26"/>
  <c r="I26"/>
  <c r="Y25"/>
  <c r="I25"/>
  <c r="Y24"/>
  <c r="I24"/>
  <c r="Y23"/>
  <c r="I23"/>
  <c r="Y22"/>
  <c r="I22"/>
  <c r="Y21"/>
  <c r="I21"/>
  <c r="K94" i="9"/>
  <c r="J94"/>
  <c r="I94"/>
  <c r="K93"/>
  <c r="J93"/>
  <c r="I93"/>
  <c r="K92"/>
  <c r="J92"/>
  <c r="I92"/>
  <c r="K91"/>
  <c r="J91"/>
  <c r="I91"/>
  <c r="K90"/>
  <c r="J90"/>
  <c r="I90"/>
  <c r="L89"/>
  <c r="K89"/>
  <c r="J89"/>
  <c r="I89"/>
  <c r="K88"/>
  <c r="J88"/>
  <c r="I88"/>
  <c r="K87"/>
  <c r="J87"/>
  <c r="I87"/>
  <c r="K86"/>
  <c r="J86"/>
  <c r="I86"/>
  <c r="K85"/>
  <c r="J85"/>
  <c r="I85"/>
  <c r="K84"/>
  <c r="J84"/>
  <c r="I84"/>
  <c r="K83"/>
  <c r="J83"/>
  <c r="I83"/>
  <c r="K82"/>
  <c r="J82"/>
  <c r="I82"/>
  <c r="K81"/>
  <c r="J81"/>
  <c r="I81"/>
  <c r="K80"/>
  <c r="J80"/>
  <c r="I80"/>
  <c r="L79"/>
  <c r="K79"/>
  <c r="J79"/>
  <c r="I79"/>
  <c r="K78"/>
  <c r="J78"/>
  <c r="I78"/>
  <c r="K77"/>
  <c r="J77"/>
  <c r="I77"/>
  <c r="L76"/>
  <c r="K76"/>
  <c r="J76"/>
  <c r="I76"/>
  <c r="BC70"/>
  <c r="BA70"/>
  <c r="AL70"/>
  <c r="AJ70"/>
  <c r="M70"/>
  <c r="K70"/>
  <c r="BC69"/>
  <c r="BA69"/>
  <c r="AL69"/>
  <c r="AJ69"/>
  <c r="M69"/>
  <c r="K69"/>
  <c r="BC68"/>
  <c r="BA68"/>
  <c r="AL68"/>
  <c r="AJ68"/>
  <c r="M68"/>
  <c r="K68"/>
  <c r="BC67"/>
  <c r="BA67"/>
  <c r="AL67"/>
  <c r="AJ67"/>
  <c r="M67"/>
  <c r="K67"/>
  <c r="BC66"/>
  <c r="BA66"/>
  <c r="AL66"/>
  <c r="AJ66"/>
  <c r="M66"/>
  <c r="K66"/>
  <c r="BC65"/>
  <c r="BA65"/>
  <c r="AL65"/>
  <c r="AJ65"/>
  <c r="M65"/>
  <c r="K65"/>
  <c r="BC64"/>
  <c r="BA64"/>
  <c r="AL64"/>
  <c r="AJ64"/>
  <c r="M64"/>
  <c r="K64"/>
  <c r="BC63"/>
  <c r="BA63"/>
  <c r="AL63"/>
  <c r="AJ63"/>
  <c r="M63"/>
  <c r="K63"/>
  <c r="BC62"/>
  <c r="BA62"/>
  <c r="AL62"/>
  <c r="AJ62"/>
  <c r="M62"/>
  <c r="K62"/>
  <c r="BC61"/>
  <c r="BA61"/>
  <c r="AL61"/>
  <c r="AJ61"/>
  <c r="M61"/>
  <c r="K61"/>
  <c r="BC60"/>
  <c r="BA60"/>
  <c r="AL60"/>
  <c r="AJ60"/>
  <c r="M60"/>
  <c r="K60"/>
  <c r="BC59"/>
  <c r="BA59"/>
  <c r="AL59"/>
  <c r="AJ59"/>
  <c r="M59"/>
  <c r="K59"/>
  <c r="BC58"/>
  <c r="BA58"/>
  <c r="AL58"/>
  <c r="AJ58"/>
  <c r="M58"/>
  <c r="K58"/>
  <c r="BC57"/>
  <c r="BA57"/>
  <c r="AL57"/>
  <c r="AJ57"/>
  <c r="M57"/>
  <c r="K57"/>
  <c r="BC56"/>
  <c r="BA56"/>
  <c r="AL56"/>
  <c r="AJ56"/>
  <c r="M56"/>
  <c r="K56"/>
  <c r="BC55"/>
  <c r="BA55"/>
  <c r="AL55"/>
  <c r="AJ55"/>
  <c r="M55"/>
  <c r="K55"/>
  <c r="BC54"/>
  <c r="BA54"/>
  <c r="AL54"/>
  <c r="AJ54"/>
  <c r="M54"/>
  <c r="K54"/>
  <c r="BC53"/>
  <c r="BA53"/>
  <c r="AL53"/>
  <c r="AJ53"/>
  <c r="M53"/>
  <c r="K53"/>
  <c r="BC52"/>
  <c r="BA52"/>
  <c r="AL52"/>
  <c r="AJ52"/>
  <c r="M52"/>
  <c r="K52"/>
  <c r="BC51"/>
  <c r="BA51"/>
  <c r="AL51"/>
  <c r="AJ51"/>
  <c r="M51"/>
  <c r="K51"/>
  <c r="BC50"/>
  <c r="BA50"/>
  <c r="AL50"/>
  <c r="AJ50"/>
  <c r="M50"/>
  <c r="K50"/>
  <c r="BC49"/>
  <c r="BA49"/>
  <c r="AL49"/>
  <c r="AJ49"/>
  <c r="M49"/>
  <c r="K49"/>
  <c r="BC48"/>
  <c r="BA48"/>
  <c r="AL48"/>
  <c r="AJ48"/>
  <c r="M48"/>
  <c r="K48"/>
  <c r="BC47"/>
  <c r="BA47"/>
  <c r="AL47"/>
  <c r="AJ47"/>
  <c r="M47"/>
  <c r="K47"/>
  <c r="BC46"/>
  <c r="BA46"/>
  <c r="AL46"/>
  <c r="AJ46"/>
  <c r="M46"/>
  <c r="K46"/>
  <c r="BC45"/>
  <c r="BA45"/>
  <c r="AL45"/>
  <c r="AJ45"/>
  <c r="M45"/>
  <c r="K45"/>
  <c r="BC44"/>
  <c r="BA44"/>
  <c r="AN44"/>
  <c r="AL44"/>
  <c r="AJ44"/>
  <c r="O44"/>
  <c r="M44"/>
  <c r="K44"/>
  <c r="Q34"/>
  <c r="F34"/>
  <c r="Q33"/>
  <c r="F33"/>
  <c r="V32"/>
  <c r="Q32"/>
  <c r="M32"/>
  <c r="F32"/>
  <c r="B32"/>
  <c r="Q31"/>
  <c r="F31"/>
  <c r="Q30"/>
  <c r="F30"/>
  <c r="V29"/>
  <c r="Q29"/>
  <c r="M29"/>
  <c r="F29"/>
  <c r="B29"/>
  <c r="V28"/>
  <c r="Q28"/>
  <c r="M28"/>
  <c r="F28"/>
  <c r="B28"/>
  <c r="V27"/>
  <c r="Q27"/>
  <c r="M27"/>
  <c r="F27"/>
  <c r="B27"/>
  <c r="V26"/>
  <c r="Q26"/>
  <c r="M26"/>
  <c r="F26"/>
  <c r="B26"/>
  <c r="Q25"/>
  <c r="F25"/>
  <c r="Q24"/>
  <c r="F24"/>
  <c r="V23"/>
  <c r="Q23"/>
  <c r="M23"/>
  <c r="F23"/>
  <c r="B23"/>
  <c r="V22"/>
  <c r="Q22"/>
  <c r="M22"/>
  <c r="F22"/>
  <c r="B22"/>
  <c r="V21"/>
  <c r="Q21"/>
  <c r="M21"/>
  <c r="F21"/>
  <c r="B21"/>
  <c r="V20"/>
  <c r="Q20"/>
  <c r="M20"/>
  <c r="F20"/>
  <c r="B20"/>
  <c r="V19"/>
  <c r="Q19"/>
  <c r="M19"/>
  <c r="F19"/>
  <c r="B19"/>
  <c r="V18"/>
  <c r="Q18"/>
  <c r="M18"/>
  <c r="B18"/>
  <c r="V17"/>
  <c r="Q17"/>
  <c r="M17"/>
  <c r="B17"/>
  <c r="V16"/>
  <c r="Q16"/>
  <c r="M16"/>
  <c r="B16"/>
  <c r="V15"/>
  <c r="Q15"/>
  <c r="M15"/>
  <c r="B15"/>
  <c r="Q14"/>
  <c r="Q13"/>
  <c r="AH46" i="8"/>
  <c r="AA46" s="1"/>
  <c r="X46"/>
  <c r="K46"/>
  <c r="AH45"/>
  <c r="AA45" s="1"/>
  <c r="X45"/>
  <c r="K45"/>
  <c r="AH44"/>
  <c r="AA44" s="1"/>
  <c r="X44"/>
  <c r="K44"/>
  <c r="AH43"/>
  <c r="X43"/>
  <c r="K43"/>
  <c r="AH42"/>
  <c r="AA42" s="1"/>
  <c r="X42"/>
  <c r="K42"/>
  <c r="AH41"/>
  <c r="AA41" s="1"/>
  <c r="X41"/>
  <c r="K41"/>
  <c r="AH40"/>
  <c r="X40"/>
  <c r="AA40" s="1"/>
  <c r="K40"/>
  <c r="AH39"/>
  <c r="X39"/>
  <c r="K39"/>
  <c r="AH38"/>
  <c r="X38"/>
  <c r="AA38"/>
  <c r="K38"/>
  <c r="AH37"/>
  <c r="X37"/>
  <c r="AA37"/>
  <c r="K37"/>
  <c r="AH36"/>
  <c r="X36"/>
  <c r="AA36"/>
  <c r="K36"/>
  <c r="AH35"/>
  <c r="X35"/>
  <c r="AA35" s="1"/>
  <c r="K35"/>
  <c r="AI34"/>
  <c r="AH34"/>
  <c r="Y34"/>
  <c r="X34"/>
  <c r="AA34"/>
  <c r="I34"/>
  <c r="K34"/>
  <c r="AI33"/>
  <c r="AH33"/>
  <c r="Y33"/>
  <c r="X33"/>
  <c r="I33"/>
  <c r="K33"/>
  <c r="AI32"/>
  <c r="AH32"/>
  <c r="Y32"/>
  <c r="X32"/>
  <c r="I32"/>
  <c r="K32"/>
  <c r="AI31"/>
  <c r="AH31"/>
  <c r="Y31"/>
  <c r="X31"/>
  <c r="AA31" s="1"/>
  <c r="I31"/>
  <c r="K31"/>
  <c r="AI30"/>
  <c r="AH30"/>
  <c r="Y30"/>
  <c r="X30"/>
  <c r="I30"/>
  <c r="K30"/>
  <c r="AI29"/>
  <c r="AH29"/>
  <c r="Y29"/>
  <c r="X29"/>
  <c r="AA29"/>
  <c r="I29"/>
  <c r="K29"/>
  <c r="AI28"/>
  <c r="AH28"/>
  <c r="Y28"/>
  <c r="X28"/>
  <c r="I28"/>
  <c r="K28"/>
  <c r="AI27"/>
  <c r="AA27" s="1"/>
  <c r="AH27"/>
  <c r="Y27"/>
  <c r="X27"/>
  <c r="I27"/>
  <c r="K27"/>
  <c r="AI26"/>
  <c r="AH26"/>
  <c r="Y26"/>
  <c r="X26"/>
  <c r="AA26"/>
  <c r="I26"/>
  <c r="K26"/>
  <c r="AI25"/>
  <c r="AH25"/>
  <c r="Y25"/>
  <c r="X25"/>
  <c r="I25"/>
  <c r="K25"/>
  <c r="V49" i="7"/>
  <c r="V48"/>
  <c r="H48"/>
  <c r="V47"/>
  <c r="H47"/>
  <c r="V46"/>
  <c r="H46"/>
  <c r="V45"/>
  <c r="H45"/>
  <c r="V44"/>
  <c r="H44"/>
  <c r="V43"/>
  <c r="H43"/>
  <c r="V42"/>
  <c r="H42"/>
  <c r="V41"/>
  <c r="H41"/>
  <c r="V40"/>
  <c r="H40"/>
  <c r="V39"/>
  <c r="H39"/>
  <c r="V38"/>
  <c r="H38"/>
  <c r="V37"/>
  <c r="H37"/>
  <c r="V36"/>
  <c r="H36"/>
  <c r="V35"/>
  <c r="H35"/>
  <c r="V34"/>
  <c r="H34"/>
  <c r="V33"/>
  <c r="H33"/>
  <c r="V32"/>
  <c r="H32"/>
  <c r="V31"/>
  <c r="H31"/>
  <c r="V30"/>
  <c r="H30"/>
  <c r="V29"/>
  <c r="H29"/>
  <c r="V28"/>
  <c r="H28"/>
  <c r="V27"/>
  <c r="H27"/>
  <c r="V26"/>
  <c r="H26"/>
  <c r="V25"/>
  <c r="H25"/>
  <c r="H24"/>
  <c r="G174" i="51"/>
  <c r="G152"/>
  <c r="G173"/>
  <c r="G172"/>
  <c r="C167"/>
  <c r="G151"/>
  <c r="G150"/>
  <c r="C153" s="1"/>
  <c r="C145"/>
  <c r="G128"/>
  <c r="G106"/>
  <c r="G127"/>
  <c r="G126"/>
  <c r="C121"/>
  <c r="G105"/>
  <c r="G104"/>
  <c r="C107" s="1"/>
  <c r="C99"/>
  <c r="G82"/>
  <c r="G81"/>
  <c r="G80"/>
  <c r="C75"/>
  <c r="G60"/>
  <c r="C53"/>
  <c r="G59"/>
  <c r="G58"/>
  <c r="C61" s="1"/>
  <c r="G37"/>
  <c r="G36"/>
  <c r="G35"/>
  <c r="C30"/>
  <c r="G15"/>
  <c r="H35" i="62"/>
  <c r="H36"/>
  <c r="G14"/>
  <c r="G13"/>
  <c r="AT45" i="28"/>
  <c r="AV45"/>
  <c r="AX45"/>
  <c r="AZ45"/>
  <c r="BB45"/>
  <c r="BD45"/>
  <c r="BB44"/>
  <c r="AX44"/>
  <c r="AT44"/>
  <c r="BD43"/>
  <c r="AZ43"/>
  <c r="AV43"/>
  <c r="BD42"/>
  <c r="BB42"/>
  <c r="AZ42"/>
  <c r="AX42"/>
  <c r="AV42"/>
  <c r="AT42"/>
  <c r="AY37"/>
  <c r="AT37"/>
  <c r="AI44"/>
  <c r="AE44"/>
  <c r="AA44"/>
  <c r="AK43"/>
  <c r="AG43"/>
  <c r="AC43"/>
  <c r="AK42"/>
  <c r="AI42"/>
  <c r="AG42"/>
  <c r="AE42"/>
  <c r="AC42"/>
  <c r="AA42"/>
  <c r="AF37"/>
  <c r="AA37"/>
  <c r="BC34"/>
  <c r="AW34"/>
  <c r="AT34"/>
  <c r="BC33"/>
  <c r="AW33"/>
  <c r="AT33"/>
  <c r="BC32"/>
  <c r="AW32"/>
  <c r="AT32"/>
  <c r="AQ32"/>
  <c r="AP32"/>
  <c r="AN32"/>
  <c r="BC31"/>
  <c r="AW31"/>
  <c r="AT31"/>
  <c r="BC30"/>
  <c r="AW30"/>
  <c r="AT30"/>
  <c r="BC29"/>
  <c r="AW29"/>
  <c r="AT29"/>
  <c r="AQ29"/>
  <c r="AP29"/>
  <c r="AN29"/>
  <c r="BC28"/>
  <c r="AW28"/>
  <c r="AT28"/>
  <c r="BC27"/>
  <c r="AW27"/>
  <c r="AT27"/>
  <c r="BC26"/>
  <c r="AW26"/>
  <c r="AT26"/>
  <c r="BC25"/>
  <c r="AW25"/>
  <c r="AT25"/>
  <c r="BC24"/>
  <c r="AW24"/>
  <c r="AT24"/>
  <c r="BC23"/>
  <c r="AZ23"/>
  <c r="AW23"/>
  <c r="AT23"/>
  <c r="BC22"/>
  <c r="AW22"/>
  <c r="AT22"/>
  <c r="BC21"/>
  <c r="AW21"/>
  <c r="AT21"/>
  <c r="BC20"/>
  <c r="AZ20"/>
  <c r="AW20"/>
  <c r="AT20"/>
  <c r="AQ20"/>
  <c r="AP20"/>
  <c r="AN20"/>
  <c r="AG34"/>
  <c r="AD34"/>
  <c r="AG33"/>
  <c r="AD33"/>
  <c r="AG32"/>
  <c r="AD32"/>
  <c r="Y32"/>
  <c r="W32"/>
  <c r="U32"/>
  <c r="AG31"/>
  <c r="AD31"/>
  <c r="AG30"/>
  <c r="AD30"/>
  <c r="AG29"/>
  <c r="AD29"/>
  <c r="Y29"/>
  <c r="W29"/>
  <c r="U29"/>
  <c r="AG28"/>
  <c r="AD28"/>
  <c r="AG27"/>
  <c r="AD27"/>
  <c r="AG26"/>
  <c r="AD26"/>
  <c r="AG25"/>
  <c r="AD25"/>
  <c r="AG24"/>
  <c r="AD24"/>
  <c r="AJ23"/>
  <c r="AG23"/>
  <c r="AD23"/>
  <c r="AG22"/>
  <c r="AD22"/>
  <c r="AG21"/>
  <c r="AD21"/>
  <c r="AJ20"/>
  <c r="AG20"/>
  <c r="AD20"/>
  <c r="Y20"/>
  <c r="W20"/>
  <c r="U20"/>
  <c r="BB77"/>
  <c r="AV77"/>
  <c r="AS77"/>
  <c r="BB76"/>
  <c r="AV76"/>
  <c r="AS76"/>
  <c r="BB75"/>
  <c r="AV75"/>
  <c r="AS75"/>
  <c r="AP75"/>
  <c r="AO75"/>
  <c r="AM75"/>
  <c r="BB74"/>
  <c r="AV74"/>
  <c r="AS74"/>
  <c r="BB73"/>
  <c r="AV73"/>
  <c r="AS73"/>
  <c r="BB72"/>
  <c r="AV72"/>
  <c r="AS72"/>
  <c r="AP72"/>
  <c r="AO72"/>
  <c r="AM72"/>
  <c r="BB71"/>
  <c r="AV71"/>
  <c r="AS71"/>
  <c r="BB70"/>
  <c r="AV70"/>
  <c r="AS70"/>
  <c r="BB69"/>
  <c r="AV69"/>
  <c r="AS69"/>
  <c r="AP69"/>
  <c r="AO69"/>
  <c r="AM69"/>
  <c r="BB68"/>
  <c r="AV68"/>
  <c r="AS68"/>
  <c r="BB67"/>
  <c r="AV67"/>
  <c r="AS67"/>
  <c r="BB66"/>
  <c r="AV66"/>
  <c r="AS66"/>
  <c r="AP66"/>
  <c r="AO66"/>
  <c r="AM66"/>
  <c r="BB65"/>
  <c r="AV65"/>
  <c r="AS65"/>
  <c r="BB64"/>
  <c r="AV64"/>
  <c r="AS64"/>
  <c r="BB63"/>
  <c r="AV63"/>
  <c r="AS63"/>
  <c r="AP63"/>
  <c r="AO63"/>
  <c r="AM63"/>
  <c r="BB62"/>
  <c r="AV62"/>
  <c r="AS62"/>
  <c r="BB61"/>
  <c r="AV61"/>
  <c r="AS61"/>
  <c r="BB60"/>
  <c r="AV60"/>
  <c r="AS60"/>
  <c r="BB59"/>
  <c r="AV59"/>
  <c r="AS59"/>
  <c r="BB58"/>
  <c r="AV58"/>
  <c r="AS58"/>
  <c r="BB57"/>
  <c r="AY57"/>
  <c r="AV57"/>
  <c r="AS57"/>
  <c r="BB56"/>
  <c r="AV56"/>
  <c r="AS56"/>
  <c r="BB55"/>
  <c r="AV55"/>
  <c r="AS55"/>
  <c r="BB54"/>
  <c r="AY54"/>
  <c r="AV54"/>
  <c r="AS54"/>
  <c r="AP54"/>
  <c r="AO54"/>
  <c r="AM54"/>
  <c r="AF74"/>
  <c r="AC74"/>
  <c r="AF73"/>
  <c r="AC73"/>
  <c r="AF72"/>
  <c r="AC72"/>
  <c r="X72"/>
  <c r="V72"/>
  <c r="AF71"/>
  <c r="AC71"/>
  <c r="AF70"/>
  <c r="AC70"/>
  <c r="AF69"/>
  <c r="AC69"/>
  <c r="X69"/>
  <c r="V69"/>
  <c r="AF68"/>
  <c r="AC68"/>
  <c r="AF67"/>
  <c r="AC67"/>
  <c r="AF66"/>
  <c r="AC66"/>
  <c r="X66"/>
  <c r="V66"/>
  <c r="AF65"/>
  <c r="AC65"/>
  <c r="AF64"/>
  <c r="AC64"/>
  <c r="AF63"/>
  <c r="AC63"/>
  <c r="X63"/>
  <c r="V63"/>
  <c r="AF62"/>
  <c r="AC62"/>
  <c r="AF61"/>
  <c r="AC61"/>
  <c r="AF60"/>
  <c r="AC60"/>
  <c r="AF59"/>
  <c r="AC59"/>
  <c r="AF58"/>
  <c r="AC58"/>
  <c r="AI57"/>
  <c r="AF57"/>
  <c r="AC57"/>
  <c r="AF56"/>
  <c r="AC56"/>
  <c r="AF55"/>
  <c r="AC55"/>
  <c r="AI54"/>
  <c r="AF54"/>
  <c r="AC54"/>
  <c r="X54"/>
  <c r="V54"/>
  <c r="T54"/>
  <c r="AO29" i="39"/>
  <c r="AP28"/>
  <c r="AO28"/>
  <c r="AM28"/>
  <c r="AP27"/>
  <c r="AO27"/>
  <c r="AM27"/>
  <c r="AP26"/>
  <c r="AO26"/>
  <c r="AM26"/>
  <c r="AP25"/>
  <c r="AO25"/>
  <c r="AM25"/>
  <c r="AP24"/>
  <c r="AO24"/>
  <c r="AM24"/>
  <c r="AP23"/>
  <c r="AP22"/>
  <c r="AP21"/>
  <c r="AP20"/>
  <c r="AP19"/>
  <c r="AP18"/>
  <c r="AP17"/>
  <c r="AP16"/>
  <c r="AG16"/>
  <c r="AP15"/>
  <c r="AG15"/>
  <c r="AF15"/>
  <c r="AF16" s="1"/>
  <c r="AF17" s="1"/>
  <c r="AF18" s="1"/>
  <c r="AF19" s="1"/>
  <c r="AF20" s="1"/>
  <c r="AF21" s="1"/>
  <c r="AF22" s="1"/>
  <c r="AF23"/>
  <c r="AP14"/>
  <c r="AO14"/>
  <c r="AI29" s="1"/>
  <c r="AM14"/>
  <c r="AB29"/>
  <c r="AC28"/>
  <c r="AB28"/>
  <c r="Z28"/>
  <c r="AC27"/>
  <c r="AB27"/>
  <c r="Z27"/>
  <c r="AC26"/>
  <c r="AB26"/>
  <c r="Z26"/>
  <c r="AC25"/>
  <c r="AB25"/>
  <c r="Z25"/>
  <c r="AC24"/>
  <c r="AB24"/>
  <c r="Z24"/>
  <c r="AC23"/>
  <c r="AC22"/>
  <c r="AC21"/>
  <c r="AC20"/>
  <c r="AC19"/>
  <c r="AC18"/>
  <c r="AC17"/>
  <c r="AC16"/>
  <c r="AC15"/>
  <c r="AC14"/>
  <c r="AB14"/>
  <c r="V29"/>
  <c r="Z14"/>
  <c r="T15"/>
  <c r="S15"/>
  <c r="S16" s="1"/>
  <c r="S17"/>
  <c r="S18" s="1"/>
  <c r="S19"/>
  <c r="S20" s="1"/>
  <c r="S21" s="1"/>
  <c r="S22" s="1"/>
  <c r="S23" s="1"/>
  <c r="L34" i="3"/>
  <c r="I34"/>
  <c r="B34"/>
  <c r="A34"/>
  <c r="Q34" s="1"/>
  <c r="U33"/>
  <c r="R33" s="1"/>
  <c r="T33"/>
  <c r="S33"/>
  <c r="Q33"/>
  <c r="L33"/>
  <c r="I33"/>
  <c r="L32"/>
  <c r="I32"/>
  <c r="D32"/>
  <c r="D34"/>
  <c r="M34" s="1"/>
  <c r="B32"/>
  <c r="A32"/>
  <c r="U31"/>
  <c r="R31"/>
  <c r="T31"/>
  <c r="S31"/>
  <c r="Q31"/>
  <c r="L31"/>
  <c r="I31"/>
  <c r="M31"/>
  <c r="D31"/>
  <c r="L30"/>
  <c r="I30"/>
  <c r="B30"/>
  <c r="A30"/>
  <c r="M30" s="1"/>
  <c r="U29"/>
  <c r="R29"/>
  <c r="T29"/>
  <c r="S29"/>
  <c r="Q29"/>
  <c r="L29"/>
  <c r="I29"/>
  <c r="M29" s="1"/>
  <c r="L28"/>
  <c r="I28"/>
  <c r="L27"/>
  <c r="I27"/>
  <c r="L26"/>
  <c r="I26"/>
  <c r="L25"/>
  <c r="I25"/>
  <c r="L24"/>
  <c r="I24"/>
  <c r="L23"/>
  <c r="I23"/>
  <c r="L22"/>
  <c r="I22"/>
  <c r="L21"/>
  <c r="I21"/>
  <c r="L20"/>
  <c r="I20"/>
  <c r="B20"/>
  <c r="A20"/>
  <c r="U19"/>
  <c r="R19" s="1"/>
  <c r="T19"/>
  <c r="S19"/>
  <c r="Q19"/>
  <c r="M19"/>
  <c r="L19"/>
  <c r="I19"/>
  <c r="AR33"/>
  <c r="AR31"/>
  <c r="AR29"/>
  <c r="AR21"/>
  <c r="AQ35"/>
  <c r="Y35"/>
  <c r="AE35"/>
  <c r="AQ34"/>
  <c r="AM34"/>
  <c r="AJ34"/>
  <c r="AI34"/>
  <c r="AQ33"/>
  <c r="AM33"/>
  <c r="AQ32"/>
  <c r="AM32"/>
  <c r="AL32"/>
  <c r="AL34"/>
  <c r="AJ32"/>
  <c r="AI32"/>
  <c r="AQ31"/>
  <c r="AM31"/>
  <c r="AL31"/>
  <c r="AL33"/>
  <c r="AQ30"/>
  <c r="AM30"/>
  <c r="AJ30"/>
  <c r="AI30"/>
  <c r="AQ29"/>
  <c r="AM29"/>
  <c r="AQ28"/>
  <c r="AM28"/>
  <c r="AQ27"/>
  <c r="AM27"/>
  <c r="AQ26"/>
  <c r="AM26"/>
  <c r="AQ25"/>
  <c r="AM25"/>
  <c r="AQ24"/>
  <c r="AM24"/>
  <c r="AQ23"/>
  <c r="AM23"/>
  <c r="AQ22"/>
  <c r="AM22"/>
  <c r="AQ21"/>
  <c r="AM21"/>
  <c r="AQ20"/>
  <c r="AM20"/>
  <c r="AJ20"/>
  <c r="AJ21"/>
  <c r="AJ22" s="1"/>
  <c r="AJ23" s="1"/>
  <c r="AJ24" s="1"/>
  <c r="AJ25" s="1"/>
  <c r="AJ26" s="1"/>
  <c r="AJ27" s="1"/>
  <c r="AJ28" s="1"/>
  <c r="AI20"/>
  <c r="AI21" s="1"/>
  <c r="AI22" s="1"/>
  <c r="AI23" s="1"/>
  <c r="AI24" s="1"/>
  <c r="AI25" s="1"/>
  <c r="AI26" s="1"/>
  <c r="AI27" s="1"/>
  <c r="AI28"/>
  <c r="AQ19"/>
  <c r="AM19"/>
  <c r="X34"/>
  <c r="AE34"/>
  <c r="W34"/>
  <c r="AE33"/>
  <c r="Z32"/>
  <c r="Z34"/>
  <c r="X32"/>
  <c r="AE32"/>
  <c r="W32"/>
  <c r="AE31"/>
  <c r="Z31"/>
  <c r="Z33"/>
  <c r="AA31"/>
  <c r="AA30"/>
  <c r="X30"/>
  <c r="AE30"/>
  <c r="W30"/>
  <c r="AE29"/>
  <c r="AA29"/>
  <c r="AA20"/>
  <c r="X20"/>
  <c r="X21"/>
  <c r="X22" s="1"/>
  <c r="X23" s="1"/>
  <c r="X24" s="1"/>
  <c r="X25" s="1"/>
  <c r="X26" s="1"/>
  <c r="X27" s="1"/>
  <c r="X28" s="1"/>
  <c r="W20"/>
  <c r="W21" s="1"/>
  <c r="W22" s="1"/>
  <c r="W23" s="1"/>
  <c r="W24" s="1"/>
  <c r="W25" s="1"/>
  <c r="W26" s="1"/>
  <c r="W27" s="1"/>
  <c r="W28"/>
  <c r="AE19"/>
  <c r="AA19"/>
  <c r="L19" i="61"/>
  <c r="I19"/>
  <c r="B19"/>
  <c r="Q19"/>
  <c r="A19"/>
  <c r="U18"/>
  <c r="R18" s="1"/>
  <c r="T18"/>
  <c r="S18"/>
  <c r="Q18"/>
  <c r="L18"/>
  <c r="I18"/>
  <c r="L17"/>
  <c r="I17"/>
  <c r="C17"/>
  <c r="B17"/>
  <c r="A17"/>
  <c r="U16"/>
  <c r="R16" s="1"/>
  <c r="T16"/>
  <c r="S16"/>
  <c r="Q16"/>
  <c r="L16"/>
  <c r="I16"/>
  <c r="C16"/>
  <c r="L15"/>
  <c r="I15"/>
  <c r="M15" s="1"/>
  <c r="B15"/>
  <c r="Q15"/>
  <c r="A15"/>
  <c r="U14"/>
  <c r="R14" s="1"/>
  <c r="T14"/>
  <c r="S14"/>
  <c r="Q14"/>
  <c r="L14"/>
  <c r="I14"/>
  <c r="M14" s="1"/>
  <c r="L13"/>
  <c r="I13"/>
  <c r="L12"/>
  <c r="I12"/>
  <c r="L11"/>
  <c r="I11"/>
  <c r="L10"/>
  <c r="I10"/>
  <c r="L9"/>
  <c r="I9"/>
  <c r="L8"/>
  <c r="I8"/>
  <c r="L7"/>
  <c r="I7"/>
  <c r="U4"/>
  <c r="R4" s="1"/>
  <c r="T4"/>
  <c r="S4"/>
  <c r="L6"/>
  <c r="I6"/>
  <c r="L5"/>
  <c r="I5"/>
  <c r="B5"/>
  <c r="A5"/>
  <c r="A6" s="1"/>
  <c r="A7"/>
  <c r="A8" s="1"/>
  <c r="A9" s="1"/>
  <c r="A10" s="1"/>
  <c r="A11" s="1"/>
  <c r="A12" s="1"/>
  <c r="A13" s="1"/>
  <c r="Q4"/>
  <c r="M4"/>
  <c r="L4"/>
  <c r="I4"/>
  <c r="N37" i="60"/>
  <c r="N36"/>
  <c r="N35"/>
  <c r="D38"/>
  <c r="N34"/>
  <c r="C30"/>
  <c r="N15"/>
  <c r="N14"/>
  <c r="N13"/>
  <c r="N12"/>
  <c r="C8"/>
  <c r="O56" i="54"/>
  <c r="D57"/>
  <c r="O55"/>
  <c r="C49"/>
  <c r="Q15" i="59"/>
  <c r="Q14"/>
  <c r="F16" s="1"/>
  <c r="F19"/>
  <c r="D21" s="1"/>
  <c r="E8"/>
  <c r="S15" i="58"/>
  <c r="S14"/>
  <c r="F16" s="1"/>
  <c r="G18"/>
  <c r="E20" s="1"/>
  <c r="F9"/>
  <c r="S15" i="57"/>
  <c r="S14"/>
  <c r="F16" s="1"/>
  <c r="F9"/>
  <c r="G18" s="1"/>
  <c r="E20" s="1"/>
  <c r="P86" i="56"/>
  <c r="P85"/>
  <c r="P84"/>
  <c r="P83"/>
  <c r="E87" s="1"/>
  <c r="E90" s="1"/>
  <c r="C92" s="1"/>
  <c r="D77"/>
  <c r="O63"/>
  <c r="O62"/>
  <c r="O61"/>
  <c r="O60"/>
  <c r="C54"/>
  <c r="O40"/>
  <c r="O39"/>
  <c r="D41" s="1"/>
  <c r="D44" s="1"/>
  <c r="O38"/>
  <c r="O37"/>
  <c r="C31"/>
  <c r="O17"/>
  <c r="D18" s="1"/>
  <c r="O16"/>
  <c r="O15"/>
  <c r="O14"/>
  <c r="C8"/>
  <c r="D21" s="1"/>
  <c r="Q14" i="55"/>
  <c r="D15"/>
  <c r="Q13"/>
  <c r="D8"/>
  <c r="E17" s="1"/>
  <c r="Q34" i="54"/>
  <c r="Q33"/>
  <c r="Q32"/>
  <c r="Q31"/>
  <c r="C35" s="1"/>
  <c r="C28"/>
  <c r="E37" s="1"/>
  <c r="C39" s="1"/>
  <c r="Q15"/>
  <c r="Q14"/>
  <c r="Q13"/>
  <c r="Q12"/>
  <c r="C7"/>
  <c r="T34" i="53"/>
  <c r="T33"/>
  <c r="G35" s="1"/>
  <c r="G28"/>
  <c r="H37" s="1"/>
  <c r="F39" s="1"/>
  <c r="S14"/>
  <c r="S13"/>
  <c r="F15" s="1"/>
  <c r="F8"/>
  <c r="G17" s="1"/>
  <c r="E19" s="1"/>
  <c r="S35" i="52"/>
  <c r="S34"/>
  <c r="F36" s="1"/>
  <c r="F29"/>
  <c r="G38" s="1"/>
  <c r="E40"/>
  <c r="R15"/>
  <c r="E16"/>
  <c r="R14"/>
  <c r="E9"/>
  <c r="F18" s="1"/>
  <c r="D20" s="1"/>
  <c r="G14" i="51"/>
  <c r="C16"/>
  <c r="G13"/>
  <c r="C8"/>
  <c r="G12" i="49"/>
  <c r="C7"/>
  <c r="G35" i="48"/>
  <c r="G34"/>
  <c r="G33"/>
  <c r="G32"/>
  <c r="G31"/>
  <c r="G30"/>
  <c r="C26"/>
  <c r="C6"/>
  <c r="G13"/>
  <c r="G12"/>
  <c r="G11"/>
  <c r="G10"/>
  <c r="G127" i="47"/>
  <c r="G126"/>
  <c r="G125"/>
  <c r="C121"/>
  <c r="G108"/>
  <c r="G107"/>
  <c r="G106"/>
  <c r="C102"/>
  <c r="G89"/>
  <c r="G88"/>
  <c r="G87"/>
  <c r="C83"/>
  <c r="G70"/>
  <c r="G69"/>
  <c r="G68"/>
  <c r="C64"/>
  <c r="G51"/>
  <c r="G50"/>
  <c r="G49"/>
  <c r="C45"/>
  <c r="G32"/>
  <c r="G31"/>
  <c r="G30"/>
  <c r="C26"/>
  <c r="G13"/>
  <c r="G12"/>
  <c r="G11"/>
  <c r="C7"/>
  <c r="G12" i="46"/>
  <c r="G11"/>
  <c r="C7"/>
  <c r="G64" i="45"/>
  <c r="G63"/>
  <c r="G62"/>
  <c r="C58"/>
  <c r="G47"/>
  <c r="G46"/>
  <c r="G45"/>
  <c r="C41"/>
  <c r="G30"/>
  <c r="G29"/>
  <c r="G28"/>
  <c r="C24"/>
  <c r="G13"/>
  <c r="G12"/>
  <c r="G11"/>
  <c r="C7"/>
  <c r="G125" i="44"/>
  <c r="G124"/>
  <c r="G123"/>
  <c r="C119"/>
  <c r="G107"/>
  <c r="G106"/>
  <c r="G105"/>
  <c r="C101"/>
  <c r="G88"/>
  <c r="G87"/>
  <c r="G86"/>
  <c r="C82"/>
  <c r="G70"/>
  <c r="G69"/>
  <c r="G68"/>
  <c r="C64"/>
  <c r="G52"/>
  <c r="G51"/>
  <c r="G50"/>
  <c r="C46"/>
  <c r="G32"/>
  <c r="G31"/>
  <c r="G30"/>
  <c r="C26"/>
  <c r="G13"/>
  <c r="G12"/>
  <c r="G11"/>
  <c r="C7"/>
  <c r="G12" i="43"/>
  <c r="G11"/>
  <c r="G10"/>
  <c r="L28" i="39"/>
  <c r="K28"/>
  <c r="I28"/>
  <c r="P27"/>
  <c r="M27" s="1"/>
  <c r="O27"/>
  <c r="N27"/>
  <c r="L27"/>
  <c r="K27"/>
  <c r="I27"/>
  <c r="L26"/>
  <c r="K26"/>
  <c r="I26"/>
  <c r="P25"/>
  <c r="M25" s="1"/>
  <c r="O25"/>
  <c r="N25"/>
  <c r="L25"/>
  <c r="K25"/>
  <c r="I25"/>
  <c r="L24"/>
  <c r="K24"/>
  <c r="I24"/>
  <c r="L23"/>
  <c r="K23"/>
  <c r="I23"/>
  <c r="L22"/>
  <c r="K22"/>
  <c r="I22"/>
  <c r="L21"/>
  <c r="K21"/>
  <c r="I21"/>
  <c r="L20"/>
  <c r="K20"/>
  <c r="I20"/>
  <c r="L19"/>
  <c r="K19"/>
  <c r="I19"/>
  <c r="L18"/>
  <c r="K18"/>
  <c r="I18"/>
  <c r="L17"/>
  <c r="K17"/>
  <c r="I17"/>
  <c r="L16"/>
  <c r="K16"/>
  <c r="I16"/>
  <c r="L15"/>
  <c r="K15"/>
  <c r="I15"/>
  <c r="B15"/>
  <c r="B16"/>
  <c r="B17" s="1"/>
  <c r="B18"/>
  <c r="B19" s="1"/>
  <c r="B20"/>
  <c r="B21" s="1"/>
  <c r="B22" s="1"/>
  <c r="B23" s="1"/>
  <c r="A15"/>
  <c r="A16" s="1"/>
  <c r="A17"/>
  <c r="A18" s="1"/>
  <c r="A19"/>
  <c r="A20" s="1"/>
  <c r="A21" s="1"/>
  <c r="A22" s="1"/>
  <c r="A23" s="1"/>
  <c r="P14"/>
  <c r="M14"/>
  <c r="O14"/>
  <c r="N14"/>
  <c r="L14"/>
  <c r="K14"/>
  <c r="D29" s="1"/>
  <c r="I14"/>
  <c r="AX107" i="36"/>
  <c r="AU107"/>
  <c r="AM107"/>
  <c r="AX103"/>
  <c r="AU103"/>
  <c r="AM103"/>
  <c r="AX102"/>
  <c r="AU102"/>
  <c r="AM102"/>
  <c r="AX101"/>
  <c r="AU101"/>
  <c r="AM101"/>
  <c r="AX100"/>
  <c r="AU100"/>
  <c r="AM100"/>
  <c r="AX99"/>
  <c r="AU99"/>
  <c r="W99"/>
  <c r="AM99" s="1"/>
  <c r="E99"/>
  <c r="AU98"/>
  <c r="AV98" s="1"/>
  <c r="BB95"/>
  <c r="AY95"/>
  <c r="AQ95"/>
  <c r="BB94"/>
  <c r="AY94"/>
  <c r="AQ94"/>
  <c r="BB93"/>
  <c r="AY93"/>
  <c r="AQ93"/>
  <c r="BB92"/>
  <c r="AY92"/>
  <c r="AQ92"/>
  <c r="BB91"/>
  <c r="AY91"/>
  <c r="AQ91"/>
  <c r="E91"/>
  <c r="AY90" s="1"/>
  <c r="AZ90" s="1"/>
  <c r="AY77"/>
  <c r="AA77"/>
  <c r="AQ77"/>
  <c r="AY76"/>
  <c r="AA76"/>
  <c r="AQ76" s="1"/>
  <c r="BB75"/>
  <c r="AY75"/>
  <c r="AA75"/>
  <c r="AQ75" s="1"/>
  <c r="BB74"/>
  <c r="AY74"/>
  <c r="AA74"/>
  <c r="AQ74" s="1"/>
  <c r="BB73"/>
  <c r="AY73"/>
  <c r="AA73"/>
  <c r="AQ73" s="1"/>
  <c r="BB72"/>
  <c r="AY72"/>
  <c r="AA72"/>
  <c r="AQ72" s="1"/>
  <c r="BB71"/>
  <c r="AY71"/>
  <c r="AA71"/>
  <c r="AQ71" s="1"/>
  <c r="BB70"/>
  <c r="AY70"/>
  <c r="AA70"/>
  <c r="AQ70" s="1"/>
  <c r="BB69"/>
  <c r="AY69"/>
  <c r="AA69"/>
  <c r="AQ69" s="1"/>
  <c r="BB68"/>
  <c r="AY68"/>
  <c r="AA68"/>
  <c r="AQ68" s="1"/>
  <c r="E68"/>
  <c r="AY67" s="1"/>
  <c r="AZ67"/>
  <c r="AY64"/>
  <c r="AQ64"/>
  <c r="AA64"/>
  <c r="AY63"/>
  <c r="AA63"/>
  <c r="AQ63" s="1"/>
  <c r="BB62"/>
  <c r="AY62"/>
  <c r="AA62"/>
  <c r="AQ62" s="1"/>
  <c r="BB61"/>
  <c r="AY61"/>
  <c r="AA61"/>
  <c r="AQ61" s="1"/>
  <c r="BB60"/>
  <c r="AY60"/>
  <c r="AA60"/>
  <c r="AQ60" s="1"/>
  <c r="BB59"/>
  <c r="AY59"/>
  <c r="AA59"/>
  <c r="AQ59" s="1"/>
  <c r="BB58"/>
  <c r="AY58"/>
  <c r="AA58"/>
  <c r="AQ58" s="1"/>
  <c r="BB57"/>
  <c r="AY57"/>
  <c r="AA57"/>
  <c r="AQ57" s="1"/>
  <c r="BB56"/>
  <c r="AY56"/>
  <c r="AA56"/>
  <c r="AQ56" s="1"/>
  <c r="BB55"/>
  <c r="AY55"/>
  <c r="AA55"/>
  <c r="AQ55" s="1"/>
  <c r="E55"/>
  <c r="AY54" s="1"/>
  <c r="AZ54" s="1"/>
  <c r="BB51"/>
  <c r="AY51"/>
  <c r="AQ51"/>
  <c r="BB50"/>
  <c r="AY50"/>
  <c r="AQ50"/>
  <c r="BB49"/>
  <c r="AY49"/>
  <c r="AQ49"/>
  <c r="BB48"/>
  <c r="AY48"/>
  <c r="AQ48"/>
  <c r="BB47"/>
  <c r="AY47"/>
  <c r="AQ47"/>
  <c r="BB46"/>
  <c r="AY46"/>
  <c r="AA46"/>
  <c r="AQ46" s="1"/>
  <c r="E46"/>
  <c r="AY45"/>
  <c r="AZ45" s="1"/>
  <c r="BB42"/>
  <c r="AY42"/>
  <c r="AQ42"/>
  <c r="BB41"/>
  <c r="AY41"/>
  <c r="AQ41"/>
  <c r="BB40"/>
  <c r="AY40"/>
  <c r="AQ40"/>
  <c r="BB39"/>
  <c r="AY39"/>
  <c r="AQ39"/>
  <c r="BB38"/>
  <c r="AY38"/>
  <c r="AQ38"/>
  <c r="BB37"/>
  <c r="AY37"/>
  <c r="AA37"/>
  <c r="AQ37" s="1"/>
  <c r="E37"/>
  <c r="AY36" s="1"/>
  <c r="AZ36" s="1"/>
  <c r="W87"/>
  <c r="AO87" s="1"/>
  <c r="W86"/>
  <c r="AO86" s="1"/>
  <c r="W85"/>
  <c r="AO85" s="1"/>
  <c r="W84"/>
  <c r="AO84" s="1"/>
  <c r="W83"/>
  <c r="AO83" s="1"/>
  <c r="W82"/>
  <c r="AO82" s="1"/>
  <c r="W81"/>
  <c r="AO81" s="1"/>
  <c r="E81"/>
  <c r="AY80" s="1"/>
  <c r="AZ80"/>
  <c r="AT79"/>
  <c r="AP79"/>
  <c r="G79"/>
  <c r="BC33"/>
  <c r="BC28"/>
  <c r="AY28"/>
  <c r="AC53" i="29"/>
  <c r="Q53"/>
  <c r="E53"/>
  <c r="O82" i="28"/>
  <c r="O81"/>
  <c r="M71"/>
  <c r="M70"/>
  <c r="M69"/>
  <c r="M68"/>
  <c r="M67"/>
  <c r="M66"/>
  <c r="M65"/>
  <c r="M64"/>
  <c r="M63"/>
  <c r="M62"/>
  <c r="M61"/>
  <c r="M60"/>
  <c r="M59"/>
  <c r="M58"/>
  <c r="M57"/>
  <c r="M56"/>
  <c r="M55"/>
  <c r="M54"/>
  <c r="O49"/>
  <c r="O48"/>
  <c r="O47"/>
  <c r="O46"/>
  <c r="O45"/>
  <c r="O44"/>
  <c r="O43"/>
  <c r="O42"/>
  <c r="O41"/>
  <c r="O40"/>
  <c r="O39"/>
  <c r="O38"/>
  <c r="M34"/>
  <c r="M33"/>
  <c r="M32"/>
  <c r="M31"/>
  <c r="M30"/>
  <c r="M29"/>
  <c r="M28"/>
  <c r="M27"/>
  <c r="M26"/>
  <c r="M25"/>
  <c r="M24"/>
  <c r="M23"/>
  <c r="M22"/>
  <c r="M21"/>
  <c r="M20"/>
  <c r="AE21" i="3"/>
  <c r="AA21"/>
  <c r="AE20"/>
  <c r="AA32"/>
  <c r="AA34"/>
  <c r="AA33"/>
  <c r="AA22"/>
  <c r="AE22"/>
  <c r="AE23"/>
  <c r="AA23"/>
  <c r="AE24"/>
  <c r="AA24"/>
  <c r="AE25"/>
  <c r="AA25"/>
  <c r="AA26"/>
  <c r="AE26"/>
  <c r="AE27"/>
  <c r="AA27"/>
  <c r="AE28"/>
  <c r="AA28"/>
  <c r="AM16" i="39"/>
  <c r="Q32" i="3"/>
  <c r="Q30"/>
  <c r="D33"/>
  <c r="H35" i="17"/>
  <c r="J16"/>
  <c r="F30"/>
  <c r="F28"/>
  <c r="I28"/>
  <c r="H37"/>
  <c r="AL42" i="25"/>
  <c r="AH42"/>
  <c r="AN42"/>
  <c r="AG42"/>
  <c r="AM42"/>
  <c r="T40"/>
  <c r="Z40"/>
  <c r="D41"/>
  <c r="J41"/>
  <c r="AG41"/>
  <c r="AM41"/>
  <c r="I42"/>
  <c r="AF43"/>
  <c r="AG43" s="1"/>
  <c r="AH41"/>
  <c r="AN41"/>
  <c r="AM43"/>
  <c r="AO15" i="39"/>
  <c r="AM15"/>
  <c r="C19" i="61"/>
  <c r="M19" s="1"/>
  <c r="AG17" i="39"/>
  <c r="AM17" s="1"/>
  <c r="AO16"/>
  <c r="B21" i="3"/>
  <c r="E41" i="25"/>
  <c r="K41" s="1"/>
  <c r="C44"/>
  <c r="D24" i="19"/>
  <c r="E42" i="25"/>
  <c r="K42"/>
  <c r="C43"/>
  <c r="E43" s="1"/>
  <c r="D26" i="19"/>
  <c r="F22"/>
  <c r="K43" i="25"/>
  <c r="I43"/>
  <c r="D44"/>
  <c r="J44" s="1"/>
  <c r="AO17" i="39"/>
  <c r="AG18"/>
  <c r="AM18"/>
  <c r="H20" i="41"/>
  <c r="AT36" i="16"/>
  <c r="AK35" i="3"/>
  <c r="I30" i="17"/>
  <c r="F31"/>
  <c r="Q17" i="61"/>
  <c r="M17"/>
  <c r="AH43" i="25"/>
  <c r="AN43"/>
  <c r="AL43"/>
  <c r="S42"/>
  <c r="S43"/>
  <c r="Y43" s="1"/>
  <c r="Y41"/>
  <c r="T41"/>
  <c r="Z41"/>
  <c r="U41"/>
  <c r="AA41"/>
  <c r="B22" i="3"/>
  <c r="B23" i="56"/>
  <c r="AL40" i="25"/>
  <c r="AG40"/>
  <c r="AM40"/>
  <c r="AH40"/>
  <c r="AN40"/>
  <c r="C19" i="55"/>
  <c r="D43" i="25"/>
  <c r="J43" s="1"/>
  <c r="B46" i="56"/>
  <c r="AA32" i="8"/>
  <c r="T43" i="25"/>
  <c r="Z43" s="1"/>
  <c r="Y42"/>
  <c r="T42"/>
  <c r="Z42" s="1"/>
  <c r="U42"/>
  <c r="AA42"/>
  <c r="D103" i="11"/>
  <c r="J103" s="1"/>
  <c r="I103"/>
  <c r="E103"/>
  <c r="K103"/>
  <c r="I102"/>
  <c r="D102"/>
  <c r="J102"/>
  <c r="E100"/>
  <c r="K100" s="1"/>
  <c r="D100"/>
  <c r="J100"/>
  <c r="I100"/>
  <c r="I99"/>
  <c r="E99"/>
  <c r="K99"/>
  <c r="D99"/>
  <c r="J99" s="1"/>
  <c r="D97"/>
  <c r="J97"/>
  <c r="I97"/>
  <c r="E97"/>
  <c r="K97"/>
  <c r="M9" i="76"/>
  <c r="M11"/>
  <c r="M13"/>
  <c r="M15"/>
  <c r="M17"/>
  <c r="K44" i="7"/>
  <c r="H4" i="78"/>
  <c r="I34" i="15"/>
  <c r="N76" i="8"/>
  <c r="K37" i="7"/>
  <c r="K28"/>
  <c r="N73" i="8"/>
  <c r="P29" i="11"/>
  <c r="H7" i="75"/>
  <c r="K65" i="12"/>
  <c r="P50" i="11"/>
  <c r="K40" i="12"/>
  <c r="N71" i="8"/>
  <c r="I26" i="15"/>
  <c r="H13" i="78"/>
  <c r="L39" i="10"/>
  <c r="L29"/>
  <c r="L26"/>
  <c r="O63" i="28"/>
  <c r="H13" i="75"/>
  <c r="O29" i="8"/>
  <c r="H10" i="75"/>
  <c r="I24" i="15"/>
  <c r="P28" i="11"/>
  <c r="K38" i="14"/>
  <c r="H23" i="75"/>
  <c r="K53" i="12"/>
  <c r="K45" i="7"/>
  <c r="O39" i="8"/>
  <c r="P39" i="11"/>
  <c r="Q38" i="28"/>
  <c r="P35" i="11"/>
  <c r="L25" i="10"/>
  <c r="O54" i="28"/>
  <c r="J28" i="13"/>
  <c r="O25" i="28"/>
  <c r="O29"/>
  <c r="H11" i="75"/>
  <c r="O71" i="28"/>
  <c r="N72" i="8"/>
  <c r="H15" i="78"/>
  <c r="O28" i="28"/>
  <c r="K22" i="12"/>
  <c r="L34" i="10"/>
  <c r="P33" i="11"/>
  <c r="P47"/>
  <c r="K28" i="12"/>
  <c r="I25" i="15"/>
  <c r="H26" i="75"/>
  <c r="O31" i="28"/>
  <c r="H30" i="71"/>
  <c r="Q45" i="28"/>
  <c r="O46" i="8"/>
  <c r="N81"/>
  <c r="H41" i="71"/>
  <c r="H28"/>
  <c r="L21" i="10"/>
  <c r="I17" i="9"/>
  <c r="N69" i="8"/>
  <c r="L22" i="10"/>
  <c r="K36" i="12"/>
  <c r="K23"/>
  <c r="H40" i="71"/>
  <c r="H37"/>
  <c r="P36" i="11"/>
  <c r="H26" i="71"/>
  <c r="O24" i="28"/>
  <c r="K34" i="12"/>
  <c r="K34" i="7"/>
  <c r="H22" i="75"/>
  <c r="K38" i="7"/>
  <c r="Q47" i="28"/>
  <c r="K35" i="12"/>
  <c r="L41" i="10"/>
  <c r="I18" i="9"/>
  <c r="H19" i="75"/>
  <c r="P51" i="11"/>
  <c r="J44" i="13"/>
  <c r="L35" i="10"/>
  <c r="H28" i="14"/>
  <c r="O26" i="28"/>
  <c r="Q81"/>
  <c r="O25" i="8"/>
  <c r="H27" i="75"/>
  <c r="N68" i="8"/>
  <c r="K21" i="12"/>
  <c r="H9" i="78"/>
  <c r="L28" i="10"/>
  <c r="H17" i="75"/>
  <c r="K42" i="7"/>
  <c r="H15" i="75"/>
  <c r="O23" i="28"/>
  <c r="O42" i="8"/>
  <c r="H33" i="71"/>
  <c r="O40" i="8"/>
  <c r="H25" i="71"/>
  <c r="J35" i="13"/>
  <c r="K62" i="12"/>
  <c r="H18" i="75"/>
  <c r="O38" i="8"/>
  <c r="N59"/>
  <c r="H36" i="71"/>
  <c r="K33" i="7"/>
  <c r="O41" i="8"/>
  <c r="K27" i="12"/>
  <c r="K41"/>
  <c r="K26"/>
  <c r="L30" i="10"/>
  <c r="K34" i="14"/>
  <c r="N70" i="8"/>
  <c r="O32" i="28"/>
  <c r="H21" i="71"/>
  <c r="J29" i="13"/>
  <c r="K32" i="12"/>
  <c r="J39" i="13"/>
  <c r="H5" i="78"/>
  <c r="H32" i="71"/>
  <c r="K40" i="7"/>
  <c r="K30" i="12"/>
  <c r="K35" i="14"/>
  <c r="H16" i="78"/>
  <c r="O43" i="8"/>
  <c r="H34" i="71"/>
  <c r="K26" i="7"/>
  <c r="O49" i="8"/>
  <c r="J43" i="13"/>
  <c r="K48" i="7"/>
  <c r="H39" i="71"/>
  <c r="I31" i="15"/>
  <c r="N80" i="8"/>
  <c r="J37" i="13"/>
  <c r="P38" i="11"/>
  <c r="N67" i="8"/>
  <c r="H11" i="78"/>
  <c r="K46" i="12"/>
  <c r="K47"/>
  <c r="O60" i="28"/>
  <c r="I27" i="15"/>
  <c r="N60" i="8"/>
  <c r="K32" i="7"/>
  <c r="J36" i="13"/>
  <c r="J45"/>
  <c r="O21" i="28"/>
  <c r="O61"/>
  <c r="K64" i="12"/>
  <c r="K61"/>
  <c r="P44" i="11"/>
  <c r="O57" i="28"/>
  <c r="H25" i="75"/>
  <c r="I15" i="9"/>
  <c r="O37" i="8"/>
  <c r="K60" i="12"/>
  <c r="H22" i="71"/>
  <c r="H10" i="78"/>
  <c r="O44" i="8"/>
  <c r="O20" i="28"/>
  <c r="H23" i="71"/>
  <c r="K67" i="12"/>
  <c r="K59"/>
  <c r="N74" i="8"/>
  <c r="H27" i="14"/>
  <c r="Q49" i="28"/>
  <c r="H26" i="14"/>
  <c r="K43" i="7"/>
  <c r="L45" i="10"/>
  <c r="K30" i="7"/>
  <c r="N63" i="8"/>
  <c r="O27"/>
  <c r="Q46" i="28"/>
  <c r="L31" i="10"/>
  <c r="H21" i="75"/>
  <c r="O35" i="8"/>
  <c r="K66" i="12"/>
  <c r="I23" i="15"/>
  <c r="K50" i="12"/>
  <c r="L40" i="10"/>
  <c r="Q82" i="28"/>
  <c r="K51" i="12"/>
  <c r="O26" i="8"/>
  <c r="P41" i="11"/>
  <c r="N78" i="8"/>
  <c r="L23" i="10"/>
  <c r="O55" i="28"/>
  <c r="K54" i="12"/>
  <c r="K57"/>
  <c r="Q48" i="28"/>
  <c r="K58" i="12"/>
  <c r="P30" i="11"/>
  <c r="K36" i="7"/>
  <c r="H8" i="75"/>
  <c r="K27" i="7"/>
  <c r="K41"/>
  <c r="N65" i="8"/>
  <c r="L42" i="10"/>
  <c r="J30" i="13"/>
  <c r="K24" i="7"/>
  <c r="O33" i="28"/>
  <c r="N82" i="8"/>
  <c r="H14" i="75"/>
  <c r="L36" i="10"/>
  <c r="Q39" i="28"/>
  <c r="J33" i="13"/>
  <c r="K56" i="12"/>
  <c r="I33" i="15"/>
  <c r="O70" i="28"/>
  <c r="I30" i="15"/>
  <c r="H8" i="78"/>
  <c r="P37" i="11"/>
  <c r="H25" i="14"/>
  <c r="K35" i="7"/>
  <c r="J38" i="13"/>
  <c r="Q42" i="28"/>
  <c r="P26" i="11"/>
  <c r="L24" i="10"/>
  <c r="H24" i="71"/>
  <c r="K37" i="12"/>
  <c r="O48" i="8"/>
  <c r="L27" i="10"/>
  <c r="I14" i="9"/>
  <c r="O69" i="28"/>
  <c r="I16" i="9"/>
  <c r="K47" i="7"/>
  <c r="H28" i="75"/>
  <c r="P46" i="11"/>
  <c r="H14" i="78"/>
  <c r="O65" i="28"/>
  <c r="K25" i="7"/>
  <c r="I28" i="15"/>
  <c r="K48" i="12"/>
  <c r="K29"/>
  <c r="L37" i="10"/>
  <c r="H16" i="75"/>
  <c r="P27" i="11"/>
  <c r="N58" i="8"/>
  <c r="K63" i="12"/>
  <c r="H31" i="71"/>
  <c r="L32" i="10"/>
  <c r="O30" i="28"/>
  <c r="J32" i="13"/>
  <c r="Q40" i="28"/>
  <c r="J41" i="13"/>
  <c r="K31" i="7"/>
  <c r="H9" i="75"/>
  <c r="P48" i="11"/>
  <c r="L43" i="10"/>
  <c r="O30" i="8"/>
  <c r="H35" i="71"/>
  <c r="P40" i="11"/>
  <c r="J31" i="13"/>
  <c r="O64" i="28"/>
  <c r="O67"/>
  <c r="K29" i="7"/>
  <c r="L33" i="10"/>
  <c r="H7" i="78"/>
  <c r="O58" i="28"/>
  <c r="K24" i="12"/>
  <c r="O68" i="28"/>
  <c r="P52" i="11"/>
  <c r="I22" i="15"/>
  <c r="J34" i="13"/>
  <c r="K39" i="12"/>
  <c r="N66" i="8"/>
  <c r="O22" i="28"/>
  <c r="Q44"/>
  <c r="K39" i="14"/>
  <c r="H6" i="78"/>
  <c r="N77" i="8"/>
  <c r="H12" i="78"/>
  <c r="O66" i="28"/>
  <c r="K55" i="12"/>
  <c r="Q43" i="28"/>
  <c r="N64" i="8"/>
  <c r="P34" i="11"/>
  <c r="N79" i="8"/>
  <c r="N75"/>
  <c r="L44" i="10"/>
  <c r="K38" i="12"/>
  <c r="P49" i="11"/>
  <c r="J40" i="13"/>
  <c r="O59" i="28"/>
  <c r="O27"/>
  <c r="N62" i="8"/>
  <c r="P31" i="11"/>
  <c r="O33" i="8"/>
  <c r="K33" i="12"/>
  <c r="K25"/>
  <c r="H38" i="71"/>
  <c r="O31" i="8"/>
  <c r="K39" i="7"/>
  <c r="P42" i="11"/>
  <c r="H27" i="71"/>
  <c r="H20" i="75"/>
  <c r="K37" i="14"/>
  <c r="P43" i="11"/>
  <c r="O34" i="28"/>
  <c r="H29" i="14"/>
  <c r="N61" i="8"/>
  <c r="O62" i="28"/>
  <c r="H42" i="71"/>
  <c r="I13" i="9"/>
  <c r="O32" i="8"/>
  <c r="P25" i="11"/>
  <c r="P32"/>
  <c r="H24" i="14"/>
  <c r="I29" i="15"/>
  <c r="J27" i="13"/>
  <c r="O56" i="28"/>
  <c r="H12" i="75"/>
  <c r="K31" i="12"/>
  <c r="O36" i="8"/>
  <c r="J42" i="13"/>
  <c r="O34" i="8"/>
  <c r="K46" i="7"/>
  <c r="O28" i="8"/>
  <c r="H29" i="71"/>
  <c r="I32" i="15"/>
  <c r="K20" i="12"/>
  <c r="K36" i="14"/>
  <c r="O45" i="8"/>
  <c r="Q41" i="28"/>
  <c r="K52" i="12"/>
  <c r="H24" i="75"/>
  <c r="P45" i="11"/>
  <c r="K49" i="12"/>
  <c r="L38" i="10"/>
  <c r="O47" i="8"/>
  <c r="AG19" i="39" l="1"/>
  <c r="AO18"/>
  <c r="I44" i="25"/>
  <c r="E44"/>
  <c r="K44" s="1"/>
  <c r="A21" i="3"/>
  <c r="M20"/>
  <c r="Q20"/>
  <c r="M21"/>
  <c r="B23"/>
  <c r="F32" i="17"/>
  <c r="I31"/>
  <c r="C16" i="54"/>
  <c r="E18" s="1"/>
  <c r="C20" s="1"/>
  <c r="AA39" i="8"/>
  <c r="U43" i="25"/>
  <c r="AA43" s="1"/>
  <c r="J29" i="39"/>
  <c r="D16" i="60"/>
  <c r="E19" s="1"/>
  <c r="C21" s="1"/>
  <c r="E41"/>
  <c r="C43" s="1"/>
  <c r="Q5" i="61"/>
  <c r="B6"/>
  <c r="M32" i="3"/>
  <c r="AA28" i="8"/>
  <c r="AA33"/>
  <c r="M5" i="61"/>
  <c r="M33" i="3"/>
  <c r="D64" i="56"/>
  <c r="D67" s="1"/>
  <c r="B69" s="1"/>
  <c r="D60" i="54"/>
  <c r="B62" s="1"/>
  <c r="M16" i="61"/>
  <c r="C18"/>
  <c r="M18" s="1"/>
  <c r="T16" i="39"/>
  <c r="Z15"/>
  <c r="AB15"/>
  <c r="AA25" i="8"/>
  <c r="AA30"/>
  <c r="AA43"/>
  <c r="Y40" i="25"/>
  <c r="D101" i="11"/>
  <c r="J101" s="1"/>
  <c r="I101"/>
  <c r="E101"/>
  <c r="K101" s="1"/>
  <c r="D96"/>
  <c r="J96" s="1"/>
  <c r="G113" i="73"/>
  <c r="J113" s="1"/>
  <c r="E96" i="11"/>
  <c r="K96" s="1"/>
  <c r="A13" i="71"/>
  <c r="A1" i="75"/>
  <c r="E37" i="71"/>
  <c r="E15" i="75"/>
  <c r="G39" i="13"/>
  <c r="L27" i="11"/>
  <c r="E29" i="71"/>
  <c r="E22"/>
  <c r="L30" i="11"/>
  <c r="J78" i="8"/>
  <c r="J68"/>
  <c r="G27" i="13"/>
  <c r="E36" i="71"/>
  <c r="F23" i="15"/>
  <c r="E41" i="71"/>
  <c r="L29" i="11"/>
  <c r="G33" i="13"/>
  <c r="L51" i="11"/>
  <c r="J63" i="8"/>
  <c r="G40" i="13"/>
  <c r="E18" i="75"/>
  <c r="L45" i="11"/>
  <c r="L31"/>
  <c r="G43" i="13"/>
  <c r="H34" i="14"/>
  <c r="J61" i="8"/>
  <c r="E32" i="71"/>
  <c r="E20" i="75"/>
  <c r="F15" i="9"/>
  <c r="J60" i="8"/>
  <c r="H36" i="14"/>
  <c r="H38"/>
  <c r="F14" i="9"/>
  <c r="L46" i="11"/>
  <c r="J67" i="8"/>
  <c r="L33" i="11"/>
  <c r="L28"/>
  <c r="E27" i="75"/>
  <c r="G34" i="13"/>
  <c r="G30"/>
  <c r="G35"/>
  <c r="E19" i="75"/>
  <c r="H37" i="14"/>
  <c r="E14" i="78"/>
  <c r="E16"/>
  <c r="L44" i="11"/>
  <c r="H35" i="14"/>
  <c r="E11" i="75"/>
  <c r="E24"/>
  <c r="F29" i="15"/>
  <c r="L40" i="11"/>
  <c r="E26" i="75"/>
  <c r="E13"/>
  <c r="E15" i="78"/>
  <c r="E7" i="75"/>
  <c r="J66" i="8"/>
  <c r="L25" i="11"/>
  <c r="L37"/>
  <c r="E17" i="75"/>
  <c r="L36" i="11"/>
  <c r="J80" i="8"/>
  <c r="E14" i="75"/>
  <c r="L50" i="11"/>
  <c r="E6" i="78"/>
  <c r="E23" i="71"/>
  <c r="J71" i="8"/>
  <c r="G45" i="13"/>
  <c r="L32" i="11"/>
  <c r="E21" i="75"/>
  <c r="E7" i="78"/>
  <c r="J77" i="8"/>
  <c r="E35" i="71"/>
  <c r="H39" i="14"/>
  <c r="L48" i="11"/>
  <c r="E4" i="78"/>
  <c r="E5"/>
  <c r="E24" i="14"/>
  <c r="E26" i="71"/>
  <c r="F22" i="15"/>
  <c r="L42" i="11"/>
  <c r="F13" i="9"/>
  <c r="L38" i="11"/>
  <c r="G42" i="13"/>
  <c r="L49" i="11"/>
  <c r="E9" i="78"/>
  <c r="G36" i="13"/>
  <c r="F33" i="15"/>
  <c r="F24"/>
  <c r="E10" i="75"/>
  <c r="L43" i="11"/>
  <c r="E8" i="75"/>
  <c r="L39" i="11"/>
  <c r="E27" i="14"/>
  <c r="E12" i="75"/>
  <c r="L47" i="11"/>
  <c r="J72" i="8"/>
  <c r="E13" i="78"/>
  <c r="E9" i="75"/>
  <c r="E29" i="14"/>
  <c r="G28" i="13"/>
  <c r="L41" i="11"/>
  <c r="E28" i="71"/>
  <c r="J69" i="8"/>
  <c r="J82"/>
  <c r="J74"/>
  <c r="J58"/>
  <c r="F26" i="15"/>
  <c r="L52" i="11"/>
  <c r="J79" i="8"/>
  <c r="E12" i="78"/>
  <c r="E38" i="71"/>
  <c r="F27" i="15"/>
  <c r="J73" i="8"/>
  <c r="J65"/>
  <c r="F28" i="15"/>
  <c r="J64" i="8"/>
  <c r="E21" i="71"/>
  <c r="E24"/>
  <c r="E10" i="78"/>
  <c r="E27" i="71"/>
  <c r="G32" i="13"/>
  <c r="J59" i="8"/>
  <c r="E33" i="71"/>
  <c r="E22" i="75"/>
  <c r="F16" i="9"/>
  <c r="E26" i="14"/>
  <c r="J76" i="8"/>
  <c r="F18" i="9"/>
  <c r="E25" i="75"/>
  <c r="G44" i="13"/>
  <c r="J75" i="8"/>
  <c r="F31" i="15"/>
  <c r="G41" i="13"/>
  <c r="G38"/>
  <c r="F30" i="15"/>
  <c r="E40" i="71"/>
  <c r="L35" i="11"/>
  <c r="F25" i="15"/>
  <c r="E16" i="75"/>
  <c r="G31" i="13"/>
  <c r="J81" i="8"/>
  <c r="E28" i="14"/>
  <c r="F32" i="15"/>
  <c r="E28" i="75"/>
  <c r="E11" i="78"/>
  <c r="L26" i="11"/>
  <c r="E31" i="71"/>
  <c r="E23" i="75"/>
  <c r="J70" i="8"/>
  <c r="F17" i="9"/>
  <c r="E25" i="71"/>
  <c r="L34" i="11"/>
  <c r="E30" i="71"/>
  <c r="E25" i="14"/>
  <c r="E42" i="71"/>
  <c r="F34" i="15"/>
  <c r="E8" i="78"/>
  <c r="E34" i="71"/>
  <c r="J62" i="8"/>
  <c r="G29" i="13"/>
  <c r="G37"/>
  <c r="E39" i="71"/>
  <c r="M6" i="61" l="1"/>
  <c r="Q6"/>
  <c r="B7"/>
  <c r="Q21" i="3"/>
  <c r="A22"/>
  <c r="I32" i="17"/>
  <c r="F33"/>
  <c r="T17" i="39"/>
  <c r="AB16"/>
  <c r="Z16"/>
  <c r="B24" i="3"/>
  <c r="AM19" i="39"/>
  <c r="AG20"/>
  <c r="AO19"/>
  <c r="T18" l="1"/>
  <c r="AB17"/>
  <c r="Z17"/>
  <c r="AO20"/>
  <c r="AM20"/>
  <c r="AG21"/>
  <c r="I33" i="17"/>
  <c r="F34"/>
  <c r="B8" i="61"/>
  <c r="Q7"/>
  <c r="M7"/>
  <c r="B25" i="3"/>
  <c r="A23"/>
  <c r="M22"/>
  <c r="Q22"/>
  <c r="I34" i="17" l="1"/>
  <c r="F35"/>
  <c r="A24" i="3"/>
  <c r="Q23"/>
  <c r="M23"/>
  <c r="B26"/>
  <c r="AG22" i="39"/>
  <c r="AM21"/>
  <c r="AO21"/>
  <c r="M8" i="61"/>
  <c r="B9"/>
  <c r="Q8"/>
  <c r="AB18" i="39"/>
  <c r="Z18"/>
  <c r="T19"/>
  <c r="B27" i="3" l="1"/>
  <c r="A25"/>
  <c r="M24"/>
  <c r="Q24"/>
  <c r="F36" i="17"/>
  <c r="I35"/>
  <c r="Z19" i="39"/>
  <c r="AB19"/>
  <c r="T20"/>
  <c r="M9" i="61"/>
  <c r="B10"/>
  <c r="Q9"/>
  <c r="AG23" i="39"/>
  <c r="AM22"/>
  <c r="AO22"/>
  <c r="M10" i="61" l="1"/>
  <c r="B11"/>
  <c r="Q10"/>
  <c r="A26" i="3"/>
  <c r="Q25"/>
  <c r="M25"/>
  <c r="AO23" i="39"/>
  <c r="AM23"/>
  <c r="AB20"/>
  <c r="T21"/>
  <c r="Z20"/>
  <c r="I36" i="17"/>
  <c r="F37"/>
  <c r="I37" s="1"/>
  <c r="B28" i="3"/>
  <c r="A27" l="1"/>
  <c r="Q26"/>
  <c r="M26"/>
  <c r="AB21" i="39"/>
  <c r="Z21"/>
  <c r="T22"/>
  <c r="Q11" i="61"/>
  <c r="B12"/>
  <c r="M11"/>
  <c r="T23" i="39" l="1"/>
  <c r="AB22"/>
  <c r="Z22"/>
  <c r="M12" i="61"/>
  <c r="B13"/>
  <c r="Q12"/>
  <c r="A28" i="3"/>
  <c r="M27"/>
  <c r="Q27"/>
  <c r="Q28" l="1"/>
  <c r="M28"/>
  <c r="Q13" i="61"/>
  <c r="M13"/>
  <c r="Z23" i="39"/>
  <c r="AB23"/>
</calcChain>
</file>

<file path=xl/comments1.xml><?xml version="1.0" encoding="utf-8"?>
<comments xmlns="http://schemas.openxmlformats.org/spreadsheetml/2006/main">
  <authors>
    <author>good</author>
  </authors>
  <commentList>
    <comment ref="A2" authorId="0">
      <text>
        <r>
          <rPr>
            <b/>
            <sz val="9"/>
            <color indexed="81"/>
            <rFont val="宋体"/>
            <family val="3"/>
            <charset val="134"/>
          </rPr>
          <t>good:</t>
        </r>
        <r>
          <rPr>
            <sz val="9"/>
            <color indexed="81"/>
            <rFont val="宋体"/>
            <family val="3"/>
            <charset val="134"/>
          </rPr>
          <t xml:space="preserve">
量程方案中设置，自己输入</t>
        </r>
      </text>
    </comment>
    <comment ref="C2" authorId="0">
      <text>
        <r>
          <rPr>
            <b/>
            <sz val="9"/>
            <color indexed="81"/>
            <rFont val="宋体"/>
            <family val="3"/>
            <charset val="134"/>
          </rPr>
          <t>good:</t>
        </r>
        <r>
          <rPr>
            <sz val="9"/>
            <color indexed="81"/>
            <rFont val="宋体"/>
            <family val="3"/>
            <charset val="134"/>
          </rPr>
          <t xml:space="preserve">
有固定步长间隔</t>
        </r>
      </text>
    </comment>
    <comment ref="D2" authorId="0">
      <text>
        <r>
          <rPr>
            <b/>
            <sz val="9"/>
            <color indexed="81"/>
            <rFont val="宋体"/>
            <family val="3"/>
            <charset val="134"/>
          </rPr>
          <t>good:</t>
        </r>
        <r>
          <rPr>
            <sz val="9"/>
            <color indexed="81"/>
            <rFont val="宋体"/>
            <family val="3"/>
            <charset val="134"/>
          </rPr>
          <t xml:space="preserve">
自己方案录入</t>
        </r>
      </text>
    </comment>
    <comment ref="E2" authorId="0">
      <text>
        <r>
          <rPr>
            <b/>
            <sz val="9"/>
            <color indexed="81"/>
            <rFont val="宋体"/>
            <family val="3"/>
            <charset val="134"/>
          </rPr>
          <t>good:</t>
        </r>
        <r>
          <rPr>
            <sz val="9"/>
            <color indexed="81"/>
            <rFont val="宋体"/>
            <family val="3"/>
            <charset val="134"/>
          </rPr>
          <t xml:space="preserve">
比准确度等级多2位小数</t>
        </r>
      </text>
    </comment>
    <comment ref="I2" authorId="0">
      <text>
        <r>
          <rPr>
            <b/>
            <sz val="9"/>
            <color indexed="81"/>
            <rFont val="宋体"/>
            <family val="3"/>
            <charset val="134"/>
          </rPr>
          <t>good:</t>
        </r>
        <r>
          <rPr>
            <sz val="9"/>
            <color indexed="81"/>
            <rFont val="宋体"/>
            <family val="3"/>
            <charset val="134"/>
          </rPr>
          <t xml:space="preserve">
1、平均值=（上升值+下降值）/2
2、平均值小数位数要比被试设备准确度等级多2位。</t>
        </r>
      </text>
    </comment>
    <comment ref="M2" authorId="0">
      <text>
        <r>
          <rPr>
            <b/>
            <sz val="9"/>
            <color indexed="81"/>
            <rFont val="宋体"/>
            <family val="3"/>
            <charset val="134"/>
          </rPr>
          <t>good:</t>
        </r>
        <r>
          <rPr>
            <sz val="9"/>
            <color indexed="81"/>
            <rFont val="宋体"/>
            <family val="3"/>
            <charset val="134"/>
          </rPr>
          <t xml:space="preserve">
1、基本误差即为引用误差（仪表的指示值-被测量的平均值）/当前量程*100%，比准确度等级多1位
备注：仪表的指示值=（指示值格数/最大格数）*量程，比准确度等级多2位</t>
        </r>
      </text>
    </comment>
    <comment ref="Q2" authorId="0">
      <text>
        <r>
          <rPr>
            <b/>
            <sz val="9"/>
            <color indexed="81"/>
            <rFont val="宋体"/>
            <family val="3"/>
            <charset val="134"/>
          </rPr>
          <t>good:</t>
        </r>
        <r>
          <rPr>
            <sz val="9"/>
            <color indexed="81"/>
            <rFont val="宋体"/>
            <family val="3"/>
            <charset val="134"/>
          </rPr>
          <t xml:space="preserve">
1、abs(上升读数-下降读数）/当前量程*100%，比准确度等级多1位
备注：abs取绝对值</t>
        </r>
      </text>
    </comment>
    <comment ref="A4" authorId="0">
      <text>
        <r>
          <rPr>
            <b/>
            <sz val="9"/>
            <color indexed="81"/>
            <rFont val="宋体"/>
            <family val="3"/>
            <charset val="134"/>
          </rPr>
          <t>good:</t>
        </r>
        <r>
          <rPr>
            <sz val="9"/>
            <color indexed="81"/>
            <rFont val="宋体"/>
            <family val="3"/>
            <charset val="134"/>
          </rPr>
          <t xml:space="preserve">
DC、AC、空白格</t>
        </r>
      </text>
    </comment>
    <comment ref="B4" authorId="0">
      <text>
        <r>
          <rPr>
            <b/>
            <sz val="9"/>
            <color indexed="81"/>
            <rFont val="宋体"/>
            <family val="3"/>
            <charset val="134"/>
          </rPr>
          <t>good:</t>
        </r>
        <r>
          <rPr>
            <sz val="9"/>
            <color indexed="81"/>
            <rFont val="宋体"/>
            <family val="3"/>
            <charset val="134"/>
          </rPr>
          <t xml:space="preserve">
电压：V Mv μV
电流：A </t>
        </r>
        <r>
          <rPr>
            <sz val="9"/>
            <color indexed="81"/>
            <rFont val="宋体"/>
            <family val="3"/>
            <charset val="134"/>
          </rPr>
          <t>mA</t>
        </r>
        <r>
          <rPr>
            <sz val="9"/>
            <color indexed="81"/>
            <rFont val="宋体"/>
            <family val="3"/>
            <charset val="134"/>
          </rPr>
          <t xml:space="preserve">
功率：W</t>
        </r>
      </text>
    </comment>
  </commentList>
</comments>
</file>

<file path=xl/comments2.xml><?xml version="1.0" encoding="utf-8"?>
<comments xmlns="http://schemas.openxmlformats.org/spreadsheetml/2006/main">
  <authors>
    <author>good</author>
    <author>作者</author>
  </authors>
  <commentList>
    <comment ref="AG16" authorId="0">
      <text>
        <r>
          <rPr>
            <b/>
            <sz val="9"/>
            <color indexed="81"/>
            <rFont val="宋体"/>
            <family val="3"/>
            <charset val="134"/>
          </rPr>
          <t>good:</t>
        </r>
        <r>
          <rPr>
            <sz val="9"/>
            <color indexed="81"/>
            <rFont val="宋体"/>
            <family val="3"/>
            <charset val="134"/>
          </rPr>
          <t xml:space="preserve">
重点确认</t>
        </r>
      </text>
    </comment>
    <comment ref="A17" authorId="0">
      <text>
        <r>
          <rPr>
            <b/>
            <sz val="9"/>
            <color indexed="81"/>
            <rFont val="宋体"/>
            <family val="3"/>
            <charset val="134"/>
          </rPr>
          <t>good:</t>
        </r>
        <r>
          <rPr>
            <sz val="9"/>
            <color indexed="81"/>
            <rFont val="宋体"/>
            <family val="3"/>
            <charset val="134"/>
          </rPr>
          <t xml:space="preserve">
量程方案中设置，自己输入</t>
        </r>
      </text>
    </comment>
    <comment ref="C17" authorId="0">
      <text>
        <r>
          <rPr>
            <b/>
            <sz val="9"/>
            <color indexed="81"/>
            <rFont val="宋体"/>
            <family val="3"/>
            <charset val="134"/>
          </rPr>
          <t>good:</t>
        </r>
        <r>
          <rPr>
            <sz val="9"/>
            <color indexed="81"/>
            <rFont val="宋体"/>
            <family val="3"/>
            <charset val="134"/>
          </rPr>
          <t xml:space="preserve">
方案自己输入</t>
        </r>
      </text>
    </comment>
    <comment ref="D17" authorId="0">
      <text>
        <r>
          <rPr>
            <b/>
            <sz val="9"/>
            <color indexed="81"/>
            <rFont val="宋体"/>
            <family val="3"/>
            <charset val="134"/>
          </rPr>
          <t>good:</t>
        </r>
        <r>
          <rPr>
            <sz val="9"/>
            <color indexed="81"/>
            <rFont val="宋体"/>
            <family val="3"/>
            <charset val="134"/>
          </rPr>
          <t xml:space="preserve">
有固定步长间隔</t>
        </r>
      </text>
    </comment>
    <comment ref="E17" authorId="0">
      <text>
        <r>
          <rPr>
            <b/>
            <sz val="9"/>
            <color indexed="81"/>
            <rFont val="宋体"/>
            <family val="3"/>
            <charset val="134"/>
          </rPr>
          <t>good:</t>
        </r>
        <r>
          <rPr>
            <sz val="9"/>
            <color indexed="81"/>
            <rFont val="宋体"/>
            <family val="3"/>
            <charset val="134"/>
          </rPr>
          <t xml:space="preserve">
比准确度等级多2位小数</t>
        </r>
      </text>
    </comment>
    <comment ref="I17" authorId="0">
      <text>
        <r>
          <rPr>
            <b/>
            <sz val="9"/>
            <color indexed="81"/>
            <rFont val="宋体"/>
            <family val="3"/>
            <charset val="134"/>
          </rPr>
          <t>good:</t>
        </r>
        <r>
          <rPr>
            <sz val="9"/>
            <color indexed="81"/>
            <rFont val="宋体"/>
            <family val="3"/>
            <charset val="134"/>
          </rPr>
          <t xml:space="preserve">
1、平均值=（上升值+下降值）/2
2、平均值小数位数要比被试设备准确度等级多2位。</t>
        </r>
      </text>
    </comment>
    <comment ref="M17" authorId="0">
      <text>
        <r>
          <rPr>
            <b/>
            <sz val="9"/>
            <color indexed="81"/>
            <rFont val="宋体"/>
            <family val="3"/>
            <charset val="134"/>
          </rPr>
          <t>good:</t>
        </r>
        <r>
          <rPr>
            <sz val="9"/>
            <color indexed="81"/>
            <rFont val="宋体"/>
            <family val="3"/>
            <charset val="134"/>
          </rPr>
          <t xml:space="preserve">
1、基本误差即为引用误差（仪表的指示值-被测量的平均值）/当前量程*100%，比准确度等级多1位
备注：仪表的指示值=（指示值格数/最大格数）*量程，比准确度等级多2位</t>
        </r>
      </text>
    </comment>
    <comment ref="Q17" authorId="0">
      <text>
        <r>
          <rPr>
            <b/>
            <sz val="9"/>
            <color indexed="81"/>
            <rFont val="宋体"/>
            <family val="3"/>
            <charset val="134"/>
          </rPr>
          <t>good:</t>
        </r>
        <r>
          <rPr>
            <sz val="9"/>
            <color indexed="81"/>
            <rFont val="宋体"/>
            <family val="3"/>
            <charset val="134"/>
          </rPr>
          <t xml:space="preserve">
1、abs(上升读数-下降读数）/当前量程*100%，比准确度等级多1位
备注：abs取绝对值</t>
        </r>
      </text>
    </comment>
    <comment ref="R17" authorId="0">
      <text>
        <r>
          <rPr>
            <b/>
            <sz val="9"/>
            <color indexed="81"/>
            <rFont val="宋体"/>
            <family val="3"/>
            <charset val="134"/>
          </rPr>
          <t>good:</t>
        </r>
        <r>
          <rPr>
            <sz val="9"/>
            <color indexed="81"/>
            <rFont val="宋体"/>
            <family val="3"/>
            <charset val="134"/>
          </rPr>
          <t xml:space="preserve">
方案中可以下拉选择k=2、k=3</t>
        </r>
      </text>
    </comment>
    <comment ref="A19" authorId="0">
      <text>
        <r>
          <rPr>
            <b/>
            <sz val="9"/>
            <color indexed="81"/>
            <rFont val="宋体"/>
            <family val="3"/>
            <charset val="134"/>
          </rPr>
          <t>good:</t>
        </r>
        <r>
          <rPr>
            <sz val="9"/>
            <color indexed="81"/>
            <rFont val="宋体"/>
            <family val="3"/>
            <charset val="134"/>
          </rPr>
          <t xml:space="preserve">
DC、AC、空白格</t>
        </r>
      </text>
    </comment>
    <comment ref="B19" authorId="0">
      <text>
        <r>
          <rPr>
            <b/>
            <sz val="9"/>
            <color indexed="81"/>
            <rFont val="宋体"/>
            <family val="3"/>
            <charset val="134"/>
          </rPr>
          <t>good:</t>
        </r>
        <r>
          <rPr>
            <sz val="9"/>
            <color indexed="81"/>
            <rFont val="宋体"/>
            <family val="3"/>
            <charset val="134"/>
          </rPr>
          <t xml:space="preserve">
电压：V Mv μV
电流：A </t>
        </r>
        <r>
          <rPr>
            <sz val="9"/>
            <color indexed="81"/>
            <rFont val="宋体"/>
            <family val="3"/>
            <charset val="134"/>
          </rPr>
          <t>mA</t>
        </r>
        <r>
          <rPr>
            <sz val="9"/>
            <color indexed="81"/>
            <rFont val="宋体"/>
            <family val="3"/>
            <charset val="134"/>
          </rPr>
          <t xml:space="preserve">
功率：W</t>
        </r>
      </text>
    </comment>
    <comment ref="C45" authorId="1">
      <text>
        <r>
          <rPr>
            <b/>
            <sz val="9"/>
            <color indexed="81"/>
            <rFont val="宋体"/>
            <family val="3"/>
            <charset val="134"/>
          </rPr>
          <t>作者:</t>
        </r>
        <r>
          <rPr>
            <sz val="9"/>
            <color indexed="81"/>
            <rFont val="宋体"/>
            <family val="3"/>
            <charset val="134"/>
          </rPr>
          <t xml:space="preserve">
自己输入</t>
        </r>
      </text>
    </comment>
    <comment ref="I45" authorId="1">
      <text>
        <r>
          <rPr>
            <b/>
            <sz val="9"/>
            <color indexed="81"/>
            <rFont val="宋体"/>
            <family val="3"/>
            <charset val="134"/>
          </rPr>
          <t>作者:</t>
        </r>
        <r>
          <rPr>
            <sz val="9"/>
            <color indexed="81"/>
            <rFont val="宋体"/>
            <family val="3"/>
            <charset val="134"/>
          </rPr>
          <t xml:space="preserve">
自己输入</t>
        </r>
      </text>
    </comment>
  </commentList>
</comments>
</file>

<file path=xl/comments3.xml><?xml version="1.0" encoding="utf-8"?>
<comments xmlns="http://schemas.openxmlformats.org/spreadsheetml/2006/main">
  <authors>
    <author>good</author>
  </authors>
  <commentList>
    <comment ref="C1" authorId="0">
      <text>
        <r>
          <rPr>
            <b/>
            <sz val="9"/>
            <color indexed="81"/>
            <rFont val="宋体"/>
            <family val="3"/>
            <charset val="134"/>
          </rPr>
          <t>good:</t>
        </r>
        <r>
          <rPr>
            <sz val="9"/>
            <color indexed="81"/>
            <rFont val="宋体"/>
            <family val="3"/>
            <charset val="134"/>
          </rPr>
          <t xml:space="preserve">
</t>
        </r>
        <r>
          <rPr>
            <sz val="9"/>
            <color indexed="81"/>
            <rFont val="宋体"/>
            <family val="3"/>
            <charset val="134"/>
          </rPr>
          <t>1、项目要根据量程单位区分是电压、电流还是功率。</t>
        </r>
        <r>
          <rPr>
            <sz val="9"/>
            <color indexed="81"/>
            <rFont val="宋体"/>
            <family val="3"/>
            <charset val="134"/>
          </rPr>
          <t xml:space="preserve">
</t>
        </r>
        <r>
          <rPr>
            <sz val="9"/>
            <color indexed="81"/>
            <rFont val="宋体"/>
            <family val="3"/>
            <charset val="134"/>
          </rPr>
          <t xml:space="preserve">2、Ua ub </t>
        </r>
        <r>
          <rPr>
            <sz val="9"/>
            <color indexed="81"/>
            <rFont val="宋体"/>
            <family val="3"/>
            <charset val="134"/>
          </rPr>
          <t>小数点后五位，</t>
        </r>
        <r>
          <rPr>
            <sz val="9"/>
            <color indexed="81"/>
            <rFont val="宋体"/>
            <family val="3"/>
            <charset val="134"/>
          </rPr>
          <t>Uc</t>
        </r>
        <r>
          <rPr>
            <sz val="9"/>
            <color indexed="81"/>
            <rFont val="宋体"/>
            <family val="3"/>
            <charset val="134"/>
          </rPr>
          <t>小数点后四位，</t>
        </r>
        <r>
          <rPr>
            <sz val="9"/>
            <color indexed="81"/>
            <rFont val="宋体"/>
            <family val="3"/>
            <charset val="134"/>
          </rPr>
          <t>Urel</t>
        </r>
        <r>
          <rPr>
            <sz val="9"/>
            <color indexed="81"/>
            <rFont val="宋体"/>
            <family val="3"/>
            <charset val="134"/>
          </rPr>
          <t xml:space="preserve">小数点后三位。指示仪表实验室其他规程统一为上述要求。
</t>
        </r>
        <r>
          <rPr>
            <sz val="9"/>
            <color indexed="81"/>
            <rFont val="宋体"/>
            <family val="3"/>
            <charset val="134"/>
          </rPr>
          <t>3、原始记录和证书统一命名为校准结果的不确定度（</t>
        </r>
        <r>
          <rPr>
            <i/>
            <sz val="9"/>
            <color indexed="81"/>
            <rFont val="宋体"/>
            <family val="3"/>
            <charset val="134"/>
          </rPr>
          <t>k</t>
        </r>
        <r>
          <rPr>
            <sz val="9"/>
            <color indexed="81"/>
            <rFont val="宋体"/>
            <family val="3"/>
            <charset val="134"/>
          </rPr>
          <t>=2）。</t>
        </r>
        <r>
          <rPr>
            <sz val="9"/>
            <color indexed="81"/>
            <rFont val="宋体"/>
            <family val="3"/>
            <charset val="134"/>
          </rPr>
          <t xml:space="preserve">
</t>
        </r>
        <r>
          <rPr>
            <sz val="9"/>
            <color indexed="81"/>
            <rFont val="宋体"/>
            <family val="3"/>
            <charset val="134"/>
          </rPr>
          <t>4、其他实验室要根据检定规程的项目而定。</t>
        </r>
      </text>
    </comment>
    <comment ref="G9" authorId="0">
      <text>
        <r>
          <rPr>
            <b/>
            <sz val="9"/>
            <color indexed="81"/>
            <rFont val="宋体"/>
            <family val="3"/>
            <charset val="134"/>
          </rPr>
          <t>good:</t>
        </r>
        <r>
          <rPr>
            <sz val="9"/>
            <color indexed="81"/>
            <rFont val="宋体"/>
            <family val="3"/>
            <charset val="134"/>
          </rPr>
          <t xml:space="preserve">
小数位数根据实际情况，不同</t>
        </r>
      </text>
    </comment>
    <comment ref="B15" authorId="0">
      <text>
        <r>
          <rPr>
            <b/>
            <sz val="9"/>
            <color indexed="81"/>
            <rFont val="宋体"/>
            <family val="3"/>
            <charset val="134"/>
          </rPr>
          <t>good:</t>
        </r>
        <r>
          <rPr>
            <sz val="9"/>
            <color indexed="81"/>
            <rFont val="宋体"/>
            <family val="3"/>
            <charset val="134"/>
          </rPr>
          <t xml:space="preserve">
</t>
        </r>
        <r>
          <rPr>
            <sz val="9"/>
            <color indexed="81"/>
            <rFont val="宋体"/>
            <family val="3"/>
            <charset val="134"/>
          </rPr>
          <t>ua的平方与ub的平方之和，开根号</t>
        </r>
      </text>
    </comment>
    <comment ref="D19" authorId="0">
      <text>
        <r>
          <rPr>
            <b/>
            <sz val="9"/>
            <color indexed="81"/>
            <rFont val="宋体"/>
            <family val="3"/>
            <charset val="134"/>
          </rPr>
          <t>good:</t>
        </r>
        <r>
          <rPr>
            <sz val="9"/>
            <color indexed="81"/>
            <rFont val="宋体"/>
            <family val="3"/>
            <charset val="134"/>
          </rPr>
          <t xml:space="preserve">
默认等于上面的扩展不确定度，但是可以修改</t>
        </r>
      </text>
    </comment>
  </commentList>
</comments>
</file>

<file path=xl/comments4.xml><?xml version="1.0" encoding="utf-8"?>
<comments xmlns="http://schemas.openxmlformats.org/spreadsheetml/2006/main">
  <authors>
    <author>good</author>
  </authors>
  <commentList>
    <comment ref="A16" authorId="0">
      <text>
        <r>
          <rPr>
            <b/>
            <sz val="9"/>
            <color indexed="81"/>
            <rFont val="宋体"/>
            <family val="3"/>
            <charset val="134"/>
          </rPr>
          <t>good:</t>
        </r>
        <r>
          <rPr>
            <sz val="9"/>
            <color indexed="81"/>
            <rFont val="宋体"/>
            <family val="3"/>
            <charset val="134"/>
          </rPr>
          <t xml:space="preserve">
方案中输入</t>
        </r>
      </text>
    </comment>
    <comment ref="C16" authorId="0">
      <text>
        <r>
          <rPr>
            <b/>
            <sz val="9"/>
            <color indexed="81"/>
            <rFont val="宋体"/>
            <family val="3"/>
            <charset val="134"/>
          </rPr>
          <t>good:</t>
        </r>
        <r>
          <rPr>
            <sz val="9"/>
            <color indexed="81"/>
            <rFont val="宋体"/>
            <family val="3"/>
            <charset val="134"/>
          </rPr>
          <t xml:space="preserve">
下拉列表，滞后，超前，空白</t>
        </r>
      </text>
    </comment>
    <comment ref="H16" authorId="0">
      <text>
        <r>
          <rPr>
            <b/>
            <sz val="9"/>
            <color indexed="81"/>
            <rFont val="宋体"/>
            <family val="3"/>
            <charset val="134"/>
          </rPr>
          <t>good:</t>
        </r>
        <r>
          <rPr>
            <sz val="9"/>
            <color indexed="81"/>
            <rFont val="宋体"/>
            <family val="3"/>
            <charset val="134"/>
          </rPr>
          <t xml:space="preserve">
(上升+下降）/2
</t>
        </r>
      </text>
    </comment>
    <comment ref="J16" authorId="0">
      <text>
        <r>
          <rPr>
            <b/>
            <sz val="9"/>
            <color indexed="81"/>
            <rFont val="宋体"/>
            <family val="3"/>
            <charset val="134"/>
          </rPr>
          <t>good:</t>
        </r>
        <r>
          <rPr>
            <sz val="9"/>
            <color indexed="81"/>
            <rFont val="宋体"/>
            <family val="3"/>
            <charset val="134"/>
          </rPr>
          <t xml:space="preserve">
=（指示值-max（上升、下降））/1*100
比准确度等级多1位,四舍六入，五凑偶（奇进偶不进）
参与运算其他值多2位</t>
        </r>
      </text>
    </comment>
    <comment ref="L16" authorId="0">
      <text>
        <r>
          <rPr>
            <b/>
            <sz val="9"/>
            <color indexed="81"/>
            <rFont val="宋体"/>
            <family val="3"/>
            <charset val="134"/>
          </rPr>
          <t>good:</t>
        </r>
        <r>
          <rPr>
            <sz val="9"/>
            <color indexed="81"/>
            <rFont val="宋体"/>
            <family val="3"/>
            <charset val="134"/>
          </rPr>
          <t xml:space="preserve">
abs（上升-下降）/1*100
小数位数参考绝对误差</t>
        </r>
      </text>
    </comment>
    <comment ref="M16" authorId="0">
      <text>
        <r>
          <rPr>
            <b/>
            <sz val="9"/>
            <color indexed="81"/>
            <rFont val="宋体"/>
            <family val="3"/>
            <charset val="134"/>
          </rPr>
          <t>good:</t>
        </r>
        <r>
          <rPr>
            <sz val="9"/>
            <color indexed="81"/>
            <rFont val="宋体"/>
            <family val="3"/>
            <charset val="134"/>
          </rPr>
          <t xml:space="preserve">
方案中可以下拉选择k=2、k=3</t>
        </r>
      </text>
    </comment>
    <comment ref="V16" authorId="0">
      <text>
        <r>
          <rPr>
            <b/>
            <sz val="9"/>
            <color indexed="81"/>
            <rFont val="宋体"/>
            <family val="3"/>
            <charset val="134"/>
          </rPr>
          <t>good:</t>
        </r>
        <r>
          <rPr>
            <sz val="9"/>
            <color indexed="81"/>
            <rFont val="宋体"/>
            <family val="3"/>
            <charset val="134"/>
          </rPr>
          <t xml:space="preserve">
方案中输入</t>
        </r>
      </text>
    </comment>
    <comment ref="X16" authorId="0">
      <text>
        <r>
          <rPr>
            <b/>
            <sz val="9"/>
            <color indexed="81"/>
            <rFont val="宋体"/>
            <family val="3"/>
            <charset val="134"/>
          </rPr>
          <t>good:</t>
        </r>
        <r>
          <rPr>
            <sz val="9"/>
            <color indexed="81"/>
            <rFont val="宋体"/>
            <family val="3"/>
            <charset val="134"/>
          </rPr>
          <t xml:space="preserve">
下拉列表，滞后，超前，空白</t>
        </r>
      </text>
    </comment>
    <comment ref="Z16" authorId="0">
      <text>
        <r>
          <rPr>
            <b/>
            <sz val="9"/>
            <color indexed="81"/>
            <rFont val="宋体"/>
            <family val="3"/>
            <charset val="134"/>
          </rPr>
          <t>good:</t>
        </r>
        <r>
          <rPr>
            <sz val="9"/>
            <color indexed="81"/>
            <rFont val="宋体"/>
            <family val="3"/>
            <charset val="134"/>
          </rPr>
          <t xml:space="preserve">
=（指示值-max（上升、下降））/1*100
比准确度等级多1位,四舍六入，五凑偶（奇进偶不进）
参与运算其他值多2位</t>
        </r>
      </text>
    </comment>
    <comment ref="AB16" authorId="0">
      <text>
        <r>
          <rPr>
            <b/>
            <sz val="9"/>
            <color indexed="81"/>
            <rFont val="宋体"/>
            <family val="3"/>
            <charset val="134"/>
          </rPr>
          <t>good:</t>
        </r>
        <r>
          <rPr>
            <sz val="9"/>
            <color indexed="81"/>
            <rFont val="宋体"/>
            <family val="3"/>
            <charset val="134"/>
          </rPr>
          <t xml:space="preserve">
abs（上升-下降）/1*100
小数位数参考绝对误差</t>
        </r>
      </text>
    </comment>
    <comment ref="AD16" authorId="0">
      <text>
        <r>
          <rPr>
            <b/>
            <sz val="9"/>
            <color indexed="81"/>
            <rFont val="宋体"/>
            <family val="3"/>
            <charset val="134"/>
          </rPr>
          <t>good:</t>
        </r>
        <r>
          <rPr>
            <sz val="9"/>
            <color indexed="81"/>
            <rFont val="宋体"/>
            <family val="3"/>
            <charset val="134"/>
          </rPr>
          <t xml:space="preserve">
方案中输入</t>
        </r>
      </text>
    </comment>
    <comment ref="AF16" authorId="0">
      <text>
        <r>
          <rPr>
            <b/>
            <sz val="9"/>
            <color indexed="81"/>
            <rFont val="宋体"/>
            <family val="3"/>
            <charset val="134"/>
          </rPr>
          <t>good:</t>
        </r>
        <r>
          <rPr>
            <sz val="9"/>
            <color indexed="81"/>
            <rFont val="宋体"/>
            <family val="3"/>
            <charset val="134"/>
          </rPr>
          <t xml:space="preserve">
下拉列表，滞后，超前，空白</t>
        </r>
      </text>
    </comment>
    <comment ref="AH16" authorId="0">
      <text>
        <r>
          <rPr>
            <b/>
            <sz val="9"/>
            <color indexed="81"/>
            <rFont val="宋体"/>
            <family val="3"/>
            <charset val="134"/>
          </rPr>
          <t>good:</t>
        </r>
        <r>
          <rPr>
            <sz val="9"/>
            <color indexed="81"/>
            <rFont val="宋体"/>
            <family val="3"/>
            <charset val="134"/>
          </rPr>
          <t xml:space="preserve">
=（指示值-max（上升、下降））/1*100
比准确度等级多1位,四舍六入，五凑偶（奇进偶不进）
参与运算其他值多2位</t>
        </r>
      </text>
    </comment>
    <comment ref="AJ16" authorId="0">
      <text>
        <r>
          <rPr>
            <b/>
            <sz val="9"/>
            <color indexed="81"/>
            <rFont val="宋体"/>
            <family val="3"/>
            <charset val="134"/>
          </rPr>
          <t>good:</t>
        </r>
        <r>
          <rPr>
            <sz val="9"/>
            <color indexed="81"/>
            <rFont val="宋体"/>
            <family val="3"/>
            <charset val="134"/>
          </rPr>
          <t xml:space="preserve">
abs（上升-下降）/1*100
小数位数参考绝对误差</t>
        </r>
      </text>
    </comment>
    <comment ref="AK16" authorId="0">
      <text>
        <r>
          <rPr>
            <b/>
            <sz val="9"/>
            <color indexed="81"/>
            <rFont val="宋体"/>
            <family val="3"/>
            <charset val="134"/>
          </rPr>
          <t>good:</t>
        </r>
        <r>
          <rPr>
            <sz val="9"/>
            <color indexed="81"/>
            <rFont val="宋体"/>
            <family val="3"/>
            <charset val="134"/>
          </rPr>
          <t xml:space="preserve">
方案中可以下拉选择k=2、k=3</t>
        </r>
      </text>
    </comment>
    <comment ref="C41" authorId="0">
      <text>
        <r>
          <rPr>
            <b/>
            <sz val="9"/>
            <color indexed="81"/>
            <rFont val="宋体"/>
            <family val="3"/>
            <charset val="134"/>
          </rPr>
          <t>good:</t>
        </r>
        <r>
          <rPr>
            <sz val="9"/>
            <color indexed="81"/>
            <rFont val="宋体"/>
            <family val="3"/>
            <charset val="134"/>
          </rPr>
          <t xml:space="preserve">
绝对值中的最大值</t>
        </r>
      </text>
    </comment>
    <comment ref="I41" authorId="0">
      <text>
        <r>
          <rPr>
            <b/>
            <sz val="9"/>
            <color indexed="81"/>
            <rFont val="宋体"/>
            <family val="3"/>
            <charset val="134"/>
          </rPr>
          <t>good:</t>
        </r>
        <r>
          <rPr>
            <sz val="9"/>
            <color indexed="81"/>
            <rFont val="宋体"/>
            <family val="3"/>
            <charset val="134"/>
          </rPr>
          <t xml:space="preserve">
绝对值最大的值</t>
        </r>
      </text>
    </comment>
    <comment ref="M45" authorId="0">
      <text>
        <r>
          <rPr>
            <b/>
            <sz val="9"/>
            <color indexed="81"/>
            <rFont val="宋体"/>
            <family val="3"/>
            <charset val="134"/>
          </rPr>
          <t>good:</t>
        </r>
        <r>
          <rPr>
            <sz val="9"/>
            <color indexed="81"/>
            <rFont val="宋体"/>
            <family val="3"/>
            <charset val="134"/>
          </rPr>
          <t xml:space="preserve">
方案中可以下拉选择k=2、k=3</t>
        </r>
      </text>
    </comment>
    <comment ref="AK45" authorId="0">
      <text>
        <r>
          <rPr>
            <b/>
            <sz val="9"/>
            <color indexed="81"/>
            <rFont val="宋体"/>
            <family val="3"/>
            <charset val="134"/>
          </rPr>
          <t>good:</t>
        </r>
        <r>
          <rPr>
            <sz val="9"/>
            <color indexed="81"/>
            <rFont val="宋体"/>
            <family val="3"/>
            <charset val="134"/>
          </rPr>
          <t xml:space="preserve">
方案中可以下拉选择k=2、k=3</t>
        </r>
      </text>
    </comment>
  </commentList>
</comments>
</file>

<file path=xl/comments5.xml><?xml version="1.0" encoding="utf-8"?>
<comments xmlns="http://schemas.openxmlformats.org/spreadsheetml/2006/main">
  <authors>
    <author>good</author>
  </authors>
  <commentList>
    <comment ref="A12" authorId="0">
      <text>
        <r>
          <rPr>
            <b/>
            <sz val="9"/>
            <color indexed="81"/>
            <rFont val="宋体"/>
            <family val="3"/>
            <charset val="134"/>
          </rPr>
          <t>good:</t>
        </r>
        <r>
          <rPr>
            <sz val="9"/>
            <color indexed="81"/>
            <rFont val="宋体"/>
            <family val="3"/>
            <charset val="134"/>
          </rPr>
          <t xml:space="preserve">
220V 127V  100V </t>
        </r>
      </text>
    </comment>
    <comment ref="C12" authorId="0">
      <text>
        <r>
          <rPr>
            <b/>
            <sz val="9"/>
            <color indexed="81"/>
            <rFont val="宋体"/>
            <family val="3"/>
            <charset val="134"/>
          </rPr>
          <t>good:</t>
        </r>
        <r>
          <rPr>
            <sz val="9"/>
            <color indexed="81"/>
            <rFont val="宋体"/>
            <family val="3"/>
            <charset val="134"/>
          </rPr>
          <t xml:space="preserve">
基本量程间隔1</t>
        </r>
      </text>
    </comment>
    <comment ref="D12" authorId="0">
      <text>
        <r>
          <rPr>
            <b/>
            <sz val="9"/>
            <color indexed="81"/>
            <rFont val="宋体"/>
            <family val="3"/>
            <charset val="134"/>
          </rPr>
          <t>good:</t>
        </r>
        <r>
          <rPr>
            <sz val="9"/>
            <color indexed="81"/>
            <rFont val="宋体"/>
            <family val="3"/>
            <charset val="134"/>
          </rPr>
          <t xml:space="preserve">
自己输入</t>
        </r>
      </text>
    </comment>
    <comment ref="I12" authorId="0">
      <text>
        <r>
          <rPr>
            <b/>
            <sz val="9"/>
            <color indexed="81"/>
            <rFont val="宋体"/>
            <family val="3"/>
            <charset val="134"/>
          </rPr>
          <t>good:</t>
        </r>
        <r>
          <rPr>
            <sz val="9"/>
            <color indexed="81"/>
            <rFont val="宋体"/>
            <family val="3"/>
            <charset val="134"/>
          </rPr>
          <t xml:space="preserve">
引用误差=（指示值-上升值）/量程
小数位数：同接地电阻</t>
        </r>
      </text>
    </comment>
    <comment ref="K12" authorId="0">
      <text>
        <r>
          <rPr>
            <b/>
            <sz val="9"/>
            <color indexed="81"/>
            <rFont val="宋体"/>
            <family val="3"/>
            <charset val="134"/>
          </rPr>
          <t>good:</t>
        </r>
        <r>
          <rPr>
            <sz val="9"/>
            <color indexed="81"/>
            <rFont val="宋体"/>
            <family val="3"/>
            <charset val="134"/>
          </rPr>
          <t xml:space="preserve">
下降误差参考上升误差</t>
        </r>
      </text>
    </comment>
    <comment ref="L12" authorId="0">
      <text>
        <r>
          <rPr>
            <b/>
            <sz val="9"/>
            <color indexed="81"/>
            <rFont val="宋体"/>
            <family val="3"/>
            <charset val="134"/>
          </rPr>
          <t>good:</t>
        </r>
        <r>
          <rPr>
            <sz val="9"/>
            <color indexed="81"/>
            <rFont val="宋体"/>
            <family val="3"/>
            <charset val="134"/>
          </rPr>
          <t xml:space="preserve">
abs（上升-下降）/量程</t>
        </r>
      </text>
    </comment>
    <comment ref="M12" authorId="0">
      <text>
        <r>
          <rPr>
            <b/>
            <sz val="9"/>
            <color indexed="81"/>
            <rFont val="宋体"/>
            <family val="3"/>
            <charset val="134"/>
          </rPr>
          <t>good:</t>
        </r>
        <r>
          <rPr>
            <sz val="9"/>
            <color indexed="81"/>
            <rFont val="宋体"/>
            <family val="3"/>
            <charset val="134"/>
          </rPr>
          <t xml:space="preserve">
比准确度等级多1位</t>
        </r>
      </text>
    </comment>
    <comment ref="N12" authorId="0">
      <text>
        <r>
          <rPr>
            <b/>
            <sz val="9"/>
            <color indexed="81"/>
            <rFont val="宋体"/>
            <family val="3"/>
            <charset val="134"/>
          </rPr>
          <t>good:</t>
        </r>
        <r>
          <rPr>
            <sz val="9"/>
            <color indexed="81"/>
            <rFont val="宋体"/>
            <family val="3"/>
            <charset val="134"/>
          </rPr>
          <t xml:space="preserve">
比准确度等级多2位</t>
        </r>
      </text>
    </comment>
    <comment ref="O12" authorId="0">
      <text>
        <r>
          <rPr>
            <b/>
            <sz val="9"/>
            <color indexed="81"/>
            <rFont val="宋体"/>
            <family val="3"/>
            <charset val="134"/>
          </rPr>
          <t>good:</t>
        </r>
        <r>
          <rPr>
            <sz val="9"/>
            <color indexed="81"/>
            <rFont val="宋体"/>
            <family val="3"/>
            <charset val="134"/>
          </rPr>
          <t xml:space="preserve">
比准确度等级多2位</t>
        </r>
      </text>
    </comment>
    <comment ref="P12" authorId="0">
      <text>
        <r>
          <rPr>
            <b/>
            <sz val="9"/>
            <color indexed="81"/>
            <rFont val="宋体"/>
            <family val="3"/>
            <charset val="134"/>
          </rPr>
          <t>good:</t>
        </r>
        <r>
          <rPr>
            <sz val="9"/>
            <color indexed="81"/>
            <rFont val="宋体"/>
            <family val="3"/>
            <charset val="134"/>
          </rPr>
          <t xml:space="preserve">
比准确度等级等级多2位</t>
        </r>
      </text>
    </comment>
    <comment ref="S12" authorId="0">
      <text>
        <r>
          <rPr>
            <b/>
            <sz val="9"/>
            <color indexed="81"/>
            <rFont val="宋体"/>
            <family val="3"/>
            <charset val="134"/>
          </rPr>
          <t>good:</t>
        </r>
        <r>
          <rPr>
            <sz val="9"/>
            <color indexed="81"/>
            <rFont val="宋体"/>
            <family val="3"/>
            <charset val="134"/>
          </rPr>
          <t xml:space="preserve">
220V 127V  100V </t>
        </r>
      </text>
    </comment>
    <comment ref="U12" authorId="0">
      <text>
        <r>
          <rPr>
            <b/>
            <sz val="9"/>
            <color indexed="81"/>
            <rFont val="宋体"/>
            <family val="3"/>
            <charset val="134"/>
          </rPr>
          <t>good:</t>
        </r>
        <r>
          <rPr>
            <sz val="9"/>
            <color indexed="81"/>
            <rFont val="宋体"/>
            <family val="3"/>
            <charset val="134"/>
          </rPr>
          <t xml:space="preserve">
基本量程间隔1</t>
        </r>
      </text>
    </comment>
    <comment ref="Z12" authorId="0">
      <text>
        <r>
          <rPr>
            <b/>
            <sz val="9"/>
            <color indexed="81"/>
            <rFont val="宋体"/>
            <family val="3"/>
            <charset val="134"/>
          </rPr>
          <t>good:</t>
        </r>
        <r>
          <rPr>
            <sz val="9"/>
            <color indexed="81"/>
            <rFont val="宋体"/>
            <family val="3"/>
            <charset val="134"/>
          </rPr>
          <t xml:space="preserve">
引用误差=（指示值-上升值）/量程
小数位数：同接地电阻</t>
        </r>
      </text>
    </comment>
    <comment ref="AB12" authorId="0">
      <text>
        <r>
          <rPr>
            <b/>
            <sz val="9"/>
            <color indexed="81"/>
            <rFont val="宋体"/>
            <family val="3"/>
            <charset val="134"/>
          </rPr>
          <t>good:</t>
        </r>
        <r>
          <rPr>
            <sz val="9"/>
            <color indexed="81"/>
            <rFont val="宋体"/>
            <family val="3"/>
            <charset val="134"/>
          </rPr>
          <t xml:space="preserve">
下降误差参考上升误差</t>
        </r>
      </text>
    </comment>
    <comment ref="AC12" authorId="0">
      <text>
        <r>
          <rPr>
            <b/>
            <sz val="9"/>
            <color indexed="81"/>
            <rFont val="宋体"/>
            <family val="3"/>
            <charset val="134"/>
          </rPr>
          <t>good:</t>
        </r>
        <r>
          <rPr>
            <sz val="9"/>
            <color indexed="81"/>
            <rFont val="宋体"/>
            <family val="3"/>
            <charset val="134"/>
          </rPr>
          <t xml:space="preserve">
abs（上升-下降）/量程</t>
        </r>
      </text>
    </comment>
    <comment ref="AF12" authorId="0">
      <text>
        <r>
          <rPr>
            <b/>
            <sz val="9"/>
            <color indexed="81"/>
            <rFont val="宋体"/>
            <family val="3"/>
            <charset val="134"/>
          </rPr>
          <t>good:</t>
        </r>
        <r>
          <rPr>
            <sz val="9"/>
            <color indexed="81"/>
            <rFont val="宋体"/>
            <family val="3"/>
            <charset val="134"/>
          </rPr>
          <t xml:space="preserve">
220V 127V  100V </t>
        </r>
      </text>
    </comment>
    <comment ref="AH12" authorId="0">
      <text>
        <r>
          <rPr>
            <b/>
            <sz val="9"/>
            <color indexed="81"/>
            <rFont val="宋体"/>
            <family val="3"/>
            <charset val="134"/>
          </rPr>
          <t>good:</t>
        </r>
        <r>
          <rPr>
            <sz val="9"/>
            <color indexed="81"/>
            <rFont val="宋体"/>
            <family val="3"/>
            <charset val="134"/>
          </rPr>
          <t xml:space="preserve">
基本量程间隔1</t>
        </r>
      </text>
    </comment>
    <comment ref="AM12" authorId="0">
      <text>
        <r>
          <rPr>
            <b/>
            <sz val="9"/>
            <color indexed="81"/>
            <rFont val="宋体"/>
            <family val="3"/>
            <charset val="134"/>
          </rPr>
          <t>good:</t>
        </r>
        <r>
          <rPr>
            <sz val="9"/>
            <color indexed="81"/>
            <rFont val="宋体"/>
            <family val="3"/>
            <charset val="134"/>
          </rPr>
          <t xml:space="preserve">
引用误差=（指示值-上升值）/量程
小数位数：同接地电阻</t>
        </r>
      </text>
    </comment>
    <comment ref="AO12" authorId="0">
      <text>
        <r>
          <rPr>
            <b/>
            <sz val="9"/>
            <color indexed="81"/>
            <rFont val="宋体"/>
            <family val="3"/>
            <charset val="134"/>
          </rPr>
          <t>good:</t>
        </r>
        <r>
          <rPr>
            <sz val="9"/>
            <color indexed="81"/>
            <rFont val="宋体"/>
            <family val="3"/>
            <charset val="134"/>
          </rPr>
          <t xml:space="preserve">
下降误差参考上升误差</t>
        </r>
      </text>
    </comment>
    <comment ref="AP12" authorId="0">
      <text>
        <r>
          <rPr>
            <b/>
            <sz val="9"/>
            <color indexed="81"/>
            <rFont val="宋体"/>
            <family val="3"/>
            <charset val="134"/>
          </rPr>
          <t>good:</t>
        </r>
        <r>
          <rPr>
            <sz val="9"/>
            <color indexed="81"/>
            <rFont val="宋体"/>
            <family val="3"/>
            <charset val="134"/>
          </rPr>
          <t xml:space="preserve">
abs（上升-下降）/量程</t>
        </r>
      </text>
    </comment>
    <comment ref="AQ12" authorId="0">
      <text>
        <r>
          <rPr>
            <b/>
            <sz val="9"/>
            <color indexed="81"/>
            <rFont val="宋体"/>
            <family val="3"/>
            <charset val="134"/>
          </rPr>
          <t>good:</t>
        </r>
        <r>
          <rPr>
            <sz val="9"/>
            <color indexed="81"/>
            <rFont val="宋体"/>
            <family val="3"/>
            <charset val="134"/>
          </rPr>
          <t xml:space="preserve">
比准确度等级多1位</t>
        </r>
      </text>
    </comment>
  </commentList>
</comments>
</file>

<file path=xl/comments6.xml><?xml version="1.0" encoding="utf-8"?>
<comments xmlns="http://schemas.openxmlformats.org/spreadsheetml/2006/main">
  <authors>
    <author>good</author>
  </authors>
  <commentList>
    <comment ref="C2" authorId="0">
      <text>
        <r>
          <rPr>
            <b/>
            <sz val="9"/>
            <color indexed="81"/>
            <rFont val="宋体"/>
            <family val="3"/>
            <charset val="134"/>
          </rPr>
          <t>good:</t>
        </r>
        <r>
          <rPr>
            <sz val="9"/>
            <color indexed="81"/>
            <rFont val="宋体"/>
            <family val="3"/>
            <charset val="134"/>
          </rPr>
          <t xml:space="preserve">
根据电压算不确定度。有可能有多组
</t>
        </r>
        <r>
          <rPr>
            <sz val="9"/>
            <color indexed="10"/>
            <rFont val="宋体"/>
            <family val="3"/>
            <charset val="134"/>
          </rPr>
          <t>能否改成量程</t>
        </r>
      </text>
    </comment>
    <comment ref="G10" authorId="0">
      <text>
        <r>
          <rPr>
            <b/>
            <sz val="9"/>
            <color indexed="81"/>
            <rFont val="宋体"/>
            <family val="3"/>
            <charset val="134"/>
          </rPr>
          <t>good:</t>
        </r>
        <r>
          <rPr>
            <sz val="9"/>
            <color indexed="81"/>
            <rFont val="宋体"/>
            <family val="3"/>
            <charset val="134"/>
          </rPr>
          <t xml:space="preserve">
小数位数根据实际情况，不同</t>
        </r>
      </text>
    </comment>
  </commentList>
</comments>
</file>

<file path=xl/comments7.xml><?xml version="1.0" encoding="utf-8"?>
<comments xmlns="http://schemas.openxmlformats.org/spreadsheetml/2006/main">
  <authors>
    <author>good</author>
  </authors>
  <commentList>
    <comment ref="A17" authorId="0">
      <text>
        <r>
          <rPr>
            <b/>
            <sz val="9"/>
            <color indexed="81"/>
            <rFont val="宋体"/>
            <family val="3"/>
            <charset val="134"/>
          </rPr>
          <t>good:
下拉选择：</t>
        </r>
        <r>
          <rPr>
            <b/>
            <sz val="9"/>
            <color indexed="81"/>
            <rFont val="宋体"/>
            <family val="3"/>
            <charset val="134"/>
          </rPr>
          <t xml:space="preserve">50 100
250 500 1000 2500 5000 </t>
        </r>
      </text>
    </comment>
    <comment ref="B17" authorId="0">
      <text>
        <r>
          <rPr>
            <b/>
            <sz val="9"/>
            <color indexed="81"/>
            <rFont val="宋体"/>
            <family val="3"/>
            <charset val="134"/>
          </rPr>
          <t>good:</t>
        </r>
        <r>
          <rPr>
            <sz val="9"/>
            <color indexed="81"/>
            <rFont val="宋体"/>
            <family val="3"/>
            <charset val="134"/>
          </rPr>
          <t xml:space="preserve">
手工输入</t>
        </r>
      </text>
    </comment>
    <comment ref="C17" authorId="0">
      <text>
        <r>
          <rPr>
            <b/>
            <sz val="9"/>
            <color indexed="81"/>
            <rFont val="宋体"/>
            <family val="3"/>
            <charset val="134"/>
          </rPr>
          <t>good:</t>
        </r>
        <r>
          <rPr>
            <sz val="9"/>
            <color indexed="81"/>
            <rFont val="宋体"/>
            <family val="3"/>
            <charset val="134"/>
          </rPr>
          <t xml:space="preserve">
手工输入</t>
        </r>
      </text>
    </comment>
    <comment ref="D17" authorId="0">
      <text>
        <r>
          <rPr>
            <b/>
            <sz val="9"/>
            <color indexed="81"/>
            <rFont val="宋体"/>
            <family val="3"/>
            <charset val="134"/>
          </rPr>
          <t>good:</t>
        </r>
        <r>
          <rPr>
            <sz val="9"/>
            <color indexed="81"/>
            <rFont val="宋体"/>
            <family val="3"/>
            <charset val="134"/>
          </rPr>
          <t xml:space="preserve">
单位，到数的后面
手工输入</t>
        </r>
      </text>
    </comment>
    <comment ref="H17" authorId="0">
      <text>
        <r>
          <rPr>
            <b/>
            <sz val="9"/>
            <color indexed="81"/>
            <rFont val="宋体"/>
            <family val="3"/>
            <charset val="134"/>
          </rPr>
          <t>good:</t>
        </r>
        <r>
          <rPr>
            <sz val="9"/>
            <color indexed="81"/>
            <rFont val="宋体"/>
            <family val="3"/>
            <charset val="134"/>
          </rPr>
          <t xml:space="preserve">
单位到数后面
比准确度等级多</t>
        </r>
        <r>
          <rPr>
            <sz val="9"/>
            <color indexed="81"/>
            <rFont val="宋体"/>
            <family val="3"/>
            <charset val="134"/>
          </rPr>
          <t>2位</t>
        </r>
      </text>
    </comment>
    <comment ref="K17" authorId="0">
      <text>
        <r>
          <rPr>
            <b/>
            <sz val="9"/>
            <color indexed="81"/>
            <rFont val="宋体"/>
            <family val="3"/>
            <charset val="134"/>
          </rPr>
          <t>good:</t>
        </r>
        <r>
          <rPr>
            <sz val="9"/>
            <color indexed="81"/>
            <rFont val="宋体"/>
            <family val="3"/>
            <charset val="134"/>
          </rPr>
          <t xml:space="preserve">
相对误差：（示值-实际值）/实际值
备注：示值为被试设备的读数
实际值为标准器值</t>
        </r>
      </text>
    </comment>
    <comment ref="X17" authorId="0">
      <text>
        <r>
          <rPr>
            <b/>
            <sz val="9"/>
            <color indexed="81"/>
            <rFont val="宋体"/>
            <family val="3"/>
            <charset val="134"/>
          </rPr>
          <t>good:
下拉选择：</t>
        </r>
        <r>
          <rPr>
            <b/>
            <sz val="9"/>
            <color indexed="81"/>
            <rFont val="宋体"/>
            <family val="3"/>
            <charset val="134"/>
          </rPr>
          <t xml:space="preserve">50 100
250 500 1000 2500 5000 </t>
        </r>
      </text>
    </comment>
    <comment ref="Y17" authorId="0">
      <text>
        <r>
          <rPr>
            <b/>
            <sz val="9"/>
            <color indexed="81"/>
            <rFont val="宋体"/>
            <family val="3"/>
            <charset val="134"/>
          </rPr>
          <t>good:</t>
        </r>
        <r>
          <rPr>
            <sz val="9"/>
            <color indexed="81"/>
            <rFont val="宋体"/>
            <family val="3"/>
            <charset val="134"/>
          </rPr>
          <t xml:space="preserve">
手工输入</t>
        </r>
      </text>
    </comment>
    <comment ref="Z17" authorId="0">
      <text>
        <r>
          <rPr>
            <b/>
            <sz val="9"/>
            <color indexed="81"/>
            <rFont val="宋体"/>
            <family val="3"/>
            <charset val="134"/>
          </rPr>
          <t>good:</t>
        </r>
        <r>
          <rPr>
            <sz val="9"/>
            <color indexed="81"/>
            <rFont val="宋体"/>
            <family val="3"/>
            <charset val="134"/>
          </rPr>
          <t xml:space="preserve">
手工输入</t>
        </r>
      </text>
    </comment>
    <comment ref="AA17" authorId="0">
      <text>
        <r>
          <rPr>
            <b/>
            <sz val="9"/>
            <color indexed="81"/>
            <rFont val="宋体"/>
            <family val="3"/>
            <charset val="134"/>
          </rPr>
          <t>good:</t>
        </r>
        <r>
          <rPr>
            <sz val="9"/>
            <color indexed="81"/>
            <rFont val="宋体"/>
            <family val="3"/>
            <charset val="134"/>
          </rPr>
          <t xml:space="preserve">
单位，到数的后面
手工输入</t>
        </r>
      </text>
    </comment>
    <comment ref="AE17" authorId="0">
      <text>
        <r>
          <rPr>
            <b/>
            <sz val="9"/>
            <color indexed="81"/>
            <rFont val="宋体"/>
            <family val="3"/>
            <charset val="134"/>
          </rPr>
          <t>good:</t>
        </r>
        <r>
          <rPr>
            <sz val="9"/>
            <color indexed="81"/>
            <rFont val="宋体"/>
            <family val="3"/>
            <charset val="134"/>
          </rPr>
          <t xml:space="preserve">
单位到数后面
比准确度等级多</t>
        </r>
        <r>
          <rPr>
            <sz val="9"/>
            <color indexed="81"/>
            <rFont val="宋体"/>
            <family val="3"/>
            <charset val="134"/>
          </rPr>
          <t>2位</t>
        </r>
      </text>
    </comment>
    <comment ref="AH17" authorId="0">
      <text>
        <r>
          <rPr>
            <b/>
            <sz val="9"/>
            <color indexed="81"/>
            <rFont val="宋体"/>
            <family val="3"/>
            <charset val="134"/>
          </rPr>
          <t>good:</t>
        </r>
        <r>
          <rPr>
            <sz val="9"/>
            <color indexed="81"/>
            <rFont val="宋体"/>
            <family val="3"/>
            <charset val="134"/>
          </rPr>
          <t xml:space="preserve">
相对误差：（示值-实际值）/实际值
备注：示值为被试设备的读数
实际值为标准器值</t>
        </r>
      </text>
    </comment>
    <comment ref="AM17" authorId="0">
      <text>
        <r>
          <rPr>
            <b/>
            <sz val="9"/>
            <color indexed="81"/>
            <rFont val="宋体"/>
            <family val="3"/>
            <charset val="134"/>
          </rPr>
          <t>good:
下拉选择：</t>
        </r>
        <r>
          <rPr>
            <b/>
            <sz val="9"/>
            <color indexed="81"/>
            <rFont val="宋体"/>
            <family val="3"/>
            <charset val="134"/>
          </rPr>
          <t xml:space="preserve">50 100
250 500 1000 2500 5000 </t>
        </r>
      </text>
    </comment>
    <comment ref="AN17" authorId="0">
      <text>
        <r>
          <rPr>
            <b/>
            <sz val="9"/>
            <color indexed="81"/>
            <rFont val="宋体"/>
            <family val="3"/>
            <charset val="134"/>
          </rPr>
          <t>good:</t>
        </r>
        <r>
          <rPr>
            <sz val="9"/>
            <color indexed="81"/>
            <rFont val="宋体"/>
            <family val="3"/>
            <charset val="134"/>
          </rPr>
          <t xml:space="preserve">
手工输入</t>
        </r>
      </text>
    </comment>
    <comment ref="AO17" authorId="0">
      <text>
        <r>
          <rPr>
            <b/>
            <sz val="9"/>
            <color indexed="81"/>
            <rFont val="宋体"/>
            <family val="3"/>
            <charset val="134"/>
          </rPr>
          <t>good:</t>
        </r>
        <r>
          <rPr>
            <sz val="9"/>
            <color indexed="81"/>
            <rFont val="宋体"/>
            <family val="3"/>
            <charset val="134"/>
          </rPr>
          <t xml:space="preserve">
手工输入</t>
        </r>
      </text>
    </comment>
    <comment ref="AP17" authorId="0">
      <text>
        <r>
          <rPr>
            <b/>
            <sz val="9"/>
            <color indexed="81"/>
            <rFont val="宋体"/>
            <family val="3"/>
            <charset val="134"/>
          </rPr>
          <t>good:</t>
        </r>
        <r>
          <rPr>
            <sz val="9"/>
            <color indexed="81"/>
            <rFont val="宋体"/>
            <family val="3"/>
            <charset val="134"/>
          </rPr>
          <t xml:space="preserve">
单位，到数的后面
手工输入</t>
        </r>
      </text>
    </comment>
    <comment ref="AT17" authorId="0">
      <text>
        <r>
          <rPr>
            <b/>
            <sz val="9"/>
            <color indexed="81"/>
            <rFont val="宋体"/>
            <family val="3"/>
            <charset val="134"/>
          </rPr>
          <t>good:</t>
        </r>
        <r>
          <rPr>
            <sz val="9"/>
            <color indexed="81"/>
            <rFont val="宋体"/>
            <family val="3"/>
            <charset val="134"/>
          </rPr>
          <t xml:space="preserve">
单位到数后面
比准确度等级多</t>
        </r>
        <r>
          <rPr>
            <sz val="9"/>
            <color indexed="81"/>
            <rFont val="宋体"/>
            <family val="3"/>
            <charset val="134"/>
          </rPr>
          <t>2位</t>
        </r>
      </text>
    </comment>
    <comment ref="AW17" authorId="0">
      <text>
        <r>
          <rPr>
            <b/>
            <sz val="9"/>
            <color indexed="81"/>
            <rFont val="宋体"/>
            <family val="3"/>
            <charset val="134"/>
          </rPr>
          <t>good:</t>
        </r>
        <r>
          <rPr>
            <sz val="9"/>
            <color indexed="81"/>
            <rFont val="宋体"/>
            <family val="3"/>
            <charset val="134"/>
          </rPr>
          <t xml:space="preserve">
相对误差：（示值-实际值）/实际值
备注：示值为被试设备的读数
实际值为标准器值</t>
        </r>
      </text>
    </comment>
    <comment ref="E18" authorId="0">
      <text>
        <r>
          <rPr>
            <b/>
            <sz val="9"/>
            <color indexed="81"/>
            <rFont val="宋体"/>
            <family val="3"/>
            <charset val="134"/>
          </rPr>
          <t>good:</t>
        </r>
        <r>
          <rPr>
            <sz val="9"/>
            <color indexed="81"/>
            <rFont val="宋体"/>
            <family val="3"/>
            <charset val="134"/>
          </rPr>
          <t xml:space="preserve">
统一为MΩ</t>
        </r>
      </text>
    </comment>
    <comment ref="AB18" authorId="0">
      <text>
        <r>
          <rPr>
            <b/>
            <sz val="9"/>
            <color indexed="81"/>
            <rFont val="宋体"/>
            <family val="3"/>
            <charset val="134"/>
          </rPr>
          <t>good:</t>
        </r>
        <r>
          <rPr>
            <sz val="9"/>
            <color indexed="81"/>
            <rFont val="宋体"/>
            <family val="3"/>
            <charset val="134"/>
          </rPr>
          <t xml:space="preserve">
统一为MΩ</t>
        </r>
      </text>
    </comment>
    <comment ref="AQ18" authorId="0">
      <text>
        <r>
          <rPr>
            <b/>
            <sz val="9"/>
            <color indexed="81"/>
            <rFont val="宋体"/>
            <family val="3"/>
            <charset val="134"/>
          </rPr>
          <t>good:</t>
        </r>
        <r>
          <rPr>
            <sz val="9"/>
            <color indexed="81"/>
            <rFont val="宋体"/>
            <family val="3"/>
            <charset val="134"/>
          </rPr>
          <t xml:space="preserve">
统一为MΩ</t>
        </r>
      </text>
    </comment>
    <comment ref="A38" authorId="0">
      <text>
        <r>
          <rPr>
            <b/>
            <sz val="9"/>
            <color indexed="81"/>
            <rFont val="宋体"/>
            <family val="3"/>
            <charset val="134"/>
          </rPr>
          <t>good:</t>
        </r>
        <r>
          <rPr>
            <sz val="9"/>
            <color indexed="81"/>
            <rFont val="宋体"/>
            <family val="3"/>
            <charset val="134"/>
          </rPr>
          <t xml:space="preserve">
下拉选择：</t>
        </r>
        <r>
          <rPr>
            <sz val="9"/>
            <color indexed="81"/>
            <rFont val="宋体"/>
            <family val="3"/>
            <charset val="134"/>
          </rPr>
          <t xml:space="preserve">50 100
250 500 1000 2500 5000 </t>
        </r>
      </text>
    </comment>
    <comment ref="E38" authorId="0">
      <text>
        <r>
          <rPr>
            <b/>
            <sz val="9"/>
            <color indexed="81"/>
            <rFont val="宋体"/>
            <family val="3"/>
            <charset val="134"/>
          </rPr>
          <t>good:</t>
        </r>
        <r>
          <rPr>
            <sz val="9"/>
            <color indexed="81"/>
            <rFont val="宋体"/>
            <family val="3"/>
            <charset val="134"/>
          </rPr>
          <t xml:space="preserve">
相对误差</t>
        </r>
      </text>
    </comment>
    <comment ref="G38" authorId="0">
      <text>
        <r>
          <rPr>
            <b/>
            <sz val="9"/>
            <color indexed="81"/>
            <rFont val="宋体"/>
            <family val="3"/>
            <charset val="134"/>
          </rPr>
          <t>good:</t>
        </r>
        <r>
          <rPr>
            <sz val="9"/>
            <color indexed="81"/>
            <rFont val="宋体"/>
            <family val="3"/>
            <charset val="134"/>
          </rPr>
          <t xml:space="preserve">
统一为当前列值</t>
        </r>
      </text>
    </comment>
    <comment ref="L38" authorId="0">
      <text>
        <r>
          <rPr>
            <b/>
            <sz val="9"/>
            <color indexed="81"/>
            <rFont val="宋体"/>
            <family val="3"/>
            <charset val="134"/>
          </rPr>
          <t>good:</t>
        </r>
        <r>
          <rPr>
            <sz val="9"/>
            <color indexed="81"/>
            <rFont val="宋体"/>
            <family val="3"/>
            <charset val="134"/>
          </rPr>
          <t xml:space="preserve">
相对误差</t>
        </r>
      </text>
    </comment>
    <comment ref="O38" authorId="0">
      <text>
        <r>
          <rPr>
            <b/>
            <sz val="9"/>
            <color indexed="81"/>
            <rFont val="宋体"/>
            <family val="3"/>
            <charset val="134"/>
          </rPr>
          <t>good:</t>
        </r>
        <r>
          <rPr>
            <sz val="9"/>
            <color indexed="81"/>
            <rFont val="宋体"/>
            <family val="3"/>
            <charset val="134"/>
          </rPr>
          <t xml:space="preserve">
固定为列表值</t>
        </r>
      </text>
    </comment>
    <comment ref="X38" authorId="0">
      <text>
        <r>
          <rPr>
            <b/>
            <sz val="9"/>
            <color indexed="81"/>
            <rFont val="宋体"/>
            <family val="3"/>
            <charset val="134"/>
          </rPr>
          <t>good:</t>
        </r>
        <r>
          <rPr>
            <sz val="9"/>
            <color indexed="81"/>
            <rFont val="宋体"/>
            <family val="3"/>
            <charset val="134"/>
          </rPr>
          <t xml:space="preserve">
下拉选择：</t>
        </r>
        <r>
          <rPr>
            <sz val="9"/>
            <color indexed="81"/>
            <rFont val="宋体"/>
            <family val="3"/>
            <charset val="134"/>
          </rPr>
          <t xml:space="preserve">50 100
250 500 1000 2500 5000 </t>
        </r>
      </text>
    </comment>
    <comment ref="AB38" authorId="0">
      <text>
        <r>
          <rPr>
            <b/>
            <sz val="9"/>
            <color indexed="81"/>
            <rFont val="宋体"/>
            <family val="3"/>
            <charset val="134"/>
          </rPr>
          <t>good:</t>
        </r>
        <r>
          <rPr>
            <sz val="9"/>
            <color indexed="81"/>
            <rFont val="宋体"/>
            <family val="3"/>
            <charset val="134"/>
          </rPr>
          <t xml:space="preserve">
相对误差</t>
        </r>
      </text>
    </comment>
    <comment ref="AD38" authorId="0">
      <text>
        <r>
          <rPr>
            <b/>
            <sz val="9"/>
            <color indexed="81"/>
            <rFont val="宋体"/>
            <family val="3"/>
            <charset val="134"/>
          </rPr>
          <t>good:</t>
        </r>
        <r>
          <rPr>
            <sz val="9"/>
            <color indexed="81"/>
            <rFont val="宋体"/>
            <family val="3"/>
            <charset val="134"/>
          </rPr>
          <t xml:space="preserve">
统一为当前列值</t>
        </r>
      </text>
    </comment>
    <comment ref="AI38" authorId="0">
      <text>
        <r>
          <rPr>
            <b/>
            <sz val="9"/>
            <color indexed="81"/>
            <rFont val="宋体"/>
            <family val="3"/>
            <charset val="134"/>
          </rPr>
          <t>good:</t>
        </r>
        <r>
          <rPr>
            <sz val="9"/>
            <color indexed="81"/>
            <rFont val="宋体"/>
            <family val="3"/>
            <charset val="134"/>
          </rPr>
          <t xml:space="preserve">
相对误差</t>
        </r>
      </text>
    </comment>
    <comment ref="AL38" authorId="0">
      <text>
        <r>
          <rPr>
            <b/>
            <sz val="9"/>
            <color indexed="81"/>
            <rFont val="宋体"/>
            <family val="3"/>
            <charset val="134"/>
          </rPr>
          <t>good:</t>
        </r>
        <r>
          <rPr>
            <sz val="9"/>
            <color indexed="81"/>
            <rFont val="宋体"/>
            <family val="3"/>
            <charset val="134"/>
          </rPr>
          <t xml:space="preserve">
固定为列表值</t>
        </r>
      </text>
    </comment>
    <comment ref="AR38" authorId="0">
      <text>
        <r>
          <rPr>
            <b/>
            <sz val="9"/>
            <color indexed="81"/>
            <rFont val="宋体"/>
            <family val="3"/>
            <charset val="134"/>
          </rPr>
          <t>good:</t>
        </r>
        <r>
          <rPr>
            <sz val="9"/>
            <color indexed="81"/>
            <rFont val="宋体"/>
            <family val="3"/>
            <charset val="134"/>
          </rPr>
          <t xml:space="preserve">
下拉选择：</t>
        </r>
        <r>
          <rPr>
            <sz val="9"/>
            <color indexed="81"/>
            <rFont val="宋体"/>
            <family val="3"/>
            <charset val="134"/>
          </rPr>
          <t xml:space="preserve">50 100
250 500 1000 2500 5000 </t>
        </r>
      </text>
    </comment>
    <comment ref="AV38" authorId="0">
      <text>
        <r>
          <rPr>
            <b/>
            <sz val="9"/>
            <color indexed="81"/>
            <rFont val="宋体"/>
            <family val="3"/>
            <charset val="134"/>
          </rPr>
          <t>good:</t>
        </r>
        <r>
          <rPr>
            <sz val="9"/>
            <color indexed="81"/>
            <rFont val="宋体"/>
            <family val="3"/>
            <charset val="134"/>
          </rPr>
          <t xml:space="preserve">
相对误差</t>
        </r>
      </text>
    </comment>
    <comment ref="AX38" authorId="0">
      <text>
        <r>
          <rPr>
            <b/>
            <sz val="9"/>
            <color indexed="81"/>
            <rFont val="宋体"/>
            <family val="3"/>
            <charset val="134"/>
          </rPr>
          <t>good:</t>
        </r>
        <r>
          <rPr>
            <sz val="9"/>
            <color indexed="81"/>
            <rFont val="宋体"/>
            <family val="3"/>
            <charset val="134"/>
          </rPr>
          <t xml:space="preserve">
统一为当前列值</t>
        </r>
      </text>
    </comment>
    <comment ref="BC38" authorId="0">
      <text>
        <r>
          <rPr>
            <b/>
            <sz val="9"/>
            <color indexed="81"/>
            <rFont val="宋体"/>
            <family val="3"/>
            <charset val="134"/>
          </rPr>
          <t>good:</t>
        </r>
        <r>
          <rPr>
            <sz val="9"/>
            <color indexed="81"/>
            <rFont val="宋体"/>
            <family val="3"/>
            <charset val="134"/>
          </rPr>
          <t xml:space="preserve">
相对误差</t>
        </r>
      </text>
    </comment>
    <comment ref="BF38" authorId="0">
      <text>
        <r>
          <rPr>
            <b/>
            <sz val="9"/>
            <color indexed="81"/>
            <rFont val="宋体"/>
            <family val="3"/>
            <charset val="134"/>
          </rPr>
          <t>good:</t>
        </r>
        <r>
          <rPr>
            <sz val="9"/>
            <color indexed="81"/>
            <rFont val="宋体"/>
            <family val="3"/>
            <charset val="134"/>
          </rPr>
          <t xml:space="preserve">
固定为列表值</t>
        </r>
      </text>
    </comment>
    <comment ref="A44" authorId="0">
      <text>
        <r>
          <rPr>
            <b/>
            <sz val="9"/>
            <color indexed="81"/>
            <rFont val="宋体"/>
            <family val="3"/>
            <charset val="134"/>
          </rPr>
          <t>good:</t>
        </r>
        <r>
          <rPr>
            <sz val="9"/>
            <color indexed="81"/>
            <rFont val="宋体"/>
            <family val="3"/>
            <charset val="134"/>
          </rPr>
          <t xml:space="preserve">
与钮端电压额定电压有关系。</t>
        </r>
      </text>
    </comment>
    <comment ref="A47" authorId="0">
      <text>
        <r>
          <rPr>
            <b/>
            <sz val="9"/>
            <color indexed="81"/>
            <rFont val="宋体"/>
            <family val="3"/>
            <charset val="134"/>
          </rPr>
          <t>good:</t>
        </r>
        <r>
          <rPr>
            <sz val="9"/>
            <color indexed="81"/>
            <rFont val="宋体"/>
            <family val="3"/>
            <charset val="134"/>
          </rPr>
          <t xml:space="preserve">
成组</t>
        </r>
      </text>
    </comment>
    <comment ref="U47" authorId="0">
      <text>
        <r>
          <rPr>
            <b/>
            <sz val="9"/>
            <color indexed="81"/>
            <rFont val="宋体"/>
            <family val="3"/>
            <charset val="134"/>
          </rPr>
          <t>good:</t>
        </r>
        <r>
          <rPr>
            <sz val="9"/>
            <color indexed="81"/>
            <rFont val="宋体"/>
            <family val="3"/>
            <charset val="134"/>
          </rPr>
          <t xml:space="preserve">
成组</t>
        </r>
      </text>
    </comment>
    <comment ref="A49" authorId="0">
      <text>
        <r>
          <rPr>
            <b/>
            <sz val="9"/>
            <color indexed="81"/>
            <rFont val="宋体"/>
            <family val="3"/>
            <charset val="134"/>
          </rPr>
          <t>good:</t>
        </r>
        <r>
          <rPr>
            <sz val="9"/>
            <color indexed="81"/>
            <rFont val="宋体"/>
            <family val="3"/>
            <charset val="134"/>
          </rPr>
          <t xml:space="preserve">
系统自动计算最大值，及最小值。</t>
        </r>
      </text>
    </comment>
    <comment ref="U49" authorId="0">
      <text>
        <r>
          <rPr>
            <b/>
            <sz val="9"/>
            <color indexed="81"/>
            <rFont val="宋体"/>
            <family val="3"/>
            <charset val="134"/>
          </rPr>
          <t>good:</t>
        </r>
        <r>
          <rPr>
            <sz val="9"/>
            <color indexed="81"/>
            <rFont val="宋体"/>
            <family val="3"/>
            <charset val="134"/>
          </rPr>
          <t xml:space="preserve">
系统自动计算最大值，及最小值。</t>
        </r>
      </text>
    </comment>
  </commentList>
</comments>
</file>

<file path=xl/comments8.xml><?xml version="1.0" encoding="utf-8"?>
<comments xmlns="http://schemas.openxmlformats.org/spreadsheetml/2006/main">
  <authors>
    <author>good</author>
  </authors>
  <commentList>
    <comment ref="C1" authorId="0">
      <text>
        <r>
          <rPr>
            <b/>
            <sz val="9"/>
            <color indexed="81"/>
            <rFont val="宋体"/>
            <family val="3"/>
            <charset val="134"/>
          </rPr>
          <t>good:</t>
        </r>
        <r>
          <rPr>
            <sz val="9"/>
            <color indexed="81"/>
            <rFont val="宋体"/>
            <family val="3"/>
            <charset val="134"/>
          </rPr>
          <t xml:space="preserve">
</t>
        </r>
        <r>
          <rPr>
            <sz val="9"/>
            <color indexed="10"/>
            <rFont val="宋体"/>
            <family val="3"/>
            <charset val="134"/>
          </rPr>
          <t>能否改成基本误差</t>
        </r>
      </text>
    </comment>
    <comment ref="C2" authorId="0">
      <text>
        <r>
          <rPr>
            <b/>
            <sz val="9"/>
            <color indexed="81"/>
            <rFont val="宋体"/>
            <family val="3"/>
            <charset val="134"/>
          </rPr>
          <t>good:</t>
        </r>
        <r>
          <rPr>
            <sz val="9"/>
            <color indexed="81"/>
            <rFont val="宋体"/>
            <family val="3"/>
            <charset val="134"/>
          </rPr>
          <t xml:space="preserve">
</t>
        </r>
        <r>
          <rPr>
            <sz val="9"/>
            <color indexed="10"/>
            <rFont val="宋体"/>
            <family val="3"/>
            <charset val="134"/>
          </rPr>
          <t>能否改成量程范围</t>
        </r>
      </text>
    </comment>
    <comment ref="B7" authorId="0">
      <text>
        <r>
          <rPr>
            <b/>
            <sz val="9"/>
            <color indexed="81"/>
            <rFont val="宋体"/>
            <family val="3"/>
            <charset val="134"/>
          </rPr>
          <t>good:
根据项目小数位数不同</t>
        </r>
      </text>
    </comment>
    <comment ref="G10" authorId="0">
      <text>
        <r>
          <rPr>
            <b/>
            <sz val="9"/>
            <color indexed="81"/>
            <rFont val="宋体"/>
            <family val="3"/>
            <charset val="134"/>
          </rPr>
          <t>good:</t>
        </r>
        <r>
          <rPr>
            <sz val="9"/>
            <color indexed="81"/>
            <rFont val="宋体"/>
            <family val="3"/>
            <charset val="134"/>
          </rPr>
          <t xml:space="preserve">
小数位数根据实际情况，不同</t>
        </r>
      </text>
    </comment>
    <comment ref="B14" authorId="0">
      <text>
        <r>
          <rPr>
            <b/>
            <sz val="9"/>
            <color indexed="81"/>
            <rFont val="宋体"/>
            <family val="3"/>
            <charset val="134"/>
          </rPr>
          <t>good:</t>
        </r>
        <r>
          <rPr>
            <sz val="9"/>
            <color indexed="81"/>
            <rFont val="宋体"/>
            <family val="3"/>
            <charset val="134"/>
          </rPr>
          <t xml:space="preserve">
根据项目小数位数不同</t>
        </r>
      </text>
    </comment>
    <comment ref="B16" authorId="0">
      <text>
        <r>
          <rPr>
            <b/>
            <sz val="9"/>
            <color indexed="81"/>
            <rFont val="宋体"/>
            <family val="3"/>
            <charset val="134"/>
          </rPr>
          <t>good:</t>
        </r>
        <r>
          <rPr>
            <sz val="9"/>
            <color indexed="81"/>
            <rFont val="宋体"/>
            <family val="3"/>
            <charset val="134"/>
          </rPr>
          <t xml:space="preserve">
根据项目小数位数不同</t>
        </r>
      </text>
    </comment>
    <comment ref="B18" authorId="0">
      <text>
        <r>
          <rPr>
            <b/>
            <sz val="9"/>
            <color indexed="81"/>
            <rFont val="宋体"/>
            <family val="3"/>
            <charset val="134"/>
          </rPr>
          <t>good:</t>
        </r>
        <r>
          <rPr>
            <sz val="9"/>
            <color indexed="81"/>
            <rFont val="宋体"/>
            <family val="3"/>
            <charset val="134"/>
          </rPr>
          <t xml:space="preserve">
根据项目小数位数不同</t>
        </r>
      </text>
    </comment>
    <comment ref="B26" authorId="0">
      <text>
        <r>
          <rPr>
            <b/>
            <sz val="9"/>
            <color indexed="81"/>
            <rFont val="宋体"/>
            <family val="3"/>
            <charset val="134"/>
          </rPr>
          <t>good:
根据项目小数位数不同</t>
        </r>
      </text>
    </comment>
    <comment ref="G29" authorId="0">
      <text>
        <r>
          <rPr>
            <b/>
            <sz val="9"/>
            <color indexed="81"/>
            <rFont val="宋体"/>
            <family val="3"/>
            <charset val="134"/>
          </rPr>
          <t>good:</t>
        </r>
        <r>
          <rPr>
            <sz val="9"/>
            <color indexed="81"/>
            <rFont val="宋体"/>
            <family val="3"/>
            <charset val="134"/>
          </rPr>
          <t xml:space="preserve">
小数位数根据实际情况，不同</t>
        </r>
      </text>
    </comment>
    <comment ref="B33" authorId="0">
      <text>
        <r>
          <rPr>
            <b/>
            <sz val="9"/>
            <color indexed="81"/>
            <rFont val="宋体"/>
            <family val="3"/>
            <charset val="134"/>
          </rPr>
          <t>good:</t>
        </r>
        <r>
          <rPr>
            <sz val="9"/>
            <color indexed="81"/>
            <rFont val="宋体"/>
            <family val="3"/>
            <charset val="134"/>
          </rPr>
          <t xml:space="preserve">
根据项目小数位数不同</t>
        </r>
      </text>
    </comment>
    <comment ref="B35" authorId="0">
      <text>
        <r>
          <rPr>
            <b/>
            <sz val="9"/>
            <color indexed="81"/>
            <rFont val="宋体"/>
            <family val="3"/>
            <charset val="134"/>
          </rPr>
          <t>good:</t>
        </r>
        <r>
          <rPr>
            <sz val="9"/>
            <color indexed="81"/>
            <rFont val="宋体"/>
            <family val="3"/>
            <charset val="134"/>
          </rPr>
          <t xml:space="preserve">
根据项目小数位数不同</t>
        </r>
      </text>
    </comment>
    <comment ref="B37" authorId="0">
      <text>
        <r>
          <rPr>
            <b/>
            <sz val="9"/>
            <color indexed="81"/>
            <rFont val="宋体"/>
            <family val="3"/>
            <charset val="134"/>
          </rPr>
          <t>good:</t>
        </r>
        <r>
          <rPr>
            <sz val="9"/>
            <color indexed="81"/>
            <rFont val="宋体"/>
            <family val="3"/>
            <charset val="134"/>
          </rPr>
          <t xml:space="preserve">
根据项目小数位数不同</t>
        </r>
      </text>
    </comment>
    <comment ref="B46" authorId="0">
      <text>
        <r>
          <rPr>
            <b/>
            <sz val="9"/>
            <color indexed="81"/>
            <rFont val="宋体"/>
            <family val="3"/>
            <charset val="134"/>
          </rPr>
          <t>good:
根据项目小数位数不同</t>
        </r>
      </text>
    </comment>
    <comment ref="G49" authorId="0">
      <text>
        <r>
          <rPr>
            <b/>
            <sz val="9"/>
            <color indexed="81"/>
            <rFont val="宋体"/>
            <family val="3"/>
            <charset val="134"/>
          </rPr>
          <t>good:</t>
        </r>
        <r>
          <rPr>
            <sz val="9"/>
            <color indexed="81"/>
            <rFont val="宋体"/>
            <family val="3"/>
            <charset val="134"/>
          </rPr>
          <t xml:space="preserve">
小数位数根据实际情况，不同</t>
        </r>
      </text>
    </comment>
    <comment ref="B53" authorId="0">
      <text>
        <r>
          <rPr>
            <b/>
            <sz val="9"/>
            <color indexed="81"/>
            <rFont val="宋体"/>
            <family val="3"/>
            <charset val="134"/>
          </rPr>
          <t>good:</t>
        </r>
        <r>
          <rPr>
            <sz val="9"/>
            <color indexed="81"/>
            <rFont val="宋体"/>
            <family val="3"/>
            <charset val="134"/>
          </rPr>
          <t xml:space="preserve">
根据项目小数位数不同</t>
        </r>
      </text>
    </comment>
    <comment ref="B55" authorId="0">
      <text>
        <r>
          <rPr>
            <b/>
            <sz val="9"/>
            <color indexed="81"/>
            <rFont val="宋体"/>
            <family val="3"/>
            <charset val="134"/>
          </rPr>
          <t>good:</t>
        </r>
        <r>
          <rPr>
            <sz val="9"/>
            <color indexed="81"/>
            <rFont val="宋体"/>
            <family val="3"/>
            <charset val="134"/>
          </rPr>
          <t xml:space="preserve">
根据项目小数位数不同</t>
        </r>
      </text>
    </comment>
    <comment ref="B57" authorId="0">
      <text>
        <r>
          <rPr>
            <b/>
            <sz val="9"/>
            <color indexed="81"/>
            <rFont val="宋体"/>
            <family val="3"/>
            <charset val="134"/>
          </rPr>
          <t>good:</t>
        </r>
        <r>
          <rPr>
            <sz val="9"/>
            <color indexed="81"/>
            <rFont val="宋体"/>
            <family val="3"/>
            <charset val="134"/>
          </rPr>
          <t xml:space="preserve">
根据项目小数位数不同</t>
        </r>
      </text>
    </comment>
    <comment ref="B64" authorId="0">
      <text>
        <r>
          <rPr>
            <b/>
            <sz val="9"/>
            <color indexed="81"/>
            <rFont val="宋体"/>
            <family val="3"/>
            <charset val="134"/>
          </rPr>
          <t>good:
根据项目小数位数不同</t>
        </r>
      </text>
    </comment>
    <comment ref="G67" authorId="0">
      <text>
        <r>
          <rPr>
            <b/>
            <sz val="9"/>
            <color indexed="81"/>
            <rFont val="宋体"/>
            <family val="3"/>
            <charset val="134"/>
          </rPr>
          <t>good:</t>
        </r>
        <r>
          <rPr>
            <sz val="9"/>
            <color indexed="81"/>
            <rFont val="宋体"/>
            <family val="3"/>
            <charset val="134"/>
          </rPr>
          <t xml:space="preserve">
小数位数根据实际情况，不同</t>
        </r>
      </text>
    </comment>
    <comment ref="B71" authorId="0">
      <text>
        <r>
          <rPr>
            <b/>
            <sz val="9"/>
            <color indexed="81"/>
            <rFont val="宋体"/>
            <family val="3"/>
            <charset val="134"/>
          </rPr>
          <t>good:</t>
        </r>
        <r>
          <rPr>
            <sz val="9"/>
            <color indexed="81"/>
            <rFont val="宋体"/>
            <family val="3"/>
            <charset val="134"/>
          </rPr>
          <t xml:space="preserve">
根据项目小数位数不同</t>
        </r>
      </text>
    </comment>
    <comment ref="B73" authorId="0">
      <text>
        <r>
          <rPr>
            <b/>
            <sz val="9"/>
            <color indexed="81"/>
            <rFont val="宋体"/>
            <family val="3"/>
            <charset val="134"/>
          </rPr>
          <t>good:</t>
        </r>
        <r>
          <rPr>
            <sz val="9"/>
            <color indexed="81"/>
            <rFont val="宋体"/>
            <family val="3"/>
            <charset val="134"/>
          </rPr>
          <t xml:space="preserve">
根据项目小数位数不同</t>
        </r>
      </text>
    </comment>
    <comment ref="B75" authorId="0">
      <text>
        <r>
          <rPr>
            <b/>
            <sz val="9"/>
            <color indexed="81"/>
            <rFont val="宋体"/>
            <family val="3"/>
            <charset val="134"/>
          </rPr>
          <t>good:</t>
        </r>
        <r>
          <rPr>
            <sz val="9"/>
            <color indexed="81"/>
            <rFont val="宋体"/>
            <family val="3"/>
            <charset val="134"/>
          </rPr>
          <t xml:space="preserve">
根据项目小数位数不同</t>
        </r>
      </text>
    </comment>
    <comment ref="B82" authorId="0">
      <text>
        <r>
          <rPr>
            <b/>
            <sz val="9"/>
            <color indexed="81"/>
            <rFont val="宋体"/>
            <family val="3"/>
            <charset val="134"/>
          </rPr>
          <t>good:
根据项目小数位数不同</t>
        </r>
      </text>
    </comment>
    <comment ref="G85" authorId="0">
      <text>
        <r>
          <rPr>
            <b/>
            <sz val="9"/>
            <color indexed="81"/>
            <rFont val="宋体"/>
            <family val="3"/>
            <charset val="134"/>
          </rPr>
          <t>good:</t>
        </r>
        <r>
          <rPr>
            <sz val="9"/>
            <color indexed="81"/>
            <rFont val="宋体"/>
            <family val="3"/>
            <charset val="134"/>
          </rPr>
          <t xml:space="preserve">
小数位数根据实际情况，不同</t>
        </r>
      </text>
    </comment>
    <comment ref="B89" authorId="0">
      <text>
        <r>
          <rPr>
            <b/>
            <sz val="9"/>
            <color indexed="81"/>
            <rFont val="宋体"/>
            <family val="3"/>
            <charset val="134"/>
          </rPr>
          <t>good:</t>
        </r>
        <r>
          <rPr>
            <sz val="9"/>
            <color indexed="81"/>
            <rFont val="宋体"/>
            <family val="3"/>
            <charset val="134"/>
          </rPr>
          <t xml:space="preserve">
根据项目小数位数不同</t>
        </r>
      </text>
    </comment>
    <comment ref="B91" authorId="0">
      <text>
        <r>
          <rPr>
            <b/>
            <sz val="9"/>
            <color indexed="81"/>
            <rFont val="宋体"/>
            <family val="3"/>
            <charset val="134"/>
          </rPr>
          <t>good:</t>
        </r>
        <r>
          <rPr>
            <sz val="9"/>
            <color indexed="81"/>
            <rFont val="宋体"/>
            <family val="3"/>
            <charset val="134"/>
          </rPr>
          <t xml:space="preserve">
根据项目小数位数不同</t>
        </r>
      </text>
    </comment>
    <comment ref="B93" authorId="0">
      <text>
        <r>
          <rPr>
            <b/>
            <sz val="9"/>
            <color indexed="81"/>
            <rFont val="宋体"/>
            <family val="3"/>
            <charset val="134"/>
          </rPr>
          <t>good:</t>
        </r>
        <r>
          <rPr>
            <sz val="9"/>
            <color indexed="81"/>
            <rFont val="宋体"/>
            <family val="3"/>
            <charset val="134"/>
          </rPr>
          <t xml:space="preserve">
根据项目小数位数不同</t>
        </r>
      </text>
    </comment>
    <comment ref="B101" authorId="0">
      <text>
        <r>
          <rPr>
            <b/>
            <sz val="9"/>
            <color indexed="81"/>
            <rFont val="宋体"/>
            <family val="3"/>
            <charset val="134"/>
          </rPr>
          <t>good:
根据项目小数位数不同</t>
        </r>
      </text>
    </comment>
    <comment ref="G104" authorId="0">
      <text>
        <r>
          <rPr>
            <b/>
            <sz val="9"/>
            <color indexed="81"/>
            <rFont val="宋体"/>
            <family val="3"/>
            <charset val="134"/>
          </rPr>
          <t>good:</t>
        </r>
        <r>
          <rPr>
            <sz val="9"/>
            <color indexed="81"/>
            <rFont val="宋体"/>
            <family val="3"/>
            <charset val="134"/>
          </rPr>
          <t xml:space="preserve">
小数位数根据实际情况，不同</t>
        </r>
      </text>
    </comment>
    <comment ref="B108" authorId="0">
      <text>
        <r>
          <rPr>
            <b/>
            <sz val="9"/>
            <color indexed="81"/>
            <rFont val="宋体"/>
            <family val="3"/>
            <charset val="134"/>
          </rPr>
          <t>good:</t>
        </r>
        <r>
          <rPr>
            <sz val="9"/>
            <color indexed="81"/>
            <rFont val="宋体"/>
            <family val="3"/>
            <charset val="134"/>
          </rPr>
          <t xml:space="preserve">
根据项目小数位数不同</t>
        </r>
      </text>
    </comment>
    <comment ref="B110" authorId="0">
      <text>
        <r>
          <rPr>
            <b/>
            <sz val="9"/>
            <color indexed="81"/>
            <rFont val="宋体"/>
            <family val="3"/>
            <charset val="134"/>
          </rPr>
          <t>good:</t>
        </r>
        <r>
          <rPr>
            <sz val="9"/>
            <color indexed="81"/>
            <rFont val="宋体"/>
            <family val="3"/>
            <charset val="134"/>
          </rPr>
          <t xml:space="preserve">
根据项目小数位数不同</t>
        </r>
      </text>
    </comment>
    <comment ref="B112" authorId="0">
      <text>
        <r>
          <rPr>
            <b/>
            <sz val="9"/>
            <color indexed="81"/>
            <rFont val="宋体"/>
            <family val="3"/>
            <charset val="134"/>
          </rPr>
          <t>good:</t>
        </r>
        <r>
          <rPr>
            <sz val="9"/>
            <color indexed="81"/>
            <rFont val="宋体"/>
            <family val="3"/>
            <charset val="134"/>
          </rPr>
          <t xml:space="preserve">
根据项目小数位数不同</t>
        </r>
      </text>
    </comment>
    <comment ref="B119" authorId="0">
      <text>
        <r>
          <rPr>
            <b/>
            <sz val="9"/>
            <color indexed="81"/>
            <rFont val="宋体"/>
            <family val="3"/>
            <charset val="134"/>
          </rPr>
          <t>good:
根据项目小数位数不同</t>
        </r>
      </text>
    </comment>
    <comment ref="G122" authorId="0">
      <text>
        <r>
          <rPr>
            <b/>
            <sz val="9"/>
            <color indexed="81"/>
            <rFont val="宋体"/>
            <family val="3"/>
            <charset val="134"/>
          </rPr>
          <t>good:</t>
        </r>
        <r>
          <rPr>
            <sz val="9"/>
            <color indexed="81"/>
            <rFont val="宋体"/>
            <family val="3"/>
            <charset val="134"/>
          </rPr>
          <t xml:space="preserve">
小数位数根据实际情况，不同</t>
        </r>
      </text>
    </comment>
    <comment ref="B126" authorId="0">
      <text>
        <r>
          <rPr>
            <b/>
            <sz val="9"/>
            <color indexed="81"/>
            <rFont val="宋体"/>
            <family val="3"/>
            <charset val="134"/>
          </rPr>
          <t>good:</t>
        </r>
        <r>
          <rPr>
            <sz val="9"/>
            <color indexed="81"/>
            <rFont val="宋体"/>
            <family val="3"/>
            <charset val="134"/>
          </rPr>
          <t xml:space="preserve">
根据项目小数位数不同</t>
        </r>
      </text>
    </comment>
    <comment ref="B128" authorId="0">
      <text>
        <r>
          <rPr>
            <b/>
            <sz val="9"/>
            <color indexed="81"/>
            <rFont val="宋体"/>
            <family val="3"/>
            <charset val="134"/>
          </rPr>
          <t>good:</t>
        </r>
        <r>
          <rPr>
            <sz val="9"/>
            <color indexed="81"/>
            <rFont val="宋体"/>
            <family val="3"/>
            <charset val="134"/>
          </rPr>
          <t xml:space="preserve">
根据项目小数位数不同</t>
        </r>
      </text>
    </comment>
    <comment ref="B130" authorId="0">
      <text>
        <r>
          <rPr>
            <b/>
            <sz val="9"/>
            <color indexed="81"/>
            <rFont val="宋体"/>
            <family val="3"/>
            <charset val="134"/>
          </rPr>
          <t>good:</t>
        </r>
        <r>
          <rPr>
            <sz val="9"/>
            <color indexed="81"/>
            <rFont val="宋体"/>
            <family val="3"/>
            <charset val="134"/>
          </rPr>
          <t xml:space="preserve">
根据项目小数位数不同</t>
        </r>
      </text>
    </comment>
  </commentList>
</comments>
</file>

<file path=xl/comments9.xml><?xml version="1.0" encoding="utf-8"?>
<comments xmlns="http://schemas.openxmlformats.org/spreadsheetml/2006/main">
  <authors>
    <author>作者</author>
    <author>good</author>
  </authors>
  <commentList>
    <comment ref="A15" authorId="0">
      <text>
        <r>
          <rPr>
            <b/>
            <sz val="9"/>
            <color indexed="81"/>
            <rFont val="宋体"/>
            <family val="3"/>
            <charset val="134"/>
          </rPr>
          <t>作者:</t>
        </r>
        <r>
          <rPr>
            <sz val="9"/>
            <color indexed="81"/>
            <rFont val="宋体"/>
            <family val="3"/>
            <charset val="134"/>
          </rPr>
          <t xml:space="preserve">
取自电压测量的额定电压值，一一对应</t>
        </r>
      </text>
    </comment>
    <comment ref="B15" authorId="0">
      <text>
        <r>
          <rPr>
            <b/>
            <sz val="9"/>
            <color indexed="81"/>
            <rFont val="宋体"/>
            <family val="3"/>
            <charset val="134"/>
          </rPr>
          <t>作者:</t>
        </r>
        <r>
          <rPr>
            <sz val="9"/>
            <color indexed="81"/>
            <rFont val="宋体"/>
            <family val="3"/>
            <charset val="134"/>
          </rPr>
          <t xml:space="preserve">
方案中手工输入</t>
        </r>
      </text>
    </comment>
    <comment ref="C15" authorId="0">
      <text>
        <r>
          <rPr>
            <b/>
            <sz val="9"/>
            <color indexed="81"/>
            <rFont val="宋体"/>
            <family val="3"/>
            <charset val="134"/>
          </rPr>
          <t>作者:</t>
        </r>
        <r>
          <rPr>
            <sz val="9"/>
            <color indexed="81"/>
            <rFont val="宋体"/>
            <family val="3"/>
            <charset val="134"/>
          </rPr>
          <t xml:space="preserve">
方案维护中，手工输入。</t>
        </r>
      </text>
    </comment>
    <comment ref="D15" authorId="0">
      <text>
        <r>
          <rPr>
            <b/>
            <sz val="9"/>
            <color indexed="81"/>
            <rFont val="宋体"/>
            <family val="3"/>
            <charset val="134"/>
          </rPr>
          <t>作者:</t>
        </r>
        <r>
          <rPr>
            <sz val="9"/>
            <color indexed="81"/>
            <rFont val="宋体"/>
            <family val="3"/>
            <charset val="134"/>
          </rPr>
          <t xml:space="preserve">
方案维护中手工输入。</t>
        </r>
      </text>
    </comment>
    <comment ref="H15" authorId="0">
      <text>
        <r>
          <rPr>
            <b/>
            <sz val="9"/>
            <color indexed="81"/>
            <rFont val="宋体"/>
            <family val="3"/>
            <charset val="134"/>
          </rPr>
          <t>作者:</t>
        </r>
        <r>
          <rPr>
            <sz val="9"/>
            <color indexed="81"/>
            <rFont val="宋体"/>
            <family val="3"/>
            <charset val="134"/>
          </rPr>
          <t xml:space="preserve">
显示值与标准值一样</t>
        </r>
      </text>
    </comment>
    <comment ref="K15" authorId="1">
      <text>
        <r>
          <rPr>
            <b/>
            <sz val="9"/>
            <color indexed="81"/>
            <rFont val="宋体"/>
            <family val="3"/>
            <charset val="134"/>
          </rPr>
          <t>good:</t>
        </r>
        <r>
          <rPr>
            <sz val="9"/>
            <color indexed="81"/>
            <rFont val="宋体"/>
            <family val="3"/>
            <charset val="134"/>
          </rPr>
          <t xml:space="preserve">
相对误差=（显示值-标准值）/标准值
备注：误差比准确度等级多1位，参与误差计算的参数比准确度等级多2位。
</t>
        </r>
      </text>
    </comment>
    <comment ref="X15" authorId="0">
      <text>
        <r>
          <rPr>
            <b/>
            <sz val="9"/>
            <color indexed="81"/>
            <rFont val="宋体"/>
            <family val="3"/>
            <charset val="134"/>
          </rPr>
          <t>作者:</t>
        </r>
        <r>
          <rPr>
            <sz val="9"/>
            <color indexed="81"/>
            <rFont val="宋体"/>
            <family val="3"/>
            <charset val="134"/>
          </rPr>
          <t xml:space="preserve">
取自电压测量的额定电压值，一一对应</t>
        </r>
      </text>
    </comment>
    <comment ref="Y15" authorId="0">
      <text>
        <r>
          <rPr>
            <b/>
            <sz val="9"/>
            <color indexed="81"/>
            <rFont val="宋体"/>
            <family val="3"/>
            <charset val="134"/>
          </rPr>
          <t>作者:</t>
        </r>
        <r>
          <rPr>
            <sz val="9"/>
            <color indexed="81"/>
            <rFont val="宋体"/>
            <family val="3"/>
            <charset val="134"/>
          </rPr>
          <t xml:space="preserve">
方案中手工输入</t>
        </r>
      </text>
    </comment>
    <comment ref="Z15" authorId="0">
      <text>
        <r>
          <rPr>
            <b/>
            <sz val="9"/>
            <color indexed="81"/>
            <rFont val="宋体"/>
            <family val="3"/>
            <charset val="134"/>
          </rPr>
          <t>作者:</t>
        </r>
        <r>
          <rPr>
            <sz val="9"/>
            <color indexed="81"/>
            <rFont val="宋体"/>
            <family val="3"/>
            <charset val="134"/>
          </rPr>
          <t xml:space="preserve">
方案维护中，手工输入。</t>
        </r>
      </text>
    </comment>
    <comment ref="AA15" authorId="0">
      <text>
        <r>
          <rPr>
            <b/>
            <sz val="9"/>
            <color indexed="81"/>
            <rFont val="宋体"/>
            <family val="3"/>
            <charset val="134"/>
          </rPr>
          <t>作者:</t>
        </r>
        <r>
          <rPr>
            <sz val="9"/>
            <color indexed="81"/>
            <rFont val="宋体"/>
            <family val="3"/>
            <charset val="134"/>
          </rPr>
          <t xml:space="preserve">
方案维护中手工输入。</t>
        </r>
      </text>
    </comment>
    <comment ref="AE15" authorId="0">
      <text>
        <r>
          <rPr>
            <b/>
            <sz val="9"/>
            <color indexed="81"/>
            <rFont val="宋体"/>
            <family val="3"/>
            <charset val="134"/>
          </rPr>
          <t>作者:</t>
        </r>
        <r>
          <rPr>
            <sz val="9"/>
            <color indexed="81"/>
            <rFont val="宋体"/>
            <family val="3"/>
            <charset val="134"/>
          </rPr>
          <t xml:space="preserve">
显示值与标准值一样</t>
        </r>
      </text>
    </comment>
    <comment ref="AH15" authorId="1">
      <text>
        <r>
          <rPr>
            <b/>
            <sz val="9"/>
            <color indexed="81"/>
            <rFont val="宋体"/>
            <family val="3"/>
            <charset val="134"/>
          </rPr>
          <t>good:</t>
        </r>
        <r>
          <rPr>
            <sz val="9"/>
            <color indexed="81"/>
            <rFont val="宋体"/>
            <family val="3"/>
            <charset val="134"/>
          </rPr>
          <t xml:space="preserve">
相对误差=（显示值-标准值）/标准值
备注：误差比准确度等级多1位，参与误差计算的参数比准确度等级多2位。
</t>
        </r>
      </text>
    </comment>
    <comment ref="AN15" authorId="0">
      <text>
        <r>
          <rPr>
            <b/>
            <sz val="9"/>
            <color indexed="81"/>
            <rFont val="宋体"/>
            <family val="3"/>
            <charset val="134"/>
          </rPr>
          <t>作者:</t>
        </r>
        <r>
          <rPr>
            <sz val="9"/>
            <color indexed="81"/>
            <rFont val="宋体"/>
            <family val="3"/>
            <charset val="134"/>
          </rPr>
          <t xml:space="preserve">
取自电压测量的额定电压值，一一对应</t>
        </r>
      </text>
    </comment>
    <comment ref="AO15" authorId="0">
      <text>
        <r>
          <rPr>
            <b/>
            <sz val="9"/>
            <color indexed="81"/>
            <rFont val="宋体"/>
            <family val="3"/>
            <charset val="134"/>
          </rPr>
          <t>作者:</t>
        </r>
        <r>
          <rPr>
            <sz val="9"/>
            <color indexed="81"/>
            <rFont val="宋体"/>
            <family val="3"/>
            <charset val="134"/>
          </rPr>
          <t xml:space="preserve">
方案中手工输入</t>
        </r>
      </text>
    </comment>
    <comment ref="AP15" authorId="0">
      <text>
        <r>
          <rPr>
            <b/>
            <sz val="9"/>
            <color indexed="81"/>
            <rFont val="宋体"/>
            <family val="3"/>
            <charset val="134"/>
          </rPr>
          <t>作者:</t>
        </r>
        <r>
          <rPr>
            <sz val="9"/>
            <color indexed="81"/>
            <rFont val="宋体"/>
            <family val="3"/>
            <charset val="134"/>
          </rPr>
          <t xml:space="preserve">
方案维护中，手工输入。</t>
        </r>
      </text>
    </comment>
    <comment ref="AQ15" authorId="0">
      <text>
        <r>
          <rPr>
            <b/>
            <sz val="9"/>
            <color indexed="81"/>
            <rFont val="宋体"/>
            <family val="3"/>
            <charset val="134"/>
          </rPr>
          <t>作者:</t>
        </r>
        <r>
          <rPr>
            <sz val="9"/>
            <color indexed="81"/>
            <rFont val="宋体"/>
            <family val="3"/>
            <charset val="134"/>
          </rPr>
          <t xml:space="preserve">
方案维护中手工输入。</t>
        </r>
      </text>
    </comment>
    <comment ref="AU15" authorId="0">
      <text>
        <r>
          <rPr>
            <b/>
            <sz val="9"/>
            <color indexed="81"/>
            <rFont val="宋体"/>
            <family val="3"/>
            <charset val="134"/>
          </rPr>
          <t>作者:</t>
        </r>
        <r>
          <rPr>
            <sz val="9"/>
            <color indexed="81"/>
            <rFont val="宋体"/>
            <family val="3"/>
            <charset val="134"/>
          </rPr>
          <t xml:space="preserve">
显示值与标准值一样</t>
        </r>
      </text>
    </comment>
    <comment ref="AX15" authorId="1">
      <text>
        <r>
          <rPr>
            <b/>
            <sz val="9"/>
            <color indexed="81"/>
            <rFont val="宋体"/>
            <family val="3"/>
            <charset val="134"/>
          </rPr>
          <t>good:</t>
        </r>
        <r>
          <rPr>
            <sz val="9"/>
            <color indexed="81"/>
            <rFont val="宋体"/>
            <family val="3"/>
            <charset val="134"/>
          </rPr>
          <t xml:space="preserve">
相对误差=（显示值-标准值）/标准值
备注：误差比准确度等级多1位，参与误差计算的参数比准确度等级多2位。
</t>
        </r>
      </text>
    </comment>
    <comment ref="F17" authorId="0">
      <text>
        <r>
          <rPr>
            <b/>
            <sz val="9"/>
            <color indexed="81"/>
            <rFont val="宋体"/>
            <family val="3"/>
            <charset val="134"/>
          </rPr>
          <t>作者:</t>
        </r>
        <r>
          <rPr>
            <sz val="9"/>
            <color indexed="81"/>
            <rFont val="宋体"/>
            <family val="3"/>
            <charset val="134"/>
          </rPr>
          <t xml:space="preserve">
固定成MΩ GΩ</t>
        </r>
      </text>
    </comment>
    <comment ref="J17" authorId="0">
      <text>
        <r>
          <rPr>
            <b/>
            <sz val="9"/>
            <color indexed="81"/>
            <rFont val="宋体"/>
            <family val="3"/>
            <charset val="134"/>
          </rPr>
          <t>作者:</t>
        </r>
        <r>
          <rPr>
            <sz val="9"/>
            <color indexed="81"/>
            <rFont val="宋体"/>
            <family val="3"/>
            <charset val="134"/>
          </rPr>
          <t xml:space="preserve">
与标准值单位一一对应</t>
        </r>
      </text>
    </comment>
    <comment ref="AC17" authorId="0">
      <text>
        <r>
          <rPr>
            <b/>
            <sz val="9"/>
            <color indexed="81"/>
            <rFont val="宋体"/>
            <family val="3"/>
            <charset val="134"/>
          </rPr>
          <t>作者:</t>
        </r>
        <r>
          <rPr>
            <sz val="9"/>
            <color indexed="81"/>
            <rFont val="宋体"/>
            <family val="3"/>
            <charset val="134"/>
          </rPr>
          <t xml:space="preserve">
固定成MΩ GΩ</t>
        </r>
      </text>
    </comment>
    <comment ref="AG17" authorId="0">
      <text>
        <r>
          <rPr>
            <b/>
            <sz val="9"/>
            <color indexed="81"/>
            <rFont val="宋体"/>
            <family val="3"/>
            <charset val="134"/>
          </rPr>
          <t>作者:</t>
        </r>
        <r>
          <rPr>
            <sz val="9"/>
            <color indexed="81"/>
            <rFont val="宋体"/>
            <family val="3"/>
            <charset val="134"/>
          </rPr>
          <t xml:space="preserve">
与标准值单位一一对应</t>
        </r>
      </text>
    </comment>
    <comment ref="AS17" authorId="0">
      <text>
        <r>
          <rPr>
            <b/>
            <sz val="9"/>
            <color indexed="81"/>
            <rFont val="宋体"/>
            <family val="3"/>
            <charset val="134"/>
          </rPr>
          <t>作者:</t>
        </r>
        <r>
          <rPr>
            <sz val="9"/>
            <color indexed="81"/>
            <rFont val="宋体"/>
            <family val="3"/>
            <charset val="134"/>
          </rPr>
          <t xml:space="preserve">
固定成MΩ GΩ</t>
        </r>
      </text>
    </comment>
    <comment ref="AW17" authorId="0">
      <text>
        <r>
          <rPr>
            <b/>
            <sz val="9"/>
            <color indexed="81"/>
            <rFont val="宋体"/>
            <family val="3"/>
            <charset val="134"/>
          </rPr>
          <t>作者:</t>
        </r>
        <r>
          <rPr>
            <sz val="9"/>
            <color indexed="81"/>
            <rFont val="宋体"/>
            <family val="3"/>
            <charset val="134"/>
          </rPr>
          <t xml:space="preserve">
与标准值单位一一对应</t>
        </r>
      </text>
    </comment>
    <comment ref="A53" authorId="0">
      <text>
        <r>
          <rPr>
            <b/>
            <sz val="9"/>
            <color indexed="81"/>
            <rFont val="宋体"/>
            <family val="3"/>
            <charset val="134"/>
          </rPr>
          <t>作者:</t>
        </r>
        <r>
          <rPr>
            <sz val="9"/>
            <color indexed="81"/>
            <rFont val="宋体"/>
            <family val="3"/>
            <charset val="134"/>
          </rPr>
          <t xml:space="preserve">
方案中确定
下拉列表</t>
        </r>
      </text>
    </comment>
    <comment ref="C53" authorId="0">
      <text>
        <r>
          <rPr>
            <b/>
            <sz val="9"/>
            <color indexed="81"/>
            <rFont val="宋体"/>
            <family val="3"/>
            <charset val="134"/>
          </rPr>
          <t>作者:</t>
        </r>
        <r>
          <rPr>
            <sz val="9"/>
            <color indexed="81"/>
            <rFont val="宋体"/>
            <family val="3"/>
            <charset val="134"/>
          </rPr>
          <t xml:space="preserve">
手工输入</t>
        </r>
      </text>
    </comment>
    <comment ref="F53" authorId="0">
      <text>
        <r>
          <rPr>
            <b/>
            <sz val="9"/>
            <color indexed="81"/>
            <rFont val="宋体"/>
            <family val="3"/>
            <charset val="134"/>
          </rPr>
          <t>作者:</t>
        </r>
        <r>
          <rPr>
            <sz val="9"/>
            <color indexed="81"/>
            <rFont val="宋体"/>
            <family val="3"/>
            <charset val="134"/>
          </rPr>
          <t xml:space="preserve">
相对误差：（开路电压</t>
        </r>
        <r>
          <rPr>
            <sz val="9"/>
            <color indexed="81"/>
            <rFont val="宋体"/>
            <family val="3"/>
            <charset val="134"/>
          </rPr>
          <t>-额定电压）/额定电压*100%
小数位数保留1位</t>
        </r>
      </text>
    </comment>
    <comment ref="I53" authorId="0">
      <text>
        <r>
          <rPr>
            <b/>
            <sz val="9"/>
            <color indexed="81"/>
            <rFont val="宋体"/>
            <family val="3"/>
            <charset val="134"/>
          </rPr>
          <t>作者:</t>
        </r>
        <r>
          <rPr>
            <sz val="9"/>
            <color indexed="81"/>
            <rFont val="宋体"/>
            <family val="3"/>
            <charset val="134"/>
          </rPr>
          <t xml:space="preserve">
固定，和额定电压有一对一关系。
</t>
        </r>
        <r>
          <rPr>
            <sz val="9"/>
            <color indexed="81"/>
            <rFont val="宋体"/>
            <family val="3"/>
            <charset val="134"/>
          </rPr>
          <t xml:space="preserve">50V 100V 250V 对应  [-10,+10]
其他为[-10,+20]
</t>
        </r>
      </text>
    </comment>
    <comment ref="L53" authorId="0">
      <text>
        <r>
          <rPr>
            <b/>
            <sz val="9"/>
            <color indexed="81"/>
            <rFont val="宋体"/>
            <family val="3"/>
            <charset val="134"/>
          </rPr>
          <t xml:space="preserve">作者:
</t>
        </r>
      </text>
    </comment>
    <comment ref="N53" authorId="1">
      <text>
        <r>
          <rPr>
            <b/>
            <sz val="9"/>
            <color indexed="81"/>
            <rFont val="宋体"/>
            <family val="3"/>
            <charset val="134"/>
          </rPr>
          <t>good:</t>
        </r>
        <r>
          <rPr>
            <sz val="9"/>
            <color indexed="81"/>
            <rFont val="宋体"/>
            <family val="3"/>
            <charset val="134"/>
          </rPr>
          <t xml:space="preserve">
同开路</t>
        </r>
      </text>
    </comment>
    <comment ref="Q53" authorId="0">
      <text>
        <r>
          <rPr>
            <b/>
            <sz val="9"/>
            <color indexed="81"/>
            <rFont val="宋体"/>
            <family val="3"/>
            <charset val="134"/>
          </rPr>
          <t>作者:</t>
        </r>
        <r>
          <rPr>
            <sz val="9"/>
            <color indexed="81"/>
            <rFont val="宋体"/>
            <family val="3"/>
            <charset val="134"/>
          </rPr>
          <t xml:space="preserve">
默认：≥-10</t>
        </r>
      </text>
    </comment>
    <comment ref="Y53" authorId="0">
      <text>
        <r>
          <rPr>
            <b/>
            <sz val="9"/>
            <color indexed="81"/>
            <rFont val="宋体"/>
            <family val="3"/>
            <charset val="134"/>
          </rPr>
          <t>作者:</t>
        </r>
        <r>
          <rPr>
            <sz val="9"/>
            <color indexed="81"/>
            <rFont val="宋体"/>
            <family val="3"/>
            <charset val="134"/>
          </rPr>
          <t xml:space="preserve">
方案中确定
下拉列表</t>
        </r>
      </text>
    </comment>
    <comment ref="AA53" authorId="0">
      <text>
        <r>
          <rPr>
            <b/>
            <sz val="9"/>
            <color indexed="81"/>
            <rFont val="宋体"/>
            <family val="3"/>
            <charset val="134"/>
          </rPr>
          <t>作者:</t>
        </r>
        <r>
          <rPr>
            <sz val="9"/>
            <color indexed="81"/>
            <rFont val="宋体"/>
            <family val="3"/>
            <charset val="134"/>
          </rPr>
          <t xml:space="preserve">
手工输入</t>
        </r>
      </text>
    </comment>
    <comment ref="AD53" authorId="0">
      <text>
        <r>
          <rPr>
            <b/>
            <sz val="9"/>
            <color indexed="81"/>
            <rFont val="宋体"/>
            <family val="3"/>
            <charset val="134"/>
          </rPr>
          <t>作者:</t>
        </r>
        <r>
          <rPr>
            <sz val="9"/>
            <color indexed="81"/>
            <rFont val="宋体"/>
            <family val="3"/>
            <charset val="134"/>
          </rPr>
          <t xml:space="preserve">
相对误差：（开路电压</t>
        </r>
        <r>
          <rPr>
            <sz val="9"/>
            <color indexed="81"/>
            <rFont val="宋体"/>
            <family val="3"/>
            <charset val="134"/>
          </rPr>
          <t>-额定电压）/额定电压*100%
小数位数保留1位</t>
        </r>
      </text>
    </comment>
    <comment ref="AG53" authorId="0">
      <text>
        <r>
          <rPr>
            <b/>
            <sz val="9"/>
            <color indexed="81"/>
            <rFont val="宋体"/>
            <family val="3"/>
            <charset val="134"/>
          </rPr>
          <t>作者:</t>
        </r>
        <r>
          <rPr>
            <sz val="9"/>
            <color indexed="81"/>
            <rFont val="宋体"/>
            <family val="3"/>
            <charset val="134"/>
          </rPr>
          <t xml:space="preserve">
固定，和额定电压有一对一关系。
</t>
        </r>
        <r>
          <rPr>
            <sz val="9"/>
            <color indexed="81"/>
            <rFont val="宋体"/>
            <family val="3"/>
            <charset val="134"/>
          </rPr>
          <t xml:space="preserve">50V 100V 250V 对应  [-10,+10]
其他为[-10,+20]
</t>
        </r>
      </text>
    </comment>
    <comment ref="AI53" authorId="0">
      <text>
        <r>
          <rPr>
            <b/>
            <sz val="9"/>
            <color indexed="81"/>
            <rFont val="宋体"/>
            <family val="3"/>
            <charset val="134"/>
          </rPr>
          <t xml:space="preserve">作者:
</t>
        </r>
      </text>
    </comment>
    <comment ref="AJ53" authorId="1">
      <text>
        <r>
          <rPr>
            <b/>
            <sz val="9"/>
            <color indexed="81"/>
            <rFont val="宋体"/>
            <family val="3"/>
            <charset val="134"/>
          </rPr>
          <t>good:</t>
        </r>
        <r>
          <rPr>
            <sz val="9"/>
            <color indexed="81"/>
            <rFont val="宋体"/>
            <family val="3"/>
            <charset val="134"/>
          </rPr>
          <t xml:space="preserve">
同开路</t>
        </r>
      </text>
    </comment>
    <comment ref="AK53" authorId="0">
      <text>
        <r>
          <rPr>
            <b/>
            <sz val="9"/>
            <color indexed="81"/>
            <rFont val="宋体"/>
            <family val="3"/>
            <charset val="134"/>
          </rPr>
          <t>作者:</t>
        </r>
        <r>
          <rPr>
            <sz val="9"/>
            <color indexed="81"/>
            <rFont val="宋体"/>
            <family val="3"/>
            <charset val="134"/>
          </rPr>
          <t xml:space="preserve">
默认：≥-10</t>
        </r>
      </text>
    </comment>
    <comment ref="AN53" authorId="0">
      <text>
        <r>
          <rPr>
            <b/>
            <sz val="9"/>
            <color indexed="81"/>
            <rFont val="宋体"/>
            <family val="3"/>
            <charset val="134"/>
          </rPr>
          <t>作者:</t>
        </r>
        <r>
          <rPr>
            <sz val="9"/>
            <color indexed="81"/>
            <rFont val="宋体"/>
            <family val="3"/>
            <charset val="134"/>
          </rPr>
          <t xml:space="preserve">
方案中确定
下拉列表</t>
        </r>
      </text>
    </comment>
    <comment ref="AP53" authorId="0">
      <text>
        <r>
          <rPr>
            <b/>
            <sz val="9"/>
            <color indexed="81"/>
            <rFont val="宋体"/>
            <family val="3"/>
            <charset val="134"/>
          </rPr>
          <t>作者:</t>
        </r>
        <r>
          <rPr>
            <sz val="9"/>
            <color indexed="81"/>
            <rFont val="宋体"/>
            <family val="3"/>
            <charset val="134"/>
          </rPr>
          <t xml:space="preserve">
手工输入</t>
        </r>
      </text>
    </comment>
    <comment ref="AS53" authorId="0">
      <text>
        <r>
          <rPr>
            <b/>
            <sz val="9"/>
            <color indexed="81"/>
            <rFont val="宋体"/>
            <family val="3"/>
            <charset val="134"/>
          </rPr>
          <t>作者:</t>
        </r>
        <r>
          <rPr>
            <sz val="9"/>
            <color indexed="81"/>
            <rFont val="宋体"/>
            <family val="3"/>
            <charset val="134"/>
          </rPr>
          <t xml:space="preserve">
相对误差：（开路电压</t>
        </r>
        <r>
          <rPr>
            <sz val="9"/>
            <color indexed="81"/>
            <rFont val="宋体"/>
            <family val="3"/>
            <charset val="134"/>
          </rPr>
          <t>-额定电压）/额定电压*100%
小数位数保留1位</t>
        </r>
      </text>
    </comment>
    <comment ref="AV53" authorId="0">
      <text>
        <r>
          <rPr>
            <b/>
            <sz val="9"/>
            <color indexed="81"/>
            <rFont val="宋体"/>
            <family val="3"/>
            <charset val="134"/>
          </rPr>
          <t>作者:</t>
        </r>
        <r>
          <rPr>
            <sz val="9"/>
            <color indexed="81"/>
            <rFont val="宋体"/>
            <family val="3"/>
            <charset val="134"/>
          </rPr>
          <t xml:space="preserve">
固定，和额定电压有一对一关系。
</t>
        </r>
        <r>
          <rPr>
            <sz val="9"/>
            <color indexed="81"/>
            <rFont val="宋体"/>
            <family val="3"/>
            <charset val="134"/>
          </rPr>
          <t xml:space="preserve">50V 100V 250V 对应  [-10,+10]
其他为[-10,+20]
</t>
        </r>
      </text>
    </comment>
    <comment ref="AX53" authorId="0">
      <text>
        <r>
          <rPr>
            <b/>
            <sz val="9"/>
            <color indexed="81"/>
            <rFont val="宋体"/>
            <family val="3"/>
            <charset val="134"/>
          </rPr>
          <t xml:space="preserve">作者:
</t>
        </r>
      </text>
    </comment>
    <comment ref="AZ53" authorId="1">
      <text>
        <r>
          <rPr>
            <b/>
            <sz val="9"/>
            <color indexed="81"/>
            <rFont val="宋体"/>
            <family val="3"/>
            <charset val="134"/>
          </rPr>
          <t>good:</t>
        </r>
        <r>
          <rPr>
            <sz val="9"/>
            <color indexed="81"/>
            <rFont val="宋体"/>
            <family val="3"/>
            <charset val="134"/>
          </rPr>
          <t xml:space="preserve">
同开路</t>
        </r>
      </text>
    </comment>
    <comment ref="BC53" authorId="0">
      <text>
        <r>
          <rPr>
            <b/>
            <sz val="9"/>
            <color indexed="81"/>
            <rFont val="宋体"/>
            <family val="3"/>
            <charset val="134"/>
          </rPr>
          <t>作者:</t>
        </r>
        <r>
          <rPr>
            <sz val="9"/>
            <color indexed="81"/>
            <rFont val="宋体"/>
            <family val="3"/>
            <charset val="134"/>
          </rPr>
          <t xml:space="preserve">
默认：≥-10</t>
        </r>
      </text>
    </comment>
  </commentList>
</comments>
</file>

<file path=xl/comments10.xml><?xml version="1.0" encoding="utf-8"?>
<comments xmlns="http://schemas.openxmlformats.org/spreadsheetml/2006/main">
  <authors>
    <author>good</author>
  </authors>
  <commentList>
    <comment ref="C1" authorId="0">
      <text>
        <r>
          <rPr>
            <b/>
            <sz val="9"/>
            <color indexed="81"/>
            <rFont val="宋体"/>
            <family val="3"/>
            <charset val="134"/>
          </rPr>
          <t>good:</t>
        </r>
        <r>
          <rPr>
            <sz val="9"/>
            <color indexed="81"/>
            <rFont val="宋体"/>
            <family val="3"/>
            <charset val="134"/>
          </rPr>
          <t xml:space="preserve">
</t>
        </r>
        <r>
          <rPr>
            <sz val="9"/>
            <color indexed="10"/>
            <rFont val="宋体"/>
            <family val="3"/>
            <charset val="134"/>
          </rPr>
          <t>能否改成示值误差</t>
        </r>
      </text>
    </comment>
    <comment ref="C2" authorId="0">
      <text>
        <r>
          <rPr>
            <b/>
            <sz val="9"/>
            <color indexed="81"/>
            <rFont val="宋体"/>
            <family val="3"/>
            <charset val="134"/>
          </rPr>
          <t>good:</t>
        </r>
        <r>
          <rPr>
            <sz val="9"/>
            <color indexed="81"/>
            <rFont val="宋体"/>
            <family val="3"/>
            <charset val="134"/>
          </rPr>
          <t xml:space="preserve">
</t>
        </r>
        <r>
          <rPr>
            <sz val="9"/>
            <color indexed="10"/>
            <rFont val="宋体"/>
            <family val="3"/>
            <charset val="134"/>
          </rPr>
          <t>能否改成量程范围</t>
        </r>
      </text>
    </comment>
    <comment ref="B7" authorId="0">
      <text>
        <r>
          <rPr>
            <b/>
            <sz val="9"/>
            <color indexed="81"/>
            <rFont val="宋体"/>
            <family val="3"/>
            <charset val="134"/>
          </rPr>
          <t>good:
根据项目小数位数不同</t>
        </r>
      </text>
    </comment>
    <comment ref="G10" authorId="0">
      <text>
        <r>
          <rPr>
            <b/>
            <sz val="9"/>
            <color indexed="81"/>
            <rFont val="宋体"/>
            <family val="3"/>
            <charset val="134"/>
          </rPr>
          <t>good:</t>
        </r>
        <r>
          <rPr>
            <sz val="9"/>
            <color indexed="81"/>
            <rFont val="宋体"/>
            <family val="3"/>
            <charset val="134"/>
          </rPr>
          <t xml:space="preserve">
小数位数根据实际情况，不同</t>
        </r>
      </text>
    </comment>
    <comment ref="B14" authorId="0">
      <text>
        <r>
          <rPr>
            <b/>
            <sz val="9"/>
            <color indexed="81"/>
            <rFont val="宋体"/>
            <family val="3"/>
            <charset val="134"/>
          </rPr>
          <t>good:</t>
        </r>
        <r>
          <rPr>
            <sz val="9"/>
            <color indexed="81"/>
            <rFont val="宋体"/>
            <family val="3"/>
            <charset val="134"/>
          </rPr>
          <t xml:space="preserve">
根据项目小数位数不同</t>
        </r>
      </text>
    </comment>
    <comment ref="B16" authorId="0">
      <text>
        <r>
          <rPr>
            <b/>
            <sz val="9"/>
            <color indexed="81"/>
            <rFont val="宋体"/>
            <family val="3"/>
            <charset val="134"/>
          </rPr>
          <t>good:</t>
        </r>
        <r>
          <rPr>
            <sz val="9"/>
            <color indexed="81"/>
            <rFont val="宋体"/>
            <family val="3"/>
            <charset val="134"/>
          </rPr>
          <t xml:space="preserve">
根据项目小数位数不同</t>
        </r>
      </text>
    </comment>
    <comment ref="B18" authorId="0">
      <text>
        <r>
          <rPr>
            <b/>
            <sz val="9"/>
            <color indexed="81"/>
            <rFont val="宋体"/>
            <family val="3"/>
            <charset val="134"/>
          </rPr>
          <t>good:</t>
        </r>
        <r>
          <rPr>
            <sz val="9"/>
            <color indexed="81"/>
            <rFont val="宋体"/>
            <family val="3"/>
            <charset val="134"/>
          </rPr>
          <t xml:space="preserve">
根据项目小数位数不同</t>
        </r>
      </text>
    </comment>
    <comment ref="B26" authorId="0">
      <text>
        <r>
          <rPr>
            <b/>
            <sz val="9"/>
            <color indexed="81"/>
            <rFont val="宋体"/>
            <family val="3"/>
            <charset val="134"/>
          </rPr>
          <t>good:
根据项目小数位数不同</t>
        </r>
      </text>
    </comment>
    <comment ref="G29" authorId="0">
      <text>
        <r>
          <rPr>
            <b/>
            <sz val="9"/>
            <color indexed="81"/>
            <rFont val="宋体"/>
            <family val="3"/>
            <charset val="134"/>
          </rPr>
          <t>good:</t>
        </r>
        <r>
          <rPr>
            <sz val="9"/>
            <color indexed="81"/>
            <rFont val="宋体"/>
            <family val="3"/>
            <charset val="134"/>
          </rPr>
          <t xml:space="preserve">
小数位数根据实际情况，不同</t>
        </r>
      </text>
    </comment>
    <comment ref="B33" authorId="0">
      <text>
        <r>
          <rPr>
            <b/>
            <sz val="9"/>
            <color indexed="81"/>
            <rFont val="宋体"/>
            <family val="3"/>
            <charset val="134"/>
          </rPr>
          <t>good:</t>
        </r>
        <r>
          <rPr>
            <sz val="9"/>
            <color indexed="81"/>
            <rFont val="宋体"/>
            <family val="3"/>
            <charset val="134"/>
          </rPr>
          <t xml:space="preserve">
根据项目小数位数不同</t>
        </r>
      </text>
    </comment>
    <comment ref="B35" authorId="0">
      <text>
        <r>
          <rPr>
            <b/>
            <sz val="9"/>
            <color indexed="81"/>
            <rFont val="宋体"/>
            <family val="3"/>
            <charset val="134"/>
          </rPr>
          <t>good:</t>
        </r>
        <r>
          <rPr>
            <sz val="9"/>
            <color indexed="81"/>
            <rFont val="宋体"/>
            <family val="3"/>
            <charset val="134"/>
          </rPr>
          <t xml:space="preserve">
根据项目小数位数不同</t>
        </r>
      </text>
    </comment>
    <comment ref="B37" authorId="0">
      <text>
        <r>
          <rPr>
            <b/>
            <sz val="9"/>
            <color indexed="81"/>
            <rFont val="宋体"/>
            <family val="3"/>
            <charset val="134"/>
          </rPr>
          <t>good:</t>
        </r>
        <r>
          <rPr>
            <sz val="9"/>
            <color indexed="81"/>
            <rFont val="宋体"/>
            <family val="3"/>
            <charset val="134"/>
          </rPr>
          <t xml:space="preserve">
根据项目小数位数不同</t>
        </r>
      </text>
    </comment>
    <comment ref="B45" authorId="0">
      <text>
        <r>
          <rPr>
            <b/>
            <sz val="9"/>
            <color indexed="81"/>
            <rFont val="宋体"/>
            <family val="3"/>
            <charset val="134"/>
          </rPr>
          <t>good:
根据项目小数位数不同</t>
        </r>
      </text>
    </comment>
    <comment ref="G48" authorId="0">
      <text>
        <r>
          <rPr>
            <b/>
            <sz val="9"/>
            <color indexed="81"/>
            <rFont val="宋体"/>
            <family val="3"/>
            <charset val="134"/>
          </rPr>
          <t>good:</t>
        </r>
        <r>
          <rPr>
            <sz val="9"/>
            <color indexed="81"/>
            <rFont val="宋体"/>
            <family val="3"/>
            <charset val="134"/>
          </rPr>
          <t xml:space="preserve">
小数位数根据实际情况，不同</t>
        </r>
      </text>
    </comment>
    <comment ref="B52" authorId="0">
      <text>
        <r>
          <rPr>
            <b/>
            <sz val="9"/>
            <color indexed="81"/>
            <rFont val="宋体"/>
            <family val="3"/>
            <charset val="134"/>
          </rPr>
          <t>good:</t>
        </r>
        <r>
          <rPr>
            <sz val="9"/>
            <color indexed="81"/>
            <rFont val="宋体"/>
            <family val="3"/>
            <charset val="134"/>
          </rPr>
          <t xml:space="preserve">
根据项目小数位数不同</t>
        </r>
      </text>
    </comment>
    <comment ref="B54" authorId="0">
      <text>
        <r>
          <rPr>
            <b/>
            <sz val="9"/>
            <color indexed="81"/>
            <rFont val="宋体"/>
            <family val="3"/>
            <charset val="134"/>
          </rPr>
          <t>good:</t>
        </r>
        <r>
          <rPr>
            <sz val="9"/>
            <color indexed="81"/>
            <rFont val="宋体"/>
            <family val="3"/>
            <charset val="134"/>
          </rPr>
          <t xml:space="preserve">
根据项目小数位数不同</t>
        </r>
      </text>
    </comment>
    <comment ref="B56" authorId="0">
      <text>
        <r>
          <rPr>
            <b/>
            <sz val="9"/>
            <color indexed="81"/>
            <rFont val="宋体"/>
            <family val="3"/>
            <charset val="134"/>
          </rPr>
          <t>good:</t>
        </r>
        <r>
          <rPr>
            <sz val="9"/>
            <color indexed="81"/>
            <rFont val="宋体"/>
            <family val="3"/>
            <charset val="134"/>
          </rPr>
          <t xml:space="preserve">
根据项目小数位数不同</t>
        </r>
      </text>
    </comment>
    <comment ref="B64" authorId="0">
      <text>
        <r>
          <rPr>
            <b/>
            <sz val="9"/>
            <color indexed="81"/>
            <rFont val="宋体"/>
            <family val="3"/>
            <charset val="134"/>
          </rPr>
          <t>good:
根据项目小数位数不同</t>
        </r>
      </text>
    </comment>
    <comment ref="G67" authorId="0">
      <text>
        <r>
          <rPr>
            <b/>
            <sz val="9"/>
            <color indexed="81"/>
            <rFont val="宋体"/>
            <family val="3"/>
            <charset val="134"/>
          </rPr>
          <t>good:</t>
        </r>
        <r>
          <rPr>
            <sz val="9"/>
            <color indexed="81"/>
            <rFont val="宋体"/>
            <family val="3"/>
            <charset val="134"/>
          </rPr>
          <t xml:space="preserve">
小数位数根据实际情况，不同</t>
        </r>
      </text>
    </comment>
    <comment ref="B71" authorId="0">
      <text>
        <r>
          <rPr>
            <b/>
            <sz val="9"/>
            <color indexed="81"/>
            <rFont val="宋体"/>
            <family val="3"/>
            <charset val="134"/>
          </rPr>
          <t>good:</t>
        </r>
        <r>
          <rPr>
            <sz val="9"/>
            <color indexed="81"/>
            <rFont val="宋体"/>
            <family val="3"/>
            <charset val="134"/>
          </rPr>
          <t xml:space="preserve">
根据项目小数位数不同</t>
        </r>
      </text>
    </comment>
    <comment ref="B73" authorId="0">
      <text>
        <r>
          <rPr>
            <b/>
            <sz val="9"/>
            <color indexed="81"/>
            <rFont val="宋体"/>
            <family val="3"/>
            <charset val="134"/>
          </rPr>
          <t>good:</t>
        </r>
        <r>
          <rPr>
            <sz val="9"/>
            <color indexed="81"/>
            <rFont val="宋体"/>
            <family val="3"/>
            <charset val="134"/>
          </rPr>
          <t xml:space="preserve">
根据项目小数位数不同</t>
        </r>
      </text>
    </comment>
    <comment ref="B75" authorId="0">
      <text>
        <r>
          <rPr>
            <b/>
            <sz val="9"/>
            <color indexed="81"/>
            <rFont val="宋体"/>
            <family val="3"/>
            <charset val="134"/>
          </rPr>
          <t>good:</t>
        </r>
        <r>
          <rPr>
            <sz val="9"/>
            <color indexed="81"/>
            <rFont val="宋体"/>
            <family val="3"/>
            <charset val="134"/>
          </rPr>
          <t xml:space="preserve">
根据项目小数位数不同</t>
        </r>
      </text>
    </comment>
    <comment ref="B83" authorId="0">
      <text>
        <r>
          <rPr>
            <b/>
            <sz val="9"/>
            <color indexed="81"/>
            <rFont val="宋体"/>
            <family val="3"/>
            <charset val="134"/>
          </rPr>
          <t>good:
根据项目小数位数不同</t>
        </r>
      </text>
    </comment>
    <comment ref="G86" authorId="0">
      <text>
        <r>
          <rPr>
            <b/>
            <sz val="9"/>
            <color indexed="81"/>
            <rFont val="宋体"/>
            <family val="3"/>
            <charset val="134"/>
          </rPr>
          <t>good:</t>
        </r>
        <r>
          <rPr>
            <sz val="9"/>
            <color indexed="81"/>
            <rFont val="宋体"/>
            <family val="3"/>
            <charset val="134"/>
          </rPr>
          <t xml:space="preserve">
小数位数根据实际情况，不同</t>
        </r>
      </text>
    </comment>
    <comment ref="B90" authorId="0">
      <text>
        <r>
          <rPr>
            <b/>
            <sz val="9"/>
            <color indexed="81"/>
            <rFont val="宋体"/>
            <family val="3"/>
            <charset val="134"/>
          </rPr>
          <t>good:</t>
        </r>
        <r>
          <rPr>
            <sz val="9"/>
            <color indexed="81"/>
            <rFont val="宋体"/>
            <family val="3"/>
            <charset val="134"/>
          </rPr>
          <t xml:space="preserve">
根据项目小数位数不同</t>
        </r>
      </text>
    </comment>
    <comment ref="B92" authorId="0">
      <text>
        <r>
          <rPr>
            <b/>
            <sz val="9"/>
            <color indexed="81"/>
            <rFont val="宋体"/>
            <family val="3"/>
            <charset val="134"/>
          </rPr>
          <t>good:</t>
        </r>
        <r>
          <rPr>
            <sz val="9"/>
            <color indexed="81"/>
            <rFont val="宋体"/>
            <family val="3"/>
            <charset val="134"/>
          </rPr>
          <t xml:space="preserve">
根据项目小数位数不同</t>
        </r>
      </text>
    </comment>
    <comment ref="B94" authorId="0">
      <text>
        <r>
          <rPr>
            <b/>
            <sz val="9"/>
            <color indexed="81"/>
            <rFont val="宋体"/>
            <family val="3"/>
            <charset val="134"/>
          </rPr>
          <t>good:</t>
        </r>
        <r>
          <rPr>
            <sz val="9"/>
            <color indexed="81"/>
            <rFont val="宋体"/>
            <family val="3"/>
            <charset val="134"/>
          </rPr>
          <t xml:space="preserve">
根据项目小数位数不同</t>
        </r>
      </text>
    </comment>
    <comment ref="B102" authorId="0">
      <text>
        <r>
          <rPr>
            <b/>
            <sz val="9"/>
            <color indexed="81"/>
            <rFont val="宋体"/>
            <family val="3"/>
            <charset val="134"/>
          </rPr>
          <t>good:
根据项目小数位数不同</t>
        </r>
      </text>
    </comment>
    <comment ref="G105" authorId="0">
      <text>
        <r>
          <rPr>
            <b/>
            <sz val="9"/>
            <color indexed="81"/>
            <rFont val="宋体"/>
            <family val="3"/>
            <charset val="134"/>
          </rPr>
          <t>good:</t>
        </r>
        <r>
          <rPr>
            <sz val="9"/>
            <color indexed="81"/>
            <rFont val="宋体"/>
            <family val="3"/>
            <charset val="134"/>
          </rPr>
          <t xml:space="preserve">
小数位数根据实际情况，不同</t>
        </r>
      </text>
    </comment>
    <comment ref="B109" authorId="0">
      <text>
        <r>
          <rPr>
            <b/>
            <sz val="9"/>
            <color indexed="81"/>
            <rFont val="宋体"/>
            <family val="3"/>
            <charset val="134"/>
          </rPr>
          <t>good:</t>
        </r>
        <r>
          <rPr>
            <sz val="9"/>
            <color indexed="81"/>
            <rFont val="宋体"/>
            <family val="3"/>
            <charset val="134"/>
          </rPr>
          <t xml:space="preserve">
根据项目小数位数不同</t>
        </r>
      </text>
    </comment>
    <comment ref="B111" authorId="0">
      <text>
        <r>
          <rPr>
            <b/>
            <sz val="9"/>
            <color indexed="81"/>
            <rFont val="宋体"/>
            <family val="3"/>
            <charset val="134"/>
          </rPr>
          <t>good:</t>
        </r>
        <r>
          <rPr>
            <sz val="9"/>
            <color indexed="81"/>
            <rFont val="宋体"/>
            <family val="3"/>
            <charset val="134"/>
          </rPr>
          <t xml:space="preserve">
根据项目小数位数不同</t>
        </r>
      </text>
    </comment>
    <comment ref="B113" authorId="0">
      <text>
        <r>
          <rPr>
            <b/>
            <sz val="9"/>
            <color indexed="81"/>
            <rFont val="宋体"/>
            <family val="3"/>
            <charset val="134"/>
          </rPr>
          <t>good:</t>
        </r>
        <r>
          <rPr>
            <sz val="9"/>
            <color indexed="81"/>
            <rFont val="宋体"/>
            <family val="3"/>
            <charset val="134"/>
          </rPr>
          <t xml:space="preserve">
根据项目小数位数不同</t>
        </r>
      </text>
    </comment>
    <comment ref="B121" authorId="0">
      <text>
        <r>
          <rPr>
            <b/>
            <sz val="9"/>
            <color indexed="81"/>
            <rFont val="宋体"/>
            <family val="3"/>
            <charset val="134"/>
          </rPr>
          <t>good:
根据项目小数位数不同</t>
        </r>
      </text>
    </comment>
    <comment ref="G124" authorId="0">
      <text>
        <r>
          <rPr>
            <b/>
            <sz val="9"/>
            <color indexed="81"/>
            <rFont val="宋体"/>
            <family val="3"/>
            <charset val="134"/>
          </rPr>
          <t>good:</t>
        </r>
        <r>
          <rPr>
            <sz val="9"/>
            <color indexed="81"/>
            <rFont val="宋体"/>
            <family val="3"/>
            <charset val="134"/>
          </rPr>
          <t xml:space="preserve">
小数位数根据实际情况，不同</t>
        </r>
      </text>
    </comment>
    <comment ref="B128" authorId="0">
      <text>
        <r>
          <rPr>
            <b/>
            <sz val="9"/>
            <color indexed="81"/>
            <rFont val="宋体"/>
            <family val="3"/>
            <charset val="134"/>
          </rPr>
          <t>good:</t>
        </r>
        <r>
          <rPr>
            <sz val="9"/>
            <color indexed="81"/>
            <rFont val="宋体"/>
            <family val="3"/>
            <charset val="134"/>
          </rPr>
          <t xml:space="preserve">
根据项目小数位数不同</t>
        </r>
      </text>
    </comment>
    <comment ref="B130" authorId="0">
      <text>
        <r>
          <rPr>
            <b/>
            <sz val="9"/>
            <color indexed="81"/>
            <rFont val="宋体"/>
            <family val="3"/>
            <charset val="134"/>
          </rPr>
          <t>good:</t>
        </r>
        <r>
          <rPr>
            <sz val="9"/>
            <color indexed="81"/>
            <rFont val="宋体"/>
            <family val="3"/>
            <charset val="134"/>
          </rPr>
          <t xml:space="preserve">
根据项目小数位数不同</t>
        </r>
      </text>
    </comment>
    <comment ref="B132" authorId="0">
      <text>
        <r>
          <rPr>
            <b/>
            <sz val="9"/>
            <color indexed="81"/>
            <rFont val="宋体"/>
            <family val="3"/>
            <charset val="134"/>
          </rPr>
          <t>good:</t>
        </r>
        <r>
          <rPr>
            <sz val="9"/>
            <color indexed="81"/>
            <rFont val="宋体"/>
            <family val="3"/>
            <charset val="134"/>
          </rPr>
          <t xml:space="preserve">
根据项目小数位数不同</t>
        </r>
      </text>
    </comment>
  </commentList>
</comments>
</file>

<file path=xl/comments11.xml><?xml version="1.0" encoding="utf-8"?>
<comments xmlns="http://schemas.openxmlformats.org/spreadsheetml/2006/main">
  <authors>
    <author>作者</author>
    <author>good</author>
  </authors>
  <commentList>
    <comment ref="A17" authorId="0">
      <text>
        <r>
          <rPr>
            <b/>
            <sz val="9"/>
            <color indexed="81"/>
            <rFont val="宋体"/>
            <family val="3"/>
            <charset val="134"/>
          </rPr>
          <t>作者:</t>
        </r>
        <r>
          <rPr>
            <sz val="9"/>
            <color indexed="81"/>
            <rFont val="宋体"/>
            <family val="3"/>
            <charset val="134"/>
          </rPr>
          <t xml:space="preserve">
</t>
        </r>
        <r>
          <rPr>
            <sz val="9"/>
            <color indexed="81"/>
            <rFont val="宋体"/>
            <family val="3"/>
            <charset val="134"/>
          </rPr>
          <t>1、</t>
        </r>
        <r>
          <rPr>
            <sz val="9"/>
            <color indexed="81"/>
            <rFont val="宋体"/>
            <family val="3"/>
            <charset val="134"/>
          </rPr>
          <t xml:space="preserve">手工输入，单位统一到表头
</t>
        </r>
        <r>
          <rPr>
            <sz val="9"/>
            <color indexed="81"/>
            <rFont val="宋体"/>
            <family val="3"/>
            <charset val="134"/>
          </rPr>
          <t>2、始终一个量程</t>
        </r>
      </text>
    </comment>
    <comment ref="C17" authorId="0">
      <text>
        <r>
          <rPr>
            <b/>
            <sz val="9"/>
            <color indexed="81"/>
            <rFont val="宋体"/>
            <family val="3"/>
            <charset val="134"/>
          </rPr>
          <t>作者:</t>
        </r>
        <r>
          <rPr>
            <sz val="9"/>
            <color indexed="81"/>
            <rFont val="宋体"/>
            <family val="3"/>
            <charset val="134"/>
          </rPr>
          <t xml:space="preserve">
同量程</t>
        </r>
      </text>
    </comment>
    <comment ref="D17" authorId="0">
      <text>
        <r>
          <rPr>
            <b/>
            <sz val="9"/>
            <color indexed="81"/>
            <rFont val="宋体"/>
            <family val="3"/>
            <charset val="134"/>
          </rPr>
          <t>作者:</t>
        </r>
        <r>
          <rPr>
            <sz val="9"/>
            <color indexed="81"/>
            <rFont val="宋体"/>
            <family val="3"/>
            <charset val="134"/>
          </rPr>
          <t xml:space="preserve">
同量程</t>
        </r>
      </text>
    </comment>
    <comment ref="H17" authorId="0">
      <text>
        <r>
          <rPr>
            <b/>
            <sz val="9"/>
            <color indexed="81"/>
            <rFont val="宋体"/>
            <family val="3"/>
            <charset val="134"/>
          </rPr>
          <t>作者:</t>
        </r>
        <r>
          <rPr>
            <sz val="9"/>
            <color indexed="81"/>
            <rFont val="宋体"/>
            <family val="3"/>
            <charset val="134"/>
          </rPr>
          <t xml:space="preserve">
显示值单位欧提到表头</t>
        </r>
      </text>
    </comment>
    <comment ref="K17" authorId="1">
      <text>
        <r>
          <rPr>
            <b/>
            <sz val="9"/>
            <color indexed="81"/>
            <rFont val="宋体"/>
            <family val="3"/>
            <charset val="134"/>
          </rPr>
          <t>good:</t>
        </r>
        <r>
          <rPr>
            <sz val="9"/>
            <color indexed="81"/>
            <rFont val="宋体"/>
            <family val="3"/>
            <charset val="134"/>
          </rPr>
          <t xml:space="preserve">
相对误差：（显示值-标准值）/标准值
比准确度等级一位，参与误差计算的多两位
四舍六入，逢五奇进偶不进</t>
        </r>
      </text>
    </comment>
    <comment ref="X17" authorId="0">
      <text>
        <r>
          <rPr>
            <b/>
            <sz val="9"/>
            <color indexed="81"/>
            <rFont val="宋体"/>
            <family val="3"/>
            <charset val="134"/>
          </rPr>
          <t>作者:</t>
        </r>
        <r>
          <rPr>
            <sz val="9"/>
            <color indexed="81"/>
            <rFont val="宋体"/>
            <family val="3"/>
            <charset val="134"/>
          </rPr>
          <t xml:space="preserve">
</t>
        </r>
        <r>
          <rPr>
            <sz val="9"/>
            <color indexed="81"/>
            <rFont val="宋体"/>
            <family val="3"/>
            <charset val="134"/>
          </rPr>
          <t>1、</t>
        </r>
        <r>
          <rPr>
            <sz val="9"/>
            <color indexed="81"/>
            <rFont val="宋体"/>
            <family val="3"/>
            <charset val="134"/>
          </rPr>
          <t xml:space="preserve">手工输入，单位统一到表头
</t>
        </r>
        <r>
          <rPr>
            <sz val="9"/>
            <color indexed="81"/>
            <rFont val="宋体"/>
            <family val="3"/>
            <charset val="134"/>
          </rPr>
          <t>2、始终一个量程</t>
        </r>
      </text>
    </comment>
    <comment ref="Z17" authorId="0">
      <text>
        <r>
          <rPr>
            <b/>
            <sz val="9"/>
            <color indexed="81"/>
            <rFont val="宋体"/>
            <family val="3"/>
            <charset val="134"/>
          </rPr>
          <t>作者:</t>
        </r>
        <r>
          <rPr>
            <sz val="9"/>
            <color indexed="81"/>
            <rFont val="宋体"/>
            <family val="3"/>
            <charset val="134"/>
          </rPr>
          <t xml:space="preserve">
同量程</t>
        </r>
      </text>
    </comment>
    <comment ref="AD17" authorId="0">
      <text>
        <r>
          <rPr>
            <b/>
            <sz val="9"/>
            <color indexed="81"/>
            <rFont val="宋体"/>
            <family val="3"/>
            <charset val="134"/>
          </rPr>
          <t>作者:</t>
        </r>
        <r>
          <rPr>
            <sz val="9"/>
            <color indexed="81"/>
            <rFont val="宋体"/>
            <family val="3"/>
            <charset val="134"/>
          </rPr>
          <t xml:space="preserve">
显示值单位欧提到表头</t>
        </r>
      </text>
    </comment>
    <comment ref="AG17" authorId="1">
      <text>
        <r>
          <rPr>
            <b/>
            <sz val="9"/>
            <color indexed="81"/>
            <rFont val="宋体"/>
            <family val="3"/>
            <charset val="134"/>
          </rPr>
          <t>good:</t>
        </r>
        <r>
          <rPr>
            <sz val="9"/>
            <color indexed="81"/>
            <rFont val="宋体"/>
            <family val="3"/>
            <charset val="134"/>
          </rPr>
          <t xml:space="preserve">
相对误差：（显示值-标准值）/标准值
比准确度等级一位，参与误差计算的多两位
四舍六入，逢五奇进偶不进</t>
        </r>
      </text>
    </comment>
    <comment ref="AL17" authorId="0">
      <text>
        <r>
          <rPr>
            <b/>
            <sz val="9"/>
            <color indexed="81"/>
            <rFont val="宋体"/>
            <family val="3"/>
            <charset val="134"/>
          </rPr>
          <t>作者:</t>
        </r>
        <r>
          <rPr>
            <sz val="9"/>
            <color indexed="81"/>
            <rFont val="宋体"/>
            <family val="3"/>
            <charset val="134"/>
          </rPr>
          <t xml:space="preserve">
</t>
        </r>
        <r>
          <rPr>
            <sz val="9"/>
            <color indexed="81"/>
            <rFont val="宋体"/>
            <family val="3"/>
            <charset val="134"/>
          </rPr>
          <t>1、</t>
        </r>
        <r>
          <rPr>
            <sz val="9"/>
            <color indexed="81"/>
            <rFont val="宋体"/>
            <family val="3"/>
            <charset val="134"/>
          </rPr>
          <t xml:space="preserve">手工输入，单位统一到表头
</t>
        </r>
        <r>
          <rPr>
            <sz val="9"/>
            <color indexed="81"/>
            <rFont val="宋体"/>
            <family val="3"/>
            <charset val="134"/>
          </rPr>
          <t>2、始终一个量程</t>
        </r>
      </text>
    </comment>
    <comment ref="AN17" authorId="0">
      <text>
        <r>
          <rPr>
            <b/>
            <sz val="9"/>
            <color indexed="81"/>
            <rFont val="宋体"/>
            <family val="3"/>
            <charset val="134"/>
          </rPr>
          <t>作者:</t>
        </r>
        <r>
          <rPr>
            <sz val="9"/>
            <color indexed="81"/>
            <rFont val="宋体"/>
            <family val="3"/>
            <charset val="134"/>
          </rPr>
          <t xml:space="preserve">
同量程</t>
        </r>
      </text>
    </comment>
    <comment ref="AR17" authorId="0">
      <text>
        <r>
          <rPr>
            <b/>
            <sz val="9"/>
            <color indexed="81"/>
            <rFont val="宋体"/>
            <family val="3"/>
            <charset val="134"/>
          </rPr>
          <t>作者:</t>
        </r>
        <r>
          <rPr>
            <sz val="9"/>
            <color indexed="81"/>
            <rFont val="宋体"/>
            <family val="3"/>
            <charset val="134"/>
          </rPr>
          <t xml:space="preserve">
显示值单位欧提到表头</t>
        </r>
      </text>
    </comment>
    <comment ref="AU17" authorId="1">
      <text>
        <r>
          <rPr>
            <b/>
            <sz val="9"/>
            <color indexed="81"/>
            <rFont val="宋体"/>
            <family val="3"/>
            <charset val="134"/>
          </rPr>
          <t>good:</t>
        </r>
        <r>
          <rPr>
            <sz val="9"/>
            <color indexed="81"/>
            <rFont val="宋体"/>
            <family val="3"/>
            <charset val="134"/>
          </rPr>
          <t xml:space="preserve">
相对误差：（显示值-标准值）/标准值
比准确度等级一位，参与误差计算的多两位
四舍六入，逢五奇进偶不进</t>
        </r>
      </text>
    </comment>
    <comment ref="A33" authorId="0">
      <text>
        <r>
          <rPr>
            <b/>
            <sz val="9"/>
            <color indexed="81"/>
            <rFont val="宋体"/>
            <family val="3"/>
            <charset val="134"/>
          </rPr>
          <t>作者:</t>
        </r>
        <r>
          <rPr>
            <sz val="9"/>
            <color indexed="81"/>
            <rFont val="宋体"/>
            <family val="3"/>
            <charset val="134"/>
          </rPr>
          <t xml:space="preserve">
单位欧，提到表头</t>
        </r>
      </text>
    </comment>
    <comment ref="D33" authorId="0">
      <text>
        <r>
          <rPr>
            <b/>
            <sz val="9"/>
            <color indexed="81"/>
            <rFont val="宋体"/>
            <family val="3"/>
            <charset val="134"/>
          </rPr>
          <t>作者:</t>
        </r>
        <r>
          <rPr>
            <sz val="9"/>
            <color indexed="81"/>
            <rFont val="宋体"/>
            <family val="3"/>
            <charset val="134"/>
          </rPr>
          <t xml:space="preserve">
手工输入</t>
        </r>
      </text>
    </comment>
    <comment ref="E33" authorId="0">
      <text>
        <r>
          <rPr>
            <b/>
            <sz val="9"/>
            <color indexed="81"/>
            <rFont val="宋体"/>
            <family val="3"/>
            <charset val="134"/>
          </rPr>
          <t>作者:
示值不带单位</t>
        </r>
      </text>
    </comment>
    <comment ref="L33" authorId="1">
      <text>
        <r>
          <rPr>
            <b/>
            <sz val="9"/>
            <color indexed="81"/>
            <rFont val="宋体"/>
            <family val="3"/>
            <charset val="134"/>
          </rPr>
          <t>good:</t>
        </r>
        <r>
          <rPr>
            <sz val="9"/>
            <color indexed="81"/>
            <rFont val="宋体"/>
            <family val="3"/>
            <charset val="134"/>
          </rPr>
          <t xml:space="preserve">
引用误差=（示值-实际值）/量程
示值：被试设备显示值
实际值为标准设备显示值
误差比准确度等级多1位，参与运算多2位，少了要提醒，多了不提醒。</t>
        </r>
      </text>
    </comment>
    <comment ref="R33" authorId="0">
      <text>
        <r>
          <rPr>
            <b/>
            <sz val="9"/>
            <color indexed="81"/>
            <rFont val="宋体"/>
            <family val="3"/>
            <charset val="134"/>
          </rPr>
          <t>作者:</t>
        </r>
        <r>
          <rPr>
            <sz val="9"/>
            <color indexed="81"/>
            <rFont val="宋体"/>
            <family val="3"/>
            <charset val="134"/>
          </rPr>
          <t xml:space="preserve">
取所有量程中绝对值的最大值，标注在其后。</t>
        </r>
      </text>
    </comment>
    <comment ref="A55" authorId="1">
      <text>
        <r>
          <rPr>
            <b/>
            <sz val="9"/>
            <color indexed="81"/>
            <rFont val="宋体"/>
            <family val="3"/>
            <charset val="134"/>
          </rPr>
          <t>good:</t>
        </r>
        <r>
          <rPr>
            <sz val="9"/>
            <color indexed="81"/>
            <rFont val="宋体"/>
            <family val="3"/>
            <charset val="134"/>
          </rPr>
          <t xml:space="preserve">
乘号自己选择</t>
        </r>
      </text>
    </comment>
    <comment ref="G55" authorId="1">
      <text>
        <r>
          <rPr>
            <b/>
            <sz val="9"/>
            <color indexed="81"/>
            <rFont val="宋体"/>
            <family val="3"/>
            <charset val="134"/>
          </rPr>
          <t>good:</t>
        </r>
        <r>
          <rPr>
            <sz val="9"/>
            <color indexed="81"/>
            <rFont val="宋体"/>
            <family val="3"/>
            <charset val="134"/>
          </rPr>
          <t xml:space="preserve">
引用误差（示值前-标准值前）/量程*100%。
备注：比准确度等级多1位，参与误差计算的比准确度等级多2位</t>
        </r>
      </text>
    </comment>
    <comment ref="V55" authorId="1">
      <text>
        <r>
          <rPr>
            <b/>
            <sz val="9"/>
            <color indexed="81"/>
            <rFont val="宋体"/>
            <family val="3"/>
            <charset val="134"/>
          </rPr>
          <t>good:</t>
        </r>
        <r>
          <rPr>
            <sz val="9"/>
            <color indexed="81"/>
            <rFont val="宋体"/>
            <family val="3"/>
            <charset val="134"/>
          </rPr>
          <t xml:space="preserve">
乘号自己选择</t>
        </r>
      </text>
    </comment>
    <comment ref="AB55" authorId="1">
      <text>
        <r>
          <rPr>
            <b/>
            <sz val="9"/>
            <color indexed="81"/>
            <rFont val="宋体"/>
            <family val="3"/>
            <charset val="134"/>
          </rPr>
          <t>good:</t>
        </r>
        <r>
          <rPr>
            <sz val="9"/>
            <color indexed="81"/>
            <rFont val="宋体"/>
            <family val="3"/>
            <charset val="134"/>
          </rPr>
          <t xml:space="preserve">
引用误差（示值前-标准值前）/量程*100%。
备注：比准确度等级多1位，参与误差计算的比准确度等级多2位</t>
        </r>
      </text>
    </comment>
    <comment ref="A64" authorId="1">
      <text>
        <r>
          <rPr>
            <b/>
            <sz val="9"/>
            <color indexed="81"/>
            <rFont val="宋体"/>
            <family val="3"/>
            <charset val="134"/>
          </rPr>
          <t>good:</t>
        </r>
        <r>
          <rPr>
            <sz val="9"/>
            <color indexed="81"/>
            <rFont val="宋体"/>
            <family val="3"/>
            <charset val="134"/>
          </rPr>
          <t xml:space="preserve">
自己输入，单量程</t>
        </r>
      </text>
    </comment>
    <comment ref="C64" authorId="1">
      <text>
        <r>
          <rPr>
            <b/>
            <sz val="9"/>
            <color indexed="81"/>
            <rFont val="宋体"/>
            <family val="3"/>
            <charset val="134"/>
          </rPr>
          <t>good:</t>
        </r>
        <r>
          <rPr>
            <sz val="9"/>
            <color indexed="81"/>
            <rFont val="宋体"/>
            <family val="3"/>
            <charset val="134"/>
          </rPr>
          <t xml:space="preserve">
辅助电阻值固定</t>
        </r>
      </text>
    </comment>
    <comment ref="E64" authorId="1">
      <text>
        <r>
          <rPr>
            <b/>
            <sz val="9"/>
            <color indexed="81"/>
            <rFont val="宋体"/>
            <family val="3"/>
            <charset val="134"/>
          </rPr>
          <t>good:</t>
        </r>
        <r>
          <rPr>
            <sz val="9"/>
            <color indexed="81"/>
            <rFont val="宋体"/>
            <family val="3"/>
            <charset val="134"/>
          </rPr>
          <t xml:space="preserve">
自己输入</t>
        </r>
      </text>
    </comment>
    <comment ref="K64" authorId="1">
      <text>
        <r>
          <rPr>
            <b/>
            <sz val="9"/>
            <color indexed="81"/>
            <rFont val="宋体"/>
            <family val="3"/>
            <charset val="134"/>
          </rPr>
          <t>good:</t>
        </r>
        <r>
          <rPr>
            <sz val="9"/>
            <color indexed="81"/>
            <rFont val="宋体"/>
            <family val="3"/>
            <charset val="134"/>
          </rPr>
          <t xml:space="preserve">
引用误差=(显示值-标准值)/量程*100%
备注：误差小数位数和参与运算的小数位数，分别比准确度等级多1位，2位。</t>
        </r>
      </text>
    </comment>
    <comment ref="L64" authorId="0">
      <text>
        <r>
          <rPr>
            <b/>
            <sz val="9"/>
            <color indexed="81"/>
            <rFont val="宋体"/>
            <family val="3"/>
            <charset val="134"/>
          </rPr>
          <t>作者:</t>
        </r>
        <r>
          <rPr>
            <sz val="9"/>
            <color indexed="81"/>
            <rFont val="宋体"/>
            <family val="3"/>
            <charset val="134"/>
          </rPr>
          <t xml:space="preserve">
手工输入
</t>
        </r>
      </text>
    </comment>
    <comment ref="P64" authorId="1">
      <text>
        <r>
          <rPr>
            <b/>
            <sz val="9"/>
            <color indexed="81"/>
            <rFont val="宋体"/>
            <family val="3"/>
            <charset val="134"/>
          </rPr>
          <t>good:</t>
        </r>
        <r>
          <rPr>
            <sz val="9"/>
            <color indexed="81"/>
            <rFont val="宋体"/>
            <family val="3"/>
            <charset val="134"/>
          </rPr>
          <t xml:space="preserve">
（显示值-500显示值）/量程
小数位数参考误差</t>
        </r>
      </text>
    </comment>
    <comment ref="T64" authorId="1">
      <text>
        <r>
          <rPr>
            <b/>
            <sz val="9"/>
            <color indexed="81"/>
            <rFont val="宋体"/>
            <family val="3"/>
            <charset val="134"/>
          </rPr>
          <t>good:</t>
        </r>
        <r>
          <rPr>
            <sz val="9"/>
            <color indexed="81"/>
            <rFont val="宋体"/>
            <family val="3"/>
            <charset val="134"/>
          </rPr>
          <t xml:space="preserve">
自己输入，单量程</t>
        </r>
      </text>
    </comment>
    <comment ref="V64" authorId="1">
      <text>
        <r>
          <rPr>
            <b/>
            <sz val="9"/>
            <color indexed="81"/>
            <rFont val="宋体"/>
            <family val="3"/>
            <charset val="134"/>
          </rPr>
          <t>good:</t>
        </r>
        <r>
          <rPr>
            <sz val="9"/>
            <color indexed="81"/>
            <rFont val="宋体"/>
            <family val="3"/>
            <charset val="134"/>
          </rPr>
          <t xml:space="preserve">
辅助电阻值固定</t>
        </r>
      </text>
    </comment>
    <comment ref="X64" authorId="1">
      <text>
        <r>
          <rPr>
            <b/>
            <sz val="9"/>
            <color indexed="81"/>
            <rFont val="宋体"/>
            <family val="3"/>
            <charset val="134"/>
          </rPr>
          <t>good:</t>
        </r>
        <r>
          <rPr>
            <sz val="9"/>
            <color indexed="81"/>
            <rFont val="宋体"/>
            <family val="3"/>
            <charset val="134"/>
          </rPr>
          <t xml:space="preserve">
自己输入</t>
        </r>
      </text>
    </comment>
    <comment ref="AD64" authorId="1">
      <text>
        <r>
          <rPr>
            <b/>
            <sz val="9"/>
            <color indexed="81"/>
            <rFont val="宋体"/>
            <family val="3"/>
            <charset val="134"/>
          </rPr>
          <t>good:</t>
        </r>
        <r>
          <rPr>
            <sz val="9"/>
            <color indexed="81"/>
            <rFont val="宋体"/>
            <family val="3"/>
            <charset val="134"/>
          </rPr>
          <t xml:space="preserve">
引用误差=(显示值-标准值)/量程*100%
备注：误差小数位数和参与运算的小数位数，分别比准确度等级多1位，2位。</t>
        </r>
      </text>
    </comment>
    <comment ref="AE64" authorId="0">
      <text>
        <r>
          <rPr>
            <b/>
            <sz val="9"/>
            <color indexed="81"/>
            <rFont val="宋体"/>
            <family val="3"/>
            <charset val="134"/>
          </rPr>
          <t>作者:</t>
        </r>
        <r>
          <rPr>
            <sz val="9"/>
            <color indexed="81"/>
            <rFont val="宋体"/>
            <family val="3"/>
            <charset val="134"/>
          </rPr>
          <t xml:space="preserve">
手工输入
</t>
        </r>
      </text>
    </comment>
    <comment ref="AI64" authorId="1">
      <text>
        <r>
          <rPr>
            <b/>
            <sz val="9"/>
            <color indexed="81"/>
            <rFont val="宋体"/>
            <family val="3"/>
            <charset val="134"/>
          </rPr>
          <t>good:</t>
        </r>
        <r>
          <rPr>
            <sz val="9"/>
            <color indexed="81"/>
            <rFont val="宋体"/>
            <family val="3"/>
            <charset val="134"/>
          </rPr>
          <t xml:space="preserve">
（显示值-500显示值）/量程
小数位数参考误差</t>
        </r>
      </text>
    </comment>
    <comment ref="A71" authorId="1">
      <text>
        <r>
          <rPr>
            <b/>
            <sz val="9"/>
            <color indexed="81"/>
            <rFont val="宋体"/>
            <family val="3"/>
            <charset val="134"/>
          </rPr>
          <t>good:</t>
        </r>
        <r>
          <rPr>
            <sz val="9"/>
            <color indexed="81"/>
            <rFont val="宋体"/>
            <family val="3"/>
            <charset val="134"/>
          </rPr>
          <t xml:space="preserve">
手动输入</t>
        </r>
      </text>
    </comment>
    <comment ref="D71" authorId="1">
      <text>
        <r>
          <rPr>
            <b/>
            <sz val="9"/>
            <color indexed="81"/>
            <rFont val="宋体"/>
            <family val="3"/>
            <charset val="134"/>
          </rPr>
          <t>good:</t>
        </r>
        <r>
          <rPr>
            <sz val="9"/>
            <color indexed="81"/>
            <rFont val="宋体"/>
            <family val="3"/>
            <charset val="134"/>
          </rPr>
          <t xml:space="preserve">
固定</t>
        </r>
      </text>
    </comment>
    <comment ref="G71" authorId="1">
      <text>
        <r>
          <rPr>
            <b/>
            <sz val="9"/>
            <color indexed="81"/>
            <rFont val="宋体"/>
            <family val="3"/>
            <charset val="134"/>
          </rPr>
          <t>good:</t>
        </r>
        <r>
          <rPr>
            <sz val="9"/>
            <color indexed="81"/>
            <rFont val="宋体"/>
            <family val="3"/>
            <charset val="134"/>
          </rPr>
          <t xml:space="preserve">
输入</t>
        </r>
      </text>
    </comment>
    <comment ref="L71" authorId="1">
      <text>
        <r>
          <rPr>
            <b/>
            <sz val="9"/>
            <color indexed="81"/>
            <rFont val="宋体"/>
            <family val="3"/>
            <charset val="134"/>
          </rPr>
          <t>good:</t>
        </r>
        <r>
          <rPr>
            <sz val="9"/>
            <color indexed="81"/>
            <rFont val="宋体"/>
            <family val="3"/>
            <charset val="134"/>
          </rPr>
          <t xml:space="preserve">
（示值-实际值）/量程</t>
        </r>
      </text>
    </comment>
    <comment ref="N71" authorId="0">
      <text>
        <r>
          <rPr>
            <b/>
            <sz val="9"/>
            <color indexed="81"/>
            <rFont val="宋体"/>
            <family val="3"/>
            <charset val="134"/>
          </rPr>
          <t>作者:</t>
        </r>
        <r>
          <rPr>
            <sz val="9"/>
            <color indexed="81"/>
            <rFont val="宋体"/>
            <family val="3"/>
            <charset val="134"/>
          </rPr>
          <t xml:space="preserve">
自己录入</t>
        </r>
      </text>
    </comment>
    <comment ref="R71" authorId="1">
      <text>
        <r>
          <rPr>
            <b/>
            <sz val="9"/>
            <color indexed="81"/>
            <rFont val="宋体"/>
            <family val="3"/>
            <charset val="134"/>
          </rPr>
          <t>good:</t>
        </r>
        <r>
          <rPr>
            <sz val="9"/>
            <color indexed="81"/>
            <rFont val="宋体"/>
            <family val="3"/>
            <charset val="134"/>
          </rPr>
          <t xml:space="preserve">
（实际值-500电阻实际值）/量程
小数位数参考误差</t>
        </r>
      </text>
    </comment>
    <comment ref="W71" authorId="1">
      <text>
        <r>
          <rPr>
            <b/>
            <sz val="9"/>
            <color indexed="81"/>
            <rFont val="宋体"/>
            <family val="3"/>
            <charset val="134"/>
          </rPr>
          <t>good:</t>
        </r>
        <r>
          <rPr>
            <sz val="9"/>
            <color indexed="81"/>
            <rFont val="宋体"/>
            <family val="3"/>
            <charset val="134"/>
          </rPr>
          <t xml:space="preserve">
手动输入</t>
        </r>
      </text>
    </comment>
    <comment ref="Z71" authorId="1">
      <text>
        <r>
          <rPr>
            <b/>
            <sz val="9"/>
            <color indexed="81"/>
            <rFont val="宋体"/>
            <family val="3"/>
            <charset val="134"/>
          </rPr>
          <t>good:</t>
        </r>
        <r>
          <rPr>
            <sz val="9"/>
            <color indexed="81"/>
            <rFont val="宋体"/>
            <family val="3"/>
            <charset val="134"/>
          </rPr>
          <t xml:space="preserve">
固定</t>
        </r>
      </text>
    </comment>
    <comment ref="AC71" authorId="1">
      <text>
        <r>
          <rPr>
            <b/>
            <sz val="9"/>
            <color indexed="81"/>
            <rFont val="宋体"/>
            <family val="3"/>
            <charset val="134"/>
          </rPr>
          <t>good:</t>
        </r>
        <r>
          <rPr>
            <sz val="9"/>
            <color indexed="81"/>
            <rFont val="宋体"/>
            <family val="3"/>
            <charset val="134"/>
          </rPr>
          <t xml:space="preserve">
输入</t>
        </r>
      </text>
    </comment>
    <comment ref="AH71" authorId="1">
      <text>
        <r>
          <rPr>
            <b/>
            <sz val="9"/>
            <color indexed="81"/>
            <rFont val="宋体"/>
            <family val="3"/>
            <charset val="134"/>
          </rPr>
          <t>good:</t>
        </r>
        <r>
          <rPr>
            <sz val="9"/>
            <color indexed="81"/>
            <rFont val="宋体"/>
            <family val="3"/>
            <charset val="134"/>
          </rPr>
          <t xml:space="preserve">
（示值-实际值）/量程</t>
        </r>
      </text>
    </comment>
    <comment ref="AJ71" authorId="0">
      <text>
        <r>
          <rPr>
            <b/>
            <sz val="9"/>
            <color indexed="81"/>
            <rFont val="宋体"/>
            <family val="3"/>
            <charset val="134"/>
          </rPr>
          <t>作者:</t>
        </r>
        <r>
          <rPr>
            <sz val="9"/>
            <color indexed="81"/>
            <rFont val="宋体"/>
            <family val="3"/>
            <charset val="134"/>
          </rPr>
          <t xml:space="preserve">
自己录入</t>
        </r>
      </text>
    </comment>
    <comment ref="AN71" authorId="1">
      <text>
        <r>
          <rPr>
            <b/>
            <sz val="9"/>
            <color indexed="81"/>
            <rFont val="宋体"/>
            <family val="3"/>
            <charset val="134"/>
          </rPr>
          <t>good:</t>
        </r>
        <r>
          <rPr>
            <sz val="9"/>
            <color indexed="81"/>
            <rFont val="宋体"/>
            <family val="3"/>
            <charset val="134"/>
          </rPr>
          <t xml:space="preserve">
（实际值-500电阻实际值）/量程
小数位数参考误差</t>
        </r>
      </text>
    </comment>
  </commentList>
</comments>
</file>

<file path=xl/comments12.xml><?xml version="1.0" encoding="utf-8"?>
<comments xmlns="http://schemas.openxmlformats.org/spreadsheetml/2006/main">
  <authors>
    <author>good</author>
  </authors>
  <commentList>
    <comment ref="C1" authorId="0">
      <text>
        <r>
          <rPr>
            <b/>
            <sz val="9"/>
            <color indexed="81"/>
            <rFont val="宋体"/>
            <family val="3"/>
            <charset val="134"/>
          </rPr>
          <t>good:</t>
        </r>
        <r>
          <rPr>
            <sz val="9"/>
            <color indexed="81"/>
            <rFont val="宋体"/>
            <family val="3"/>
            <charset val="134"/>
          </rPr>
          <t xml:space="preserve">
</t>
        </r>
        <r>
          <rPr>
            <sz val="9"/>
            <color indexed="10"/>
            <rFont val="宋体"/>
            <family val="3"/>
            <charset val="134"/>
          </rPr>
          <t>是否改成示值误差</t>
        </r>
      </text>
    </comment>
    <comment ref="B7" authorId="0">
      <text>
        <r>
          <rPr>
            <b/>
            <sz val="9"/>
            <color indexed="81"/>
            <rFont val="宋体"/>
            <family val="3"/>
            <charset val="134"/>
          </rPr>
          <t>good:
根据项目小数位数不同</t>
        </r>
      </text>
    </comment>
    <comment ref="G10" authorId="0">
      <text>
        <r>
          <rPr>
            <b/>
            <sz val="9"/>
            <color indexed="81"/>
            <rFont val="宋体"/>
            <family val="3"/>
            <charset val="134"/>
          </rPr>
          <t>good:</t>
        </r>
        <r>
          <rPr>
            <sz val="9"/>
            <color indexed="81"/>
            <rFont val="宋体"/>
            <family val="3"/>
            <charset val="134"/>
          </rPr>
          <t xml:space="preserve">
小数位数根据实际情况，不同</t>
        </r>
      </text>
    </comment>
    <comment ref="B14" authorId="0">
      <text>
        <r>
          <rPr>
            <b/>
            <sz val="9"/>
            <color indexed="81"/>
            <rFont val="宋体"/>
            <family val="3"/>
            <charset val="134"/>
          </rPr>
          <t>good:</t>
        </r>
        <r>
          <rPr>
            <sz val="9"/>
            <color indexed="81"/>
            <rFont val="宋体"/>
            <family val="3"/>
            <charset val="134"/>
          </rPr>
          <t xml:space="preserve">
根据项目小数位数不同</t>
        </r>
      </text>
    </comment>
    <comment ref="B16" authorId="0">
      <text>
        <r>
          <rPr>
            <b/>
            <sz val="9"/>
            <color indexed="81"/>
            <rFont val="宋体"/>
            <family val="3"/>
            <charset val="134"/>
          </rPr>
          <t>good:</t>
        </r>
        <r>
          <rPr>
            <sz val="9"/>
            <color indexed="81"/>
            <rFont val="宋体"/>
            <family val="3"/>
            <charset val="134"/>
          </rPr>
          <t xml:space="preserve">
根据项目小数位数不同</t>
        </r>
      </text>
    </comment>
    <comment ref="B18" authorId="0">
      <text>
        <r>
          <rPr>
            <b/>
            <sz val="9"/>
            <color indexed="81"/>
            <rFont val="宋体"/>
            <family val="3"/>
            <charset val="134"/>
          </rPr>
          <t>good:</t>
        </r>
        <r>
          <rPr>
            <sz val="9"/>
            <color indexed="81"/>
            <rFont val="宋体"/>
            <family val="3"/>
            <charset val="134"/>
          </rPr>
          <t xml:space="preserve">
根据项目小数位数不同</t>
        </r>
      </text>
    </comment>
    <comment ref="B24" authorId="0">
      <text>
        <r>
          <rPr>
            <b/>
            <sz val="9"/>
            <color indexed="81"/>
            <rFont val="宋体"/>
            <family val="3"/>
            <charset val="134"/>
          </rPr>
          <t>good:
根据项目小数位数不同</t>
        </r>
      </text>
    </comment>
    <comment ref="G27" authorId="0">
      <text>
        <r>
          <rPr>
            <b/>
            <sz val="9"/>
            <color indexed="81"/>
            <rFont val="宋体"/>
            <family val="3"/>
            <charset val="134"/>
          </rPr>
          <t>good:</t>
        </r>
        <r>
          <rPr>
            <sz val="9"/>
            <color indexed="81"/>
            <rFont val="宋体"/>
            <family val="3"/>
            <charset val="134"/>
          </rPr>
          <t xml:space="preserve">
小数位数根据实际情况，不同</t>
        </r>
      </text>
    </comment>
    <comment ref="B31" authorId="0">
      <text>
        <r>
          <rPr>
            <b/>
            <sz val="9"/>
            <color indexed="81"/>
            <rFont val="宋体"/>
            <family val="3"/>
            <charset val="134"/>
          </rPr>
          <t>good:</t>
        </r>
        <r>
          <rPr>
            <sz val="9"/>
            <color indexed="81"/>
            <rFont val="宋体"/>
            <family val="3"/>
            <charset val="134"/>
          </rPr>
          <t xml:space="preserve">
根据项目小数位数不同</t>
        </r>
      </text>
    </comment>
    <comment ref="B33" authorId="0">
      <text>
        <r>
          <rPr>
            <b/>
            <sz val="9"/>
            <color indexed="81"/>
            <rFont val="宋体"/>
            <family val="3"/>
            <charset val="134"/>
          </rPr>
          <t>good:</t>
        </r>
        <r>
          <rPr>
            <sz val="9"/>
            <color indexed="81"/>
            <rFont val="宋体"/>
            <family val="3"/>
            <charset val="134"/>
          </rPr>
          <t xml:space="preserve">
根据项目小数位数不同</t>
        </r>
      </text>
    </comment>
    <comment ref="B35" authorId="0">
      <text>
        <r>
          <rPr>
            <b/>
            <sz val="9"/>
            <color indexed="81"/>
            <rFont val="宋体"/>
            <family val="3"/>
            <charset val="134"/>
          </rPr>
          <t>good:</t>
        </r>
        <r>
          <rPr>
            <sz val="9"/>
            <color indexed="81"/>
            <rFont val="宋体"/>
            <family val="3"/>
            <charset val="134"/>
          </rPr>
          <t xml:space="preserve">
根据项目小数位数不同</t>
        </r>
      </text>
    </comment>
    <comment ref="B41" authorId="0">
      <text>
        <r>
          <rPr>
            <b/>
            <sz val="9"/>
            <color indexed="81"/>
            <rFont val="宋体"/>
            <family val="3"/>
            <charset val="134"/>
          </rPr>
          <t>good:
根据项目小数位数不同</t>
        </r>
      </text>
    </comment>
    <comment ref="G44" authorId="0">
      <text>
        <r>
          <rPr>
            <b/>
            <sz val="9"/>
            <color indexed="81"/>
            <rFont val="宋体"/>
            <family val="3"/>
            <charset val="134"/>
          </rPr>
          <t>good:</t>
        </r>
        <r>
          <rPr>
            <sz val="9"/>
            <color indexed="81"/>
            <rFont val="宋体"/>
            <family val="3"/>
            <charset val="134"/>
          </rPr>
          <t xml:space="preserve">
小数位数根据实际情况，不同</t>
        </r>
      </text>
    </comment>
    <comment ref="B48" authorId="0">
      <text>
        <r>
          <rPr>
            <b/>
            <sz val="9"/>
            <color indexed="81"/>
            <rFont val="宋体"/>
            <family val="3"/>
            <charset val="134"/>
          </rPr>
          <t>good:</t>
        </r>
        <r>
          <rPr>
            <sz val="9"/>
            <color indexed="81"/>
            <rFont val="宋体"/>
            <family val="3"/>
            <charset val="134"/>
          </rPr>
          <t xml:space="preserve">
根据项目小数位数不同</t>
        </r>
      </text>
    </comment>
    <comment ref="B50" authorId="0">
      <text>
        <r>
          <rPr>
            <b/>
            <sz val="9"/>
            <color indexed="81"/>
            <rFont val="宋体"/>
            <family val="3"/>
            <charset val="134"/>
          </rPr>
          <t>good:</t>
        </r>
        <r>
          <rPr>
            <sz val="9"/>
            <color indexed="81"/>
            <rFont val="宋体"/>
            <family val="3"/>
            <charset val="134"/>
          </rPr>
          <t xml:space="preserve">
根据项目小数位数不同</t>
        </r>
      </text>
    </comment>
    <comment ref="B52" authorId="0">
      <text>
        <r>
          <rPr>
            <b/>
            <sz val="9"/>
            <color indexed="81"/>
            <rFont val="宋体"/>
            <family val="3"/>
            <charset val="134"/>
          </rPr>
          <t>good:</t>
        </r>
        <r>
          <rPr>
            <sz val="9"/>
            <color indexed="81"/>
            <rFont val="宋体"/>
            <family val="3"/>
            <charset val="134"/>
          </rPr>
          <t xml:space="preserve">
根据项目小数位数不同</t>
        </r>
      </text>
    </comment>
    <comment ref="B58" authorId="0">
      <text>
        <r>
          <rPr>
            <b/>
            <sz val="9"/>
            <color indexed="81"/>
            <rFont val="宋体"/>
            <family val="3"/>
            <charset val="134"/>
          </rPr>
          <t>good:
根据项目小数位数不同</t>
        </r>
      </text>
    </comment>
    <comment ref="G61" authorId="0">
      <text>
        <r>
          <rPr>
            <b/>
            <sz val="9"/>
            <color indexed="81"/>
            <rFont val="宋体"/>
            <family val="3"/>
            <charset val="134"/>
          </rPr>
          <t>good:</t>
        </r>
        <r>
          <rPr>
            <sz val="9"/>
            <color indexed="81"/>
            <rFont val="宋体"/>
            <family val="3"/>
            <charset val="134"/>
          </rPr>
          <t xml:space="preserve">
小数位数根据实际情况，不同</t>
        </r>
      </text>
    </comment>
    <comment ref="B65" authorId="0">
      <text>
        <r>
          <rPr>
            <b/>
            <sz val="9"/>
            <color indexed="81"/>
            <rFont val="宋体"/>
            <family val="3"/>
            <charset val="134"/>
          </rPr>
          <t>good:</t>
        </r>
        <r>
          <rPr>
            <sz val="9"/>
            <color indexed="81"/>
            <rFont val="宋体"/>
            <family val="3"/>
            <charset val="134"/>
          </rPr>
          <t xml:space="preserve">
根据项目小数位数不同</t>
        </r>
      </text>
    </comment>
    <comment ref="B67" authorId="0">
      <text>
        <r>
          <rPr>
            <b/>
            <sz val="9"/>
            <color indexed="81"/>
            <rFont val="宋体"/>
            <family val="3"/>
            <charset val="134"/>
          </rPr>
          <t>good:</t>
        </r>
        <r>
          <rPr>
            <sz val="9"/>
            <color indexed="81"/>
            <rFont val="宋体"/>
            <family val="3"/>
            <charset val="134"/>
          </rPr>
          <t xml:space="preserve">
根据项目小数位数不同</t>
        </r>
      </text>
    </comment>
    <comment ref="B69" authorId="0">
      <text>
        <r>
          <rPr>
            <b/>
            <sz val="9"/>
            <color indexed="81"/>
            <rFont val="宋体"/>
            <family val="3"/>
            <charset val="134"/>
          </rPr>
          <t>good:</t>
        </r>
        <r>
          <rPr>
            <sz val="9"/>
            <color indexed="81"/>
            <rFont val="宋体"/>
            <family val="3"/>
            <charset val="134"/>
          </rPr>
          <t xml:space="preserve">
根据项目小数位数不同</t>
        </r>
      </text>
    </comment>
  </commentList>
</comments>
</file>

<file path=xl/comments13.xml><?xml version="1.0" encoding="utf-8"?>
<comments xmlns="http://schemas.openxmlformats.org/spreadsheetml/2006/main">
  <authors>
    <author>good</author>
  </authors>
  <commentList>
    <comment ref="A22" authorId="0">
      <text>
        <r>
          <rPr>
            <b/>
            <sz val="9"/>
            <color indexed="81"/>
            <rFont val="宋体"/>
            <family val="3"/>
            <charset val="134"/>
          </rPr>
          <t>good:</t>
        </r>
        <r>
          <rPr>
            <sz val="9"/>
            <color indexed="81"/>
            <rFont val="宋体"/>
            <family val="3"/>
            <charset val="134"/>
          </rPr>
          <t xml:space="preserve">
手工输入
单位选择</t>
        </r>
        <r>
          <rPr>
            <sz val="9"/>
            <color indexed="81"/>
            <rFont val="宋体"/>
            <family val="3"/>
            <charset val="134"/>
          </rPr>
          <t>V mV
自动增加行</t>
        </r>
      </text>
    </comment>
    <comment ref="C22" authorId="0">
      <text>
        <r>
          <rPr>
            <b/>
            <sz val="9"/>
            <color indexed="81"/>
            <rFont val="宋体"/>
            <family val="3"/>
            <charset val="134"/>
          </rPr>
          <t>good:</t>
        </r>
        <r>
          <rPr>
            <sz val="9"/>
            <color indexed="81"/>
            <rFont val="宋体"/>
            <family val="3"/>
            <charset val="134"/>
          </rPr>
          <t xml:space="preserve">
手工输入</t>
        </r>
      </text>
    </comment>
    <comment ref="E22" authorId="0">
      <text>
        <r>
          <rPr>
            <b/>
            <sz val="9"/>
            <color indexed="81"/>
            <rFont val="宋体"/>
            <family val="3"/>
            <charset val="134"/>
          </rPr>
          <t>good:</t>
        </r>
        <r>
          <rPr>
            <sz val="9"/>
            <color indexed="81"/>
            <rFont val="宋体"/>
            <family val="3"/>
            <charset val="134"/>
          </rPr>
          <t xml:space="preserve">
手工输入</t>
        </r>
      </text>
    </comment>
    <comment ref="G22" authorId="0">
      <text>
        <r>
          <rPr>
            <b/>
            <sz val="9"/>
            <color indexed="81"/>
            <rFont val="宋体"/>
            <family val="3"/>
            <charset val="134"/>
          </rPr>
          <t>good:</t>
        </r>
        <r>
          <rPr>
            <sz val="9"/>
            <color indexed="81"/>
            <rFont val="宋体"/>
            <family val="3"/>
            <charset val="134"/>
          </rPr>
          <t xml:space="preserve">
（输出示值-输出实际值）/输出实际值*100%
备注：小数位数，比被试设备准确度等级多1位。四舍六入，五奇进偶不进。</t>
        </r>
      </text>
    </comment>
    <comment ref="H22" authorId="0">
      <text>
        <r>
          <rPr>
            <b/>
            <sz val="9"/>
            <color indexed="81"/>
            <rFont val="宋体"/>
            <family val="3"/>
            <charset val="134"/>
          </rPr>
          <t>good:</t>
        </r>
        <r>
          <rPr>
            <sz val="9"/>
            <color indexed="81"/>
            <rFont val="宋体"/>
            <family val="3"/>
            <charset val="134"/>
          </rPr>
          <t xml:space="preserve">
算法参考源检定不确定度参考</t>
        </r>
        <r>
          <rPr>
            <sz val="9"/>
            <color indexed="81"/>
            <rFont val="宋体"/>
            <family val="3"/>
            <charset val="134"/>
          </rPr>
          <t>-8508A(</t>
        </r>
        <r>
          <rPr>
            <sz val="9"/>
            <color indexed="81"/>
            <rFont val="宋体"/>
            <family val="3"/>
            <charset val="134"/>
          </rPr>
          <t>新</t>
        </r>
        <r>
          <rPr>
            <sz val="9"/>
            <color indexed="81"/>
            <rFont val="宋体"/>
            <family val="3"/>
            <charset val="134"/>
          </rPr>
          <t xml:space="preserve">) </t>
        </r>
        <r>
          <rPr>
            <sz val="9"/>
            <color indexed="81"/>
            <rFont val="宋体"/>
            <family val="3"/>
            <charset val="134"/>
          </rPr>
          <t>计算的直流电压输出中公式。
备注：小数位数与输出实际值小数位数相同，单位相同。四舍五入</t>
        </r>
      </text>
    </comment>
    <comment ref="I22" authorId="0">
      <text>
        <r>
          <rPr>
            <b/>
            <sz val="9"/>
            <color indexed="81"/>
            <rFont val="宋体"/>
            <family val="3"/>
            <charset val="134"/>
          </rPr>
          <t>good:</t>
        </r>
        <r>
          <rPr>
            <sz val="9"/>
            <color indexed="81"/>
            <rFont val="宋体"/>
            <family val="3"/>
            <charset val="134"/>
          </rPr>
          <t xml:space="preserve">
根据输出示值取源检定不确定度参考-8508A(新) 计算中的DCV取值</t>
        </r>
      </text>
    </comment>
    <comment ref="K22" authorId="0">
      <text>
        <r>
          <rPr>
            <b/>
            <sz val="9"/>
            <color indexed="81"/>
            <rFont val="宋体"/>
            <family val="3"/>
            <charset val="134"/>
          </rPr>
          <t>good:</t>
        </r>
        <r>
          <rPr>
            <sz val="9"/>
            <color indexed="81"/>
            <rFont val="宋体"/>
            <family val="3"/>
            <charset val="134"/>
          </rPr>
          <t xml:space="preserve">
输出示值小数位数/2
0.0001/2 =0.00005</t>
        </r>
      </text>
    </comment>
    <comment ref="L22" authorId="0">
      <text>
        <r>
          <rPr>
            <b/>
            <sz val="9"/>
            <color indexed="81"/>
            <rFont val="宋体"/>
            <family val="3"/>
            <charset val="134"/>
          </rPr>
          <t>good:</t>
        </r>
        <r>
          <rPr>
            <sz val="9"/>
            <color indexed="81"/>
            <rFont val="宋体"/>
            <family val="3"/>
            <charset val="134"/>
          </rPr>
          <t xml:space="preserve">
参考DCV中量程。</t>
        </r>
      </text>
    </comment>
    <comment ref="O23" authorId="0">
      <text>
        <r>
          <rPr>
            <b/>
            <sz val="9"/>
            <color indexed="81"/>
            <rFont val="宋体"/>
            <family val="3"/>
            <charset val="134"/>
          </rPr>
          <t>good:</t>
        </r>
        <r>
          <rPr>
            <sz val="9"/>
            <color indexed="81"/>
            <rFont val="宋体"/>
            <family val="3"/>
            <charset val="134"/>
          </rPr>
          <t xml:space="preserve">
手工输入
单位选择</t>
        </r>
        <r>
          <rPr>
            <sz val="9"/>
            <color indexed="81"/>
            <rFont val="宋体"/>
            <family val="3"/>
            <charset val="134"/>
          </rPr>
          <t>V mV</t>
        </r>
      </text>
    </comment>
    <comment ref="Q23" authorId="0">
      <text>
        <r>
          <rPr>
            <b/>
            <sz val="9"/>
            <color indexed="81"/>
            <rFont val="宋体"/>
            <family val="3"/>
            <charset val="134"/>
          </rPr>
          <t>good:</t>
        </r>
        <r>
          <rPr>
            <sz val="9"/>
            <color indexed="81"/>
            <rFont val="宋体"/>
            <family val="3"/>
            <charset val="134"/>
          </rPr>
          <t xml:space="preserve">
手工输入</t>
        </r>
      </text>
    </comment>
    <comment ref="S23" authorId="0">
      <text>
        <r>
          <rPr>
            <b/>
            <sz val="9"/>
            <color indexed="81"/>
            <rFont val="宋体"/>
            <family val="3"/>
            <charset val="134"/>
          </rPr>
          <t>good:</t>
        </r>
        <r>
          <rPr>
            <sz val="9"/>
            <color indexed="81"/>
            <rFont val="宋体"/>
            <family val="3"/>
            <charset val="134"/>
          </rPr>
          <t xml:space="preserve">
手工输入</t>
        </r>
      </text>
    </comment>
    <comment ref="U23" authorId="0">
      <text>
        <r>
          <rPr>
            <b/>
            <sz val="9"/>
            <color indexed="81"/>
            <rFont val="宋体"/>
            <family val="3"/>
            <charset val="134"/>
          </rPr>
          <t>good:</t>
        </r>
        <r>
          <rPr>
            <sz val="9"/>
            <color indexed="81"/>
            <rFont val="宋体"/>
            <family val="3"/>
            <charset val="134"/>
          </rPr>
          <t xml:space="preserve">
（输出示值-输出实际值）/输出实际值*100%
备注：小数位数，比被试设备准确度等级多1位。四舍六入，五奇进偶不进。</t>
        </r>
      </text>
    </comment>
    <comment ref="V23" authorId="0">
      <text>
        <r>
          <rPr>
            <b/>
            <sz val="9"/>
            <color indexed="81"/>
            <rFont val="宋体"/>
            <family val="3"/>
            <charset val="134"/>
          </rPr>
          <t>good:</t>
        </r>
        <r>
          <rPr>
            <sz val="9"/>
            <color indexed="81"/>
            <rFont val="宋体"/>
            <family val="3"/>
            <charset val="134"/>
          </rPr>
          <t xml:space="preserve">
原始记录，证书有
算法参考源检定不确定度参考</t>
        </r>
        <r>
          <rPr>
            <sz val="9"/>
            <color indexed="81"/>
            <rFont val="宋体"/>
            <family val="3"/>
            <charset val="134"/>
          </rPr>
          <t>-8508A(</t>
        </r>
        <r>
          <rPr>
            <sz val="9"/>
            <color indexed="81"/>
            <rFont val="宋体"/>
            <family val="3"/>
            <charset val="134"/>
          </rPr>
          <t>新</t>
        </r>
        <r>
          <rPr>
            <sz val="9"/>
            <color indexed="81"/>
            <rFont val="宋体"/>
            <family val="3"/>
            <charset val="134"/>
          </rPr>
          <t xml:space="preserve">) </t>
        </r>
        <r>
          <rPr>
            <sz val="9"/>
            <color indexed="81"/>
            <rFont val="宋体"/>
            <family val="3"/>
            <charset val="134"/>
          </rPr>
          <t>计算的直流电压输出中公式。
备注：小数位数与输出实际值小数位数相同，单位相同。四舍五入</t>
        </r>
      </text>
    </comment>
    <comment ref="Y23" authorId="0">
      <text>
        <r>
          <rPr>
            <b/>
            <sz val="9"/>
            <color indexed="81"/>
            <rFont val="宋体"/>
            <family val="3"/>
            <charset val="134"/>
          </rPr>
          <t>good:</t>
        </r>
        <r>
          <rPr>
            <sz val="9"/>
            <color indexed="81"/>
            <rFont val="宋体"/>
            <family val="3"/>
            <charset val="134"/>
          </rPr>
          <t xml:space="preserve">
手工输入
单位选择</t>
        </r>
        <r>
          <rPr>
            <sz val="9"/>
            <color indexed="81"/>
            <rFont val="宋体"/>
            <family val="3"/>
            <charset val="134"/>
          </rPr>
          <t>V mV</t>
        </r>
      </text>
    </comment>
    <comment ref="AA23" authorId="0">
      <text>
        <r>
          <rPr>
            <b/>
            <sz val="9"/>
            <color indexed="81"/>
            <rFont val="宋体"/>
            <family val="3"/>
            <charset val="134"/>
          </rPr>
          <t>good:</t>
        </r>
        <r>
          <rPr>
            <sz val="9"/>
            <color indexed="81"/>
            <rFont val="宋体"/>
            <family val="3"/>
            <charset val="134"/>
          </rPr>
          <t xml:space="preserve">
手工输入</t>
        </r>
      </text>
    </comment>
    <comment ref="AC23" authorId="0">
      <text>
        <r>
          <rPr>
            <b/>
            <sz val="9"/>
            <color indexed="81"/>
            <rFont val="宋体"/>
            <family val="3"/>
            <charset val="134"/>
          </rPr>
          <t>good:</t>
        </r>
        <r>
          <rPr>
            <sz val="9"/>
            <color indexed="81"/>
            <rFont val="宋体"/>
            <family val="3"/>
            <charset val="134"/>
          </rPr>
          <t xml:space="preserve">
手工输入</t>
        </r>
      </text>
    </comment>
    <comment ref="AE23" authorId="0">
      <text>
        <r>
          <rPr>
            <b/>
            <sz val="9"/>
            <color indexed="81"/>
            <rFont val="宋体"/>
            <family val="3"/>
            <charset val="134"/>
          </rPr>
          <t>good:</t>
        </r>
        <r>
          <rPr>
            <sz val="9"/>
            <color indexed="81"/>
            <rFont val="宋体"/>
            <family val="3"/>
            <charset val="134"/>
          </rPr>
          <t xml:space="preserve">
（输出示值-输出实际值）/输出实际值*100%
备注：小数位数，比被试设备准确度等级多1位。四舍六入，五奇进偶不进。</t>
        </r>
      </text>
    </comment>
    <comment ref="D24" authorId="0">
      <text>
        <r>
          <rPr>
            <b/>
            <sz val="9"/>
            <color indexed="81"/>
            <rFont val="宋体"/>
            <family val="3"/>
            <charset val="134"/>
          </rPr>
          <t>good:</t>
        </r>
        <r>
          <rPr>
            <sz val="9"/>
            <color indexed="81"/>
            <rFont val="宋体"/>
            <family val="3"/>
            <charset val="134"/>
          </rPr>
          <t xml:space="preserve">
单位选择，同量程</t>
        </r>
      </text>
    </comment>
    <comment ref="R25" authorId="0">
      <text>
        <r>
          <rPr>
            <b/>
            <sz val="9"/>
            <color indexed="81"/>
            <rFont val="宋体"/>
            <family val="3"/>
            <charset val="134"/>
          </rPr>
          <t>good:</t>
        </r>
        <r>
          <rPr>
            <sz val="9"/>
            <color indexed="81"/>
            <rFont val="宋体"/>
            <family val="3"/>
            <charset val="134"/>
          </rPr>
          <t xml:space="preserve">
单位选择，同量程</t>
        </r>
      </text>
    </comment>
    <comment ref="AB25" authorId="0">
      <text>
        <r>
          <rPr>
            <b/>
            <sz val="9"/>
            <color indexed="81"/>
            <rFont val="宋体"/>
            <family val="3"/>
            <charset val="134"/>
          </rPr>
          <t>good:</t>
        </r>
        <r>
          <rPr>
            <sz val="9"/>
            <color indexed="81"/>
            <rFont val="宋体"/>
            <family val="3"/>
            <charset val="134"/>
          </rPr>
          <t xml:space="preserve">
单位选择，同量程</t>
        </r>
      </text>
    </comment>
  </commentList>
</comments>
</file>

<file path=xl/comments14.xml><?xml version="1.0" encoding="utf-8"?>
<comments xmlns="http://schemas.openxmlformats.org/spreadsheetml/2006/main">
  <authors>
    <author>good</author>
  </authors>
  <commentList>
    <comment ref="A23" authorId="0">
      <text>
        <r>
          <rPr>
            <b/>
            <sz val="9"/>
            <color indexed="81"/>
            <rFont val="宋体"/>
            <family val="3"/>
            <charset val="134"/>
          </rPr>
          <t>good:</t>
        </r>
        <r>
          <rPr>
            <sz val="9"/>
            <color indexed="81"/>
            <rFont val="宋体"/>
            <family val="3"/>
            <charset val="134"/>
          </rPr>
          <t xml:space="preserve">
原始记录、证书都需要
自动增加行</t>
        </r>
      </text>
    </comment>
    <comment ref="C23" authorId="0">
      <text>
        <r>
          <rPr>
            <b/>
            <sz val="9"/>
            <color indexed="81"/>
            <rFont val="宋体"/>
            <family val="3"/>
            <charset val="134"/>
          </rPr>
          <t>good:</t>
        </r>
        <r>
          <rPr>
            <sz val="9"/>
            <color indexed="81"/>
            <rFont val="宋体"/>
            <family val="3"/>
            <charset val="134"/>
          </rPr>
          <t xml:space="preserve">
原始记录需要
证书不需要</t>
        </r>
      </text>
    </comment>
    <comment ref="D23" authorId="0">
      <text>
        <r>
          <rPr>
            <b/>
            <sz val="9"/>
            <color indexed="81"/>
            <rFont val="宋体"/>
            <family val="3"/>
            <charset val="134"/>
          </rPr>
          <t>good:</t>
        </r>
        <r>
          <rPr>
            <sz val="9"/>
            <color indexed="81"/>
            <rFont val="宋体"/>
            <family val="3"/>
            <charset val="134"/>
          </rPr>
          <t xml:space="preserve">
都需要</t>
        </r>
      </text>
    </comment>
    <comment ref="F23" authorId="0">
      <text>
        <r>
          <rPr>
            <b/>
            <sz val="9"/>
            <color indexed="81"/>
            <rFont val="宋体"/>
            <family val="3"/>
            <charset val="134"/>
          </rPr>
          <t>good:</t>
        </r>
        <r>
          <rPr>
            <sz val="9"/>
            <color indexed="81"/>
            <rFont val="宋体"/>
            <family val="3"/>
            <charset val="134"/>
          </rPr>
          <t xml:space="preserve">
原始记录需要
证书不需要</t>
        </r>
      </text>
    </comment>
    <comment ref="H23" authorId="0">
      <text>
        <r>
          <rPr>
            <b/>
            <sz val="9"/>
            <color indexed="81"/>
            <rFont val="宋体"/>
            <family val="3"/>
            <charset val="134"/>
          </rPr>
          <t>good:</t>
        </r>
        <r>
          <rPr>
            <sz val="9"/>
            <color indexed="81"/>
            <rFont val="宋体"/>
            <family val="3"/>
            <charset val="134"/>
          </rPr>
          <t xml:space="preserve">
都需要
如果选用电阻阻值为/，那么读数值和输出实际值相等。
否则，数据实际值等于读数值除以选用电阻阻值。根据输出示值进行单位换算
输出实际值的单位与输出示值小数位数、单位保持一致</t>
        </r>
      </text>
    </comment>
    <comment ref="J23" authorId="0">
      <text>
        <r>
          <rPr>
            <b/>
            <sz val="9"/>
            <color indexed="81"/>
            <rFont val="宋体"/>
            <family val="3"/>
            <charset val="134"/>
          </rPr>
          <t>good:</t>
        </r>
        <r>
          <rPr>
            <sz val="9"/>
            <color indexed="81"/>
            <rFont val="宋体"/>
            <family val="3"/>
            <charset val="134"/>
          </rPr>
          <t xml:space="preserve">
（输出示值-输出实际值）/输出实际值*100%
与电压源检定同理。
</t>
        </r>
      </text>
    </comment>
    <comment ref="K23" authorId="0">
      <text>
        <r>
          <rPr>
            <b/>
            <sz val="9"/>
            <color indexed="81"/>
            <rFont val="宋体"/>
            <family val="3"/>
            <charset val="134"/>
          </rPr>
          <t>good:</t>
        </r>
        <r>
          <rPr>
            <sz val="9"/>
            <color indexed="81"/>
            <rFont val="宋体"/>
            <family val="3"/>
            <charset val="134"/>
          </rPr>
          <t xml:space="preserve">
是否有标准电阻指标，决定算法不同。具体参考源检定</t>
        </r>
        <r>
          <rPr>
            <sz val="9"/>
            <color indexed="81"/>
            <rFont val="宋体"/>
            <family val="3"/>
            <charset val="134"/>
          </rPr>
          <t>-直流电流输出。
没有标准电阻算法与直流电压源算法相同。
备注：小数位数、单位与输出实际值保持一致
四舍五入</t>
        </r>
      </text>
    </comment>
    <comment ref="L23" authorId="0">
      <text>
        <r>
          <rPr>
            <b/>
            <sz val="9"/>
            <color indexed="81"/>
            <rFont val="宋体"/>
            <family val="3"/>
            <charset val="134"/>
          </rPr>
          <t>good:</t>
        </r>
        <r>
          <rPr>
            <sz val="9"/>
            <color indexed="81"/>
            <rFont val="宋体"/>
            <family val="3"/>
            <charset val="134"/>
          </rPr>
          <t xml:space="preserve">
从数字表指标到最后，参与计算，参考读数值，区分电压还是电流，如果是电压那么，取DCV指标，如果是电流取DCI指标。</t>
        </r>
      </text>
    </comment>
    <comment ref="N23" authorId="0">
      <text>
        <r>
          <rPr>
            <b/>
            <sz val="9"/>
            <color indexed="81"/>
            <rFont val="宋体"/>
            <family val="3"/>
            <charset val="134"/>
          </rPr>
          <t>good:</t>
        </r>
        <r>
          <rPr>
            <sz val="9"/>
            <color indexed="81"/>
            <rFont val="宋体"/>
            <family val="3"/>
            <charset val="134"/>
          </rPr>
          <t xml:space="preserve">
如果选用电阻阻值为0.001，那么标准电阻指标为0.0001，其他默认为0.00001.如果选用电阻值为/，那么值为空。</t>
        </r>
      </text>
    </comment>
    <comment ref="O23" authorId="0">
      <text>
        <r>
          <rPr>
            <b/>
            <sz val="9"/>
            <color indexed="81"/>
            <rFont val="宋体"/>
            <family val="3"/>
            <charset val="134"/>
          </rPr>
          <t>good:</t>
        </r>
        <r>
          <rPr>
            <sz val="9"/>
            <color indexed="81"/>
            <rFont val="宋体"/>
            <family val="3"/>
            <charset val="134"/>
          </rPr>
          <t xml:space="preserve">
输出示值小数1/2
参考电压源检定。</t>
        </r>
      </text>
    </comment>
    <comment ref="P23" authorId="0">
      <text>
        <r>
          <rPr>
            <b/>
            <sz val="9"/>
            <color indexed="81"/>
            <rFont val="宋体"/>
            <family val="3"/>
            <charset val="134"/>
          </rPr>
          <t>good:</t>
        </r>
        <r>
          <rPr>
            <sz val="9"/>
            <color indexed="81"/>
            <rFont val="宋体"/>
            <family val="3"/>
            <charset val="134"/>
          </rPr>
          <t xml:space="preserve">
根据读数值取DCV或者DCI中的量程。</t>
        </r>
      </text>
    </comment>
    <comment ref="T23" authorId="0">
      <text>
        <r>
          <rPr>
            <b/>
            <sz val="9"/>
            <color indexed="81"/>
            <rFont val="宋体"/>
            <family val="3"/>
            <charset val="134"/>
          </rPr>
          <t>good:</t>
        </r>
        <r>
          <rPr>
            <sz val="9"/>
            <color indexed="81"/>
            <rFont val="宋体"/>
            <family val="3"/>
            <charset val="134"/>
          </rPr>
          <t xml:space="preserve">
原始记录、证书都需要</t>
        </r>
      </text>
    </comment>
    <comment ref="V23" authorId="0">
      <text>
        <r>
          <rPr>
            <b/>
            <sz val="9"/>
            <color indexed="81"/>
            <rFont val="宋体"/>
            <family val="3"/>
            <charset val="134"/>
          </rPr>
          <t>good:</t>
        </r>
        <r>
          <rPr>
            <sz val="9"/>
            <color indexed="81"/>
            <rFont val="宋体"/>
            <family val="3"/>
            <charset val="134"/>
          </rPr>
          <t xml:space="preserve">
都需要</t>
        </r>
      </text>
    </comment>
    <comment ref="X23" authorId="0">
      <text>
        <r>
          <rPr>
            <b/>
            <sz val="9"/>
            <color indexed="81"/>
            <rFont val="宋体"/>
            <family val="3"/>
            <charset val="134"/>
          </rPr>
          <t>good:</t>
        </r>
        <r>
          <rPr>
            <sz val="9"/>
            <color indexed="81"/>
            <rFont val="宋体"/>
            <family val="3"/>
            <charset val="134"/>
          </rPr>
          <t xml:space="preserve">
都需要
如果选用电阻阻值为/，那么读数值和输出实际值相等。
否则，数据实际值等于读数值除以选用电阻阻值。根据输出示值进行单位换算
输出实际值的单位与输出示值小数位数、单位保持一致</t>
        </r>
      </text>
    </comment>
    <comment ref="Z23" authorId="0">
      <text>
        <r>
          <rPr>
            <b/>
            <sz val="9"/>
            <color indexed="81"/>
            <rFont val="宋体"/>
            <family val="3"/>
            <charset val="134"/>
          </rPr>
          <t>good:</t>
        </r>
        <r>
          <rPr>
            <sz val="9"/>
            <color indexed="81"/>
            <rFont val="宋体"/>
            <family val="3"/>
            <charset val="134"/>
          </rPr>
          <t xml:space="preserve">
（输出示值-输出实际值）/输出实际值*100%
与电压源检定同理。
</t>
        </r>
      </text>
    </comment>
    <comment ref="AA23" authorId="0">
      <text>
        <r>
          <rPr>
            <b/>
            <sz val="9"/>
            <color indexed="81"/>
            <rFont val="宋体"/>
            <family val="3"/>
            <charset val="134"/>
          </rPr>
          <t>good:</t>
        </r>
        <r>
          <rPr>
            <sz val="9"/>
            <color indexed="81"/>
            <rFont val="宋体"/>
            <family val="3"/>
            <charset val="134"/>
          </rPr>
          <t xml:space="preserve">
是否有标准电阻指标，决定算法不同。具体参考源检定</t>
        </r>
        <r>
          <rPr>
            <sz val="9"/>
            <color indexed="81"/>
            <rFont val="宋体"/>
            <family val="3"/>
            <charset val="134"/>
          </rPr>
          <t>-直流电流输出。
没有标准电阻算法与直流电压源算法相同。
备注：小数位数、单位与输出实际值保持一致
四舍五入</t>
        </r>
      </text>
    </comment>
    <comment ref="AD23" authorId="0">
      <text>
        <r>
          <rPr>
            <b/>
            <sz val="9"/>
            <color indexed="81"/>
            <rFont val="宋体"/>
            <family val="3"/>
            <charset val="134"/>
          </rPr>
          <t>good:</t>
        </r>
        <r>
          <rPr>
            <sz val="9"/>
            <color indexed="81"/>
            <rFont val="宋体"/>
            <family val="3"/>
            <charset val="134"/>
          </rPr>
          <t xml:space="preserve">
原始记录、证书都需要</t>
        </r>
      </text>
    </comment>
    <comment ref="AF23" authorId="0">
      <text>
        <r>
          <rPr>
            <b/>
            <sz val="9"/>
            <color indexed="81"/>
            <rFont val="宋体"/>
            <family val="3"/>
            <charset val="134"/>
          </rPr>
          <t>good:</t>
        </r>
        <r>
          <rPr>
            <sz val="9"/>
            <color indexed="81"/>
            <rFont val="宋体"/>
            <family val="3"/>
            <charset val="134"/>
          </rPr>
          <t xml:space="preserve">
都需要</t>
        </r>
      </text>
    </comment>
    <comment ref="AH23" authorId="0">
      <text>
        <r>
          <rPr>
            <b/>
            <sz val="9"/>
            <color indexed="81"/>
            <rFont val="宋体"/>
            <family val="3"/>
            <charset val="134"/>
          </rPr>
          <t>good:</t>
        </r>
        <r>
          <rPr>
            <sz val="9"/>
            <color indexed="81"/>
            <rFont val="宋体"/>
            <family val="3"/>
            <charset val="134"/>
          </rPr>
          <t xml:space="preserve">
都需要
如果选用电阻阻值为/，那么读数值和输出实际值相等。
否则，数据实际值等于读数值除以选用电阻阻值。根据输出示值进行单位换算
输出实际值的单位与输出示值小数位数、单位保持一致</t>
        </r>
      </text>
    </comment>
    <comment ref="AJ23" authorId="0">
      <text>
        <r>
          <rPr>
            <b/>
            <sz val="9"/>
            <color indexed="81"/>
            <rFont val="宋体"/>
            <family val="3"/>
            <charset val="134"/>
          </rPr>
          <t>good:</t>
        </r>
        <r>
          <rPr>
            <sz val="9"/>
            <color indexed="81"/>
            <rFont val="宋体"/>
            <family val="3"/>
            <charset val="134"/>
          </rPr>
          <t xml:space="preserve">
（输出示值-输出实际值）/输出实际值*100%
与电压源检定同理。
</t>
        </r>
      </text>
    </comment>
    <comment ref="A55" authorId="0">
      <text>
        <r>
          <rPr>
            <b/>
            <sz val="9"/>
            <color indexed="81"/>
            <rFont val="宋体"/>
            <family val="3"/>
            <charset val="134"/>
          </rPr>
          <t>good:</t>
        </r>
        <r>
          <rPr>
            <sz val="9"/>
            <color indexed="81"/>
            <rFont val="宋体"/>
            <family val="3"/>
            <charset val="134"/>
          </rPr>
          <t xml:space="preserve">
输出参考8508A指标
以此类推</t>
        </r>
      </text>
    </comment>
    <comment ref="A56" authorId="0">
      <text>
        <r>
          <rPr>
            <b/>
            <sz val="9"/>
            <color indexed="81"/>
            <rFont val="宋体"/>
            <family val="3"/>
            <charset val="134"/>
          </rPr>
          <t>good:</t>
        </r>
        <r>
          <rPr>
            <sz val="9"/>
            <color indexed="81"/>
            <rFont val="宋体"/>
            <family val="3"/>
            <charset val="134"/>
          </rPr>
          <t xml:space="preserve">
原始记录、证书都需要</t>
        </r>
      </text>
    </comment>
    <comment ref="C56" authorId="0">
      <text>
        <r>
          <rPr>
            <b/>
            <sz val="9"/>
            <color indexed="81"/>
            <rFont val="宋体"/>
            <family val="3"/>
            <charset val="134"/>
          </rPr>
          <t>good:</t>
        </r>
        <r>
          <rPr>
            <sz val="9"/>
            <color indexed="81"/>
            <rFont val="宋体"/>
            <family val="3"/>
            <charset val="134"/>
          </rPr>
          <t xml:space="preserve">
原始记录需要
证书不需要</t>
        </r>
      </text>
    </comment>
    <comment ref="D56" authorId="0">
      <text>
        <r>
          <rPr>
            <b/>
            <sz val="9"/>
            <color indexed="81"/>
            <rFont val="宋体"/>
            <family val="3"/>
            <charset val="134"/>
          </rPr>
          <t>good:</t>
        </r>
        <r>
          <rPr>
            <sz val="9"/>
            <color indexed="81"/>
            <rFont val="宋体"/>
            <family val="3"/>
            <charset val="134"/>
          </rPr>
          <t xml:space="preserve">
都需要</t>
        </r>
      </text>
    </comment>
    <comment ref="F56" authorId="0">
      <text>
        <r>
          <rPr>
            <b/>
            <sz val="9"/>
            <color indexed="81"/>
            <rFont val="宋体"/>
            <family val="3"/>
            <charset val="134"/>
          </rPr>
          <t>good:</t>
        </r>
        <r>
          <rPr>
            <sz val="9"/>
            <color indexed="81"/>
            <rFont val="宋体"/>
            <family val="3"/>
            <charset val="134"/>
          </rPr>
          <t xml:space="preserve">
原始记录需要
证书不需要</t>
        </r>
      </text>
    </comment>
    <comment ref="H56" authorId="0">
      <text>
        <r>
          <rPr>
            <b/>
            <sz val="9"/>
            <color indexed="81"/>
            <rFont val="宋体"/>
            <family val="3"/>
            <charset val="134"/>
          </rPr>
          <t>good:</t>
        </r>
        <r>
          <rPr>
            <sz val="9"/>
            <color indexed="81"/>
            <rFont val="宋体"/>
            <family val="3"/>
            <charset val="134"/>
          </rPr>
          <t xml:space="preserve">
都需要
如果选用电阻阻值为/，那么读数值和数据实际值相等。
否则，数据实际值等于读数值除以选用电阻阻值
输出实际值的单位与输出示值单位一样</t>
        </r>
      </text>
    </comment>
    <comment ref="J56" authorId="0">
      <text>
        <r>
          <rPr>
            <b/>
            <sz val="9"/>
            <color indexed="81"/>
            <rFont val="宋体"/>
            <family val="3"/>
            <charset val="134"/>
          </rPr>
          <t>good:</t>
        </r>
        <r>
          <rPr>
            <sz val="9"/>
            <color indexed="81"/>
            <rFont val="宋体"/>
            <family val="3"/>
            <charset val="134"/>
          </rPr>
          <t xml:space="preserve">
证书需要
原始记录不需要</t>
        </r>
      </text>
    </comment>
    <comment ref="K56" authorId="0">
      <text>
        <r>
          <rPr>
            <b/>
            <sz val="9"/>
            <color indexed="81"/>
            <rFont val="宋体"/>
            <family val="3"/>
            <charset val="134"/>
          </rPr>
          <t>good:</t>
        </r>
        <r>
          <rPr>
            <sz val="9"/>
            <color indexed="81"/>
            <rFont val="宋体"/>
            <family val="3"/>
            <charset val="134"/>
          </rPr>
          <t xml:space="preserve">
从数字表指标到最后，参与计算，参考读数值，区分电压还是电流，测量结果不确定度</t>
        </r>
      </text>
    </comment>
  </commentList>
</comments>
</file>

<file path=xl/comments15.xml><?xml version="1.0" encoding="utf-8"?>
<comments xmlns="http://schemas.openxmlformats.org/spreadsheetml/2006/main">
  <authors>
    <author>stone</author>
    <author>good</author>
  </authors>
  <commentList>
    <comment ref="A11" authorId="0">
      <text>
        <r>
          <rPr>
            <b/>
            <sz val="9"/>
            <color indexed="81"/>
            <rFont val="宋体"/>
            <family val="3"/>
            <charset val="134"/>
          </rPr>
          <t>stone:</t>
        </r>
        <r>
          <rPr>
            <sz val="9"/>
            <color indexed="81"/>
            <rFont val="宋体"/>
            <family val="3"/>
            <charset val="134"/>
          </rPr>
          <t xml:space="preserve">
自动增加行的</t>
        </r>
      </text>
    </comment>
    <comment ref="E11" authorId="1">
      <text>
        <r>
          <rPr>
            <b/>
            <sz val="9"/>
            <color indexed="81"/>
            <rFont val="宋体"/>
            <family val="3"/>
            <charset val="134"/>
          </rPr>
          <t>good:</t>
        </r>
        <r>
          <rPr>
            <sz val="9"/>
            <color indexed="81"/>
            <rFont val="宋体"/>
            <family val="3"/>
            <charset val="134"/>
          </rPr>
          <t xml:space="preserve">
（显示值-标准值）/标准值*100%
备注:小数位数比准确度等级多1位，四舍六入，逢五奇进偶不进</t>
        </r>
      </text>
    </comment>
    <comment ref="F11" authorId="1">
      <text>
        <r>
          <rPr>
            <b/>
            <sz val="9"/>
            <color indexed="81"/>
            <rFont val="宋体"/>
            <family val="3"/>
            <charset val="134"/>
          </rPr>
          <t>good:</t>
        </r>
        <r>
          <rPr>
            <sz val="9"/>
            <color indexed="81"/>
            <rFont val="宋体"/>
            <family val="3"/>
            <charset val="134"/>
          </rPr>
          <t xml:space="preserve">
参考表检定</t>
        </r>
        <r>
          <rPr>
            <sz val="9"/>
            <color indexed="81"/>
            <rFont val="宋体"/>
            <family val="3"/>
            <charset val="134"/>
          </rPr>
          <t>-交流电压算法，其他表规程算法相同
小数位数、单位与标准值、显示值保持一致。</t>
        </r>
      </text>
    </comment>
    <comment ref="P11" authorId="1">
      <text>
        <r>
          <rPr>
            <b/>
            <sz val="9"/>
            <color indexed="81"/>
            <rFont val="宋体"/>
            <family val="3"/>
            <charset val="134"/>
          </rPr>
          <t>good:</t>
        </r>
        <r>
          <rPr>
            <sz val="9"/>
            <color indexed="81"/>
            <rFont val="宋体"/>
            <family val="3"/>
            <charset val="134"/>
          </rPr>
          <t xml:space="preserve">
（显示值-标准值）/标准值*100%
备注:小数位数比准确度等级多1位，四舍六入，逢五奇进偶不进</t>
        </r>
      </text>
    </comment>
    <comment ref="Q11" authorId="1">
      <text>
        <r>
          <rPr>
            <b/>
            <sz val="9"/>
            <color indexed="81"/>
            <rFont val="宋体"/>
            <family val="3"/>
            <charset val="134"/>
          </rPr>
          <t>good:</t>
        </r>
        <r>
          <rPr>
            <sz val="9"/>
            <color indexed="81"/>
            <rFont val="宋体"/>
            <family val="3"/>
            <charset val="134"/>
          </rPr>
          <t xml:space="preserve">
参考表检定</t>
        </r>
        <r>
          <rPr>
            <sz val="9"/>
            <color indexed="81"/>
            <rFont val="宋体"/>
            <family val="3"/>
            <charset val="134"/>
          </rPr>
          <t>-交流电压算法，其他表规程算法相同
小数位数、单位与标准值、显示值保持一致。</t>
        </r>
      </text>
    </comment>
    <comment ref="Y11" authorId="1">
      <text>
        <r>
          <rPr>
            <b/>
            <sz val="9"/>
            <color indexed="81"/>
            <rFont val="宋体"/>
            <family val="3"/>
            <charset val="134"/>
          </rPr>
          <t>good:</t>
        </r>
        <r>
          <rPr>
            <sz val="9"/>
            <color indexed="81"/>
            <rFont val="宋体"/>
            <family val="3"/>
            <charset val="134"/>
          </rPr>
          <t xml:space="preserve">
（显示值-标准值）/标准值*100%
备注:小数位数比准确度等级多1位，四舍六入，逢五奇进偶不进</t>
        </r>
      </text>
    </comment>
    <comment ref="H13" authorId="1">
      <text>
        <r>
          <rPr>
            <b/>
            <sz val="9"/>
            <color indexed="81"/>
            <rFont val="宋体"/>
            <family val="3"/>
            <charset val="134"/>
          </rPr>
          <t>good:</t>
        </r>
        <r>
          <rPr>
            <sz val="9"/>
            <color indexed="81"/>
            <rFont val="宋体"/>
            <family val="3"/>
            <charset val="134"/>
          </rPr>
          <t xml:space="preserve">
与标准值单位统一，如果不统一进行换算</t>
        </r>
      </text>
    </comment>
    <comment ref="B41" authorId="0">
      <text>
        <r>
          <rPr>
            <b/>
            <sz val="9"/>
            <color indexed="81"/>
            <rFont val="宋体"/>
            <family val="3"/>
            <charset val="134"/>
          </rPr>
          <t>stone:</t>
        </r>
        <r>
          <rPr>
            <sz val="9"/>
            <color indexed="81"/>
            <rFont val="宋体"/>
            <family val="3"/>
            <charset val="134"/>
          </rPr>
          <t xml:space="preserve">
50Hz为变量</t>
        </r>
      </text>
    </comment>
    <comment ref="A42" authorId="0">
      <text>
        <r>
          <rPr>
            <b/>
            <sz val="9"/>
            <color indexed="81"/>
            <rFont val="宋体"/>
            <family val="3"/>
            <charset val="134"/>
          </rPr>
          <t>stone:</t>
        </r>
        <r>
          <rPr>
            <sz val="9"/>
            <color indexed="81"/>
            <rFont val="宋体"/>
            <family val="3"/>
            <charset val="134"/>
          </rPr>
          <t xml:space="preserve">
自动增加行</t>
        </r>
      </text>
    </comment>
    <comment ref="C42" authorId="1">
      <text>
        <r>
          <rPr>
            <b/>
            <sz val="9"/>
            <color indexed="81"/>
            <rFont val="宋体"/>
            <family val="3"/>
            <charset val="134"/>
          </rPr>
          <t>good:</t>
        </r>
        <r>
          <rPr>
            <sz val="9"/>
            <color indexed="81"/>
            <rFont val="宋体"/>
            <family val="3"/>
            <charset val="134"/>
          </rPr>
          <t xml:space="preserve">
两相相位表，控制小数点后显示几位。</t>
        </r>
      </text>
    </comment>
    <comment ref="AB42" authorId="1">
      <text>
        <r>
          <rPr>
            <b/>
            <sz val="9"/>
            <color indexed="81"/>
            <rFont val="宋体"/>
            <family val="3"/>
            <charset val="134"/>
          </rPr>
          <t>good:</t>
        </r>
        <r>
          <rPr>
            <sz val="9"/>
            <color indexed="81"/>
            <rFont val="宋体"/>
            <family val="3"/>
            <charset val="134"/>
          </rPr>
          <t xml:space="preserve">
两相相位表，控制小数点后显示几位。</t>
        </r>
      </text>
    </comment>
    <comment ref="AS42" authorId="1">
      <text>
        <r>
          <rPr>
            <b/>
            <sz val="9"/>
            <color indexed="81"/>
            <rFont val="宋体"/>
            <family val="3"/>
            <charset val="134"/>
          </rPr>
          <t>good:</t>
        </r>
        <r>
          <rPr>
            <sz val="9"/>
            <color indexed="81"/>
            <rFont val="宋体"/>
            <family val="3"/>
            <charset val="134"/>
          </rPr>
          <t xml:space="preserve">
两相相位表，控制小数点后显示几位。</t>
        </r>
      </text>
    </comment>
    <comment ref="A74" authorId="0">
      <text>
        <r>
          <rPr>
            <b/>
            <sz val="9"/>
            <color indexed="81"/>
            <rFont val="宋体"/>
            <family val="3"/>
            <charset val="134"/>
          </rPr>
          <t>stone:</t>
        </r>
        <r>
          <rPr>
            <sz val="9"/>
            <color indexed="81"/>
            <rFont val="宋体"/>
            <family val="3"/>
            <charset val="134"/>
          </rPr>
          <t xml:space="preserve">
自动增加行</t>
        </r>
      </text>
    </comment>
  </commentList>
</comments>
</file>

<file path=xl/comments16.xml><?xml version="1.0" encoding="utf-8"?>
<comments xmlns="http://schemas.openxmlformats.org/spreadsheetml/2006/main">
  <authors>
    <author>good</author>
  </authors>
  <commentList>
    <comment ref="A4" authorId="0">
      <text>
        <r>
          <rPr>
            <b/>
            <sz val="9"/>
            <color indexed="81"/>
            <rFont val="宋体"/>
            <family val="3"/>
            <charset val="134"/>
          </rPr>
          <t>good:</t>
        </r>
        <r>
          <rPr>
            <sz val="9"/>
            <color indexed="81"/>
            <rFont val="宋体"/>
            <family val="3"/>
            <charset val="134"/>
          </rPr>
          <t xml:space="preserve">
交流电压测量-基本误差</t>
        </r>
      </text>
    </comment>
    <comment ref="E5" authorId="0">
      <text>
        <r>
          <rPr>
            <b/>
            <sz val="9"/>
            <color indexed="81"/>
            <rFont val="宋体"/>
            <family val="3"/>
            <charset val="134"/>
          </rPr>
          <t>good:</t>
        </r>
        <r>
          <rPr>
            <sz val="9"/>
            <color indexed="81"/>
            <rFont val="宋体"/>
            <family val="3"/>
            <charset val="134"/>
          </rPr>
          <t xml:space="preserve">
所有原始记录没有，证书有</t>
        </r>
      </text>
    </comment>
  </commentList>
</comments>
</file>

<file path=xl/comments17.xml><?xml version="1.0" encoding="utf-8"?>
<comments xmlns="http://schemas.openxmlformats.org/spreadsheetml/2006/main">
  <authors>
    <author>作者</author>
  </authors>
  <commentList>
    <comment ref="A6" authorId="0">
      <text>
        <r>
          <rPr>
            <b/>
            <sz val="9"/>
            <color indexed="81"/>
            <rFont val="宋体"/>
            <family val="3"/>
            <charset val="134"/>
          </rPr>
          <t>作者:</t>
        </r>
        <r>
          <rPr>
            <b/>
            <sz val="9"/>
            <color indexed="81"/>
            <rFont val="宋体"/>
            <family val="3"/>
            <charset val="134"/>
          </rPr>
          <t xml:space="preserve">
根据项目小数位数不同</t>
        </r>
      </text>
    </comment>
  </commentList>
</comments>
</file>

<file path=xl/comments18.xml><?xml version="1.0" encoding="utf-8"?>
<comments xmlns="http://schemas.openxmlformats.org/spreadsheetml/2006/main">
  <authors>
    <author>stone</author>
    <author>good</author>
  </authors>
  <commentList>
    <comment ref="A19" authorId="0">
      <text>
        <r>
          <rPr>
            <b/>
            <sz val="9"/>
            <color indexed="81"/>
            <rFont val="宋体"/>
            <family val="3"/>
            <charset val="134"/>
          </rPr>
          <t>stone:</t>
        </r>
        <r>
          <rPr>
            <sz val="9"/>
            <color indexed="81"/>
            <rFont val="宋体"/>
            <family val="3"/>
            <charset val="134"/>
          </rPr>
          <t xml:space="preserve">
自动增加行</t>
        </r>
      </text>
    </comment>
    <comment ref="H19" authorId="1">
      <text>
        <r>
          <rPr>
            <b/>
            <sz val="9"/>
            <color indexed="81"/>
            <rFont val="宋体"/>
            <family val="3"/>
            <charset val="134"/>
          </rPr>
          <t>good:</t>
        </r>
        <r>
          <rPr>
            <sz val="9"/>
            <color indexed="81"/>
            <rFont val="宋体"/>
            <family val="3"/>
            <charset val="134"/>
          </rPr>
          <t xml:space="preserve">
与直流电压源算法相同</t>
        </r>
      </text>
    </comment>
    <comment ref="I19" authorId="1">
      <text>
        <r>
          <rPr>
            <b/>
            <sz val="9"/>
            <color indexed="81"/>
            <rFont val="宋体"/>
            <family val="3"/>
            <charset val="134"/>
          </rPr>
          <t>good:</t>
        </r>
        <r>
          <rPr>
            <sz val="9"/>
            <color indexed="81"/>
            <rFont val="宋体"/>
            <family val="3"/>
            <charset val="134"/>
          </rPr>
          <t xml:space="preserve">
算法参考直流电压源</t>
        </r>
      </text>
    </comment>
    <comment ref="J19" authorId="1">
      <text>
        <r>
          <rPr>
            <b/>
            <sz val="9"/>
            <color indexed="81"/>
            <rFont val="宋体"/>
            <family val="3"/>
            <charset val="134"/>
          </rPr>
          <t>good:</t>
        </r>
        <r>
          <rPr>
            <sz val="9"/>
            <color indexed="81"/>
            <rFont val="宋体"/>
            <family val="3"/>
            <charset val="134"/>
          </rPr>
          <t xml:space="preserve">
从ACV，根据频率值和输出示值范围找指标</t>
        </r>
      </text>
    </comment>
    <comment ref="X19" authorId="1">
      <text>
        <r>
          <rPr>
            <b/>
            <sz val="9"/>
            <color indexed="81"/>
            <rFont val="宋体"/>
            <family val="3"/>
            <charset val="134"/>
          </rPr>
          <t>good:</t>
        </r>
        <r>
          <rPr>
            <sz val="9"/>
            <color indexed="81"/>
            <rFont val="宋体"/>
            <family val="3"/>
            <charset val="134"/>
          </rPr>
          <t xml:space="preserve">
与直流电压源算法相同</t>
        </r>
      </text>
    </comment>
    <comment ref="Y19" authorId="1">
      <text>
        <r>
          <rPr>
            <b/>
            <sz val="9"/>
            <color indexed="81"/>
            <rFont val="宋体"/>
            <family val="3"/>
            <charset val="134"/>
          </rPr>
          <t>good:</t>
        </r>
        <r>
          <rPr>
            <sz val="9"/>
            <color indexed="81"/>
            <rFont val="宋体"/>
            <family val="3"/>
            <charset val="134"/>
          </rPr>
          <t xml:space="preserve">
算法参考直流电压源</t>
        </r>
      </text>
    </comment>
    <comment ref="AJ19" authorId="1">
      <text>
        <r>
          <rPr>
            <b/>
            <sz val="9"/>
            <color indexed="81"/>
            <rFont val="宋体"/>
            <family val="3"/>
            <charset val="134"/>
          </rPr>
          <t>good:</t>
        </r>
        <r>
          <rPr>
            <sz val="9"/>
            <color indexed="81"/>
            <rFont val="宋体"/>
            <family val="3"/>
            <charset val="134"/>
          </rPr>
          <t xml:space="preserve">
与直流电压源算法相同</t>
        </r>
      </text>
    </comment>
  </commentList>
</comments>
</file>

<file path=xl/comments19.xml><?xml version="1.0" encoding="utf-8"?>
<comments xmlns="http://schemas.openxmlformats.org/spreadsheetml/2006/main">
  <authors>
    <author>stone</author>
    <author>good</author>
    <author>cb</author>
  </authors>
  <commentList>
    <comment ref="A22" authorId="0">
      <text>
        <r>
          <rPr>
            <b/>
            <sz val="9"/>
            <color indexed="81"/>
            <rFont val="宋体"/>
            <family val="3"/>
            <charset val="134"/>
          </rPr>
          <t>stone:</t>
        </r>
        <r>
          <rPr>
            <sz val="9"/>
            <color indexed="81"/>
            <rFont val="宋体"/>
            <family val="3"/>
            <charset val="134"/>
          </rPr>
          <t xml:space="preserve">
50Hz为变量</t>
        </r>
      </text>
    </comment>
    <comment ref="A23" authorId="1">
      <text>
        <r>
          <rPr>
            <b/>
            <sz val="9"/>
            <color indexed="81"/>
            <rFont val="宋体"/>
            <family val="3"/>
            <charset val="134"/>
          </rPr>
          <t>good:</t>
        </r>
        <r>
          <rPr>
            <sz val="9"/>
            <color indexed="81"/>
            <rFont val="宋体"/>
            <family val="3"/>
            <charset val="134"/>
          </rPr>
          <t xml:space="preserve">
原始记录证书都有
自动增加行</t>
        </r>
      </text>
    </comment>
    <comment ref="C23" authorId="1">
      <text>
        <r>
          <rPr>
            <b/>
            <sz val="9"/>
            <color indexed="81"/>
            <rFont val="宋体"/>
            <family val="3"/>
            <charset val="134"/>
          </rPr>
          <t>good:</t>
        </r>
        <r>
          <rPr>
            <sz val="9"/>
            <color indexed="81"/>
            <rFont val="宋体"/>
            <family val="3"/>
            <charset val="134"/>
          </rPr>
          <t xml:space="preserve">
原始记录和证书都不显示</t>
        </r>
      </text>
    </comment>
    <comment ref="D23" authorId="1">
      <text>
        <r>
          <rPr>
            <b/>
            <sz val="9"/>
            <color indexed="81"/>
            <rFont val="宋体"/>
            <family val="3"/>
            <charset val="134"/>
          </rPr>
          <t>good:</t>
        </r>
        <r>
          <rPr>
            <sz val="9"/>
            <color indexed="81"/>
            <rFont val="宋体"/>
            <family val="3"/>
            <charset val="134"/>
          </rPr>
          <t xml:space="preserve">
都有</t>
        </r>
      </text>
    </comment>
    <comment ref="G23" authorId="1">
      <text>
        <r>
          <rPr>
            <b/>
            <sz val="9"/>
            <color indexed="81"/>
            <rFont val="宋体"/>
            <family val="3"/>
            <charset val="134"/>
          </rPr>
          <t>good:</t>
        </r>
        <r>
          <rPr>
            <sz val="9"/>
            <color indexed="81"/>
            <rFont val="宋体"/>
            <family val="3"/>
            <charset val="134"/>
          </rPr>
          <t xml:space="preserve">
原始记录有，证书没有</t>
        </r>
      </text>
    </comment>
    <comment ref="I23" authorId="1">
      <text>
        <r>
          <rPr>
            <b/>
            <sz val="9"/>
            <color indexed="81"/>
            <rFont val="宋体"/>
            <family val="3"/>
            <charset val="134"/>
          </rPr>
          <t>good:</t>
        </r>
        <r>
          <rPr>
            <sz val="9"/>
            <color indexed="81"/>
            <rFont val="宋体"/>
            <family val="3"/>
            <charset val="134"/>
          </rPr>
          <t xml:space="preserve">
1、都有
2、如果是否使用变换器为是，那么输出实际值等于读数值除以1.5乘以量程值
如果否，输出实际值等于读数值</t>
        </r>
      </text>
    </comment>
    <comment ref="K23" authorId="1">
      <text>
        <r>
          <rPr>
            <b/>
            <sz val="9"/>
            <color indexed="81"/>
            <rFont val="宋体"/>
            <family val="3"/>
            <charset val="134"/>
          </rPr>
          <t>good:</t>
        </r>
        <r>
          <rPr>
            <sz val="9"/>
            <color indexed="81"/>
            <rFont val="宋体"/>
            <family val="3"/>
            <charset val="134"/>
          </rPr>
          <t xml:space="preserve">
和直流交流源算法相同</t>
        </r>
      </text>
    </comment>
    <comment ref="L23" authorId="1">
      <text>
        <r>
          <rPr>
            <b/>
            <sz val="9"/>
            <color indexed="81"/>
            <rFont val="宋体"/>
            <family val="3"/>
            <charset val="134"/>
          </rPr>
          <t>good:</t>
        </r>
        <r>
          <rPr>
            <sz val="9"/>
            <color indexed="81"/>
            <rFont val="宋体"/>
            <family val="3"/>
            <charset val="134"/>
          </rPr>
          <t xml:space="preserve">
参考直流电流输出，有无变换器指标，算法不同</t>
        </r>
      </text>
    </comment>
    <comment ref="M23" authorId="1">
      <text>
        <r>
          <rPr>
            <b/>
            <sz val="9"/>
            <color indexed="81"/>
            <rFont val="宋体"/>
            <family val="3"/>
            <charset val="134"/>
          </rPr>
          <t>good:</t>
        </r>
        <r>
          <rPr>
            <sz val="9"/>
            <color indexed="81"/>
            <rFont val="宋体"/>
            <family val="3"/>
            <charset val="134"/>
          </rPr>
          <t xml:space="preserve">
如果用变换器，根据频率参考参考ACV中量程2V，
如果不用变换器,根据频率值和输出示值参考ACI
</t>
        </r>
      </text>
    </comment>
    <comment ref="O23" authorId="1">
      <text>
        <r>
          <rPr>
            <b/>
            <sz val="9"/>
            <color indexed="81"/>
            <rFont val="宋体"/>
            <family val="3"/>
            <charset val="134"/>
          </rPr>
          <t>good:</t>
        </r>
        <r>
          <rPr>
            <sz val="9"/>
            <color indexed="81"/>
            <rFont val="宋体"/>
            <family val="3"/>
            <charset val="134"/>
          </rPr>
          <t xml:space="preserve">
变换器指标固定</t>
        </r>
      </text>
    </comment>
    <comment ref="U23" authorId="1">
      <text>
        <r>
          <rPr>
            <b/>
            <sz val="9"/>
            <color indexed="81"/>
            <rFont val="宋体"/>
            <family val="3"/>
            <charset val="134"/>
          </rPr>
          <t>good:</t>
        </r>
        <r>
          <rPr>
            <sz val="9"/>
            <color indexed="81"/>
            <rFont val="宋体"/>
            <family val="3"/>
            <charset val="134"/>
          </rPr>
          <t xml:space="preserve">
原始记录证书都有</t>
        </r>
      </text>
    </comment>
    <comment ref="W23" authorId="1">
      <text>
        <r>
          <rPr>
            <b/>
            <sz val="9"/>
            <color indexed="81"/>
            <rFont val="宋体"/>
            <family val="3"/>
            <charset val="134"/>
          </rPr>
          <t>good:</t>
        </r>
        <r>
          <rPr>
            <sz val="9"/>
            <color indexed="81"/>
            <rFont val="宋体"/>
            <family val="3"/>
            <charset val="134"/>
          </rPr>
          <t xml:space="preserve">
都有</t>
        </r>
      </text>
    </comment>
    <comment ref="Z23" authorId="1">
      <text>
        <r>
          <rPr>
            <b/>
            <sz val="9"/>
            <color indexed="81"/>
            <rFont val="宋体"/>
            <family val="3"/>
            <charset val="134"/>
          </rPr>
          <t>good:</t>
        </r>
        <r>
          <rPr>
            <sz val="9"/>
            <color indexed="81"/>
            <rFont val="宋体"/>
            <family val="3"/>
            <charset val="134"/>
          </rPr>
          <t xml:space="preserve">
1、都有
2、如果是否使用变换器为是，那么输出实际值等于读数值除以1.5乘以量程值
如果否，输出实际值等于读数值</t>
        </r>
      </text>
    </comment>
    <comment ref="AB23" authorId="1">
      <text>
        <r>
          <rPr>
            <b/>
            <sz val="9"/>
            <color indexed="81"/>
            <rFont val="宋体"/>
            <family val="3"/>
            <charset val="134"/>
          </rPr>
          <t>good:</t>
        </r>
        <r>
          <rPr>
            <sz val="9"/>
            <color indexed="81"/>
            <rFont val="宋体"/>
            <family val="3"/>
            <charset val="134"/>
          </rPr>
          <t xml:space="preserve">
和直流交流源算法相同</t>
        </r>
      </text>
    </comment>
    <comment ref="AC23" authorId="1">
      <text>
        <r>
          <rPr>
            <b/>
            <sz val="9"/>
            <color indexed="81"/>
            <rFont val="宋体"/>
            <family val="3"/>
            <charset val="134"/>
          </rPr>
          <t>good:</t>
        </r>
        <r>
          <rPr>
            <sz val="9"/>
            <color indexed="81"/>
            <rFont val="宋体"/>
            <family val="3"/>
            <charset val="134"/>
          </rPr>
          <t xml:space="preserve">
参考直流电流输出，有无变换器指标，算法不同</t>
        </r>
      </text>
    </comment>
    <comment ref="AG23" authorId="1">
      <text>
        <r>
          <rPr>
            <b/>
            <sz val="9"/>
            <color indexed="81"/>
            <rFont val="宋体"/>
            <family val="3"/>
            <charset val="134"/>
          </rPr>
          <t>good:</t>
        </r>
        <r>
          <rPr>
            <sz val="9"/>
            <color indexed="81"/>
            <rFont val="宋体"/>
            <family val="3"/>
            <charset val="134"/>
          </rPr>
          <t xml:space="preserve">
原始记录证书都有</t>
        </r>
      </text>
    </comment>
    <comment ref="AI23" authorId="1">
      <text>
        <r>
          <rPr>
            <b/>
            <sz val="9"/>
            <color indexed="81"/>
            <rFont val="宋体"/>
            <family val="3"/>
            <charset val="134"/>
          </rPr>
          <t>good:</t>
        </r>
        <r>
          <rPr>
            <sz val="9"/>
            <color indexed="81"/>
            <rFont val="宋体"/>
            <family val="3"/>
            <charset val="134"/>
          </rPr>
          <t xml:space="preserve">
都有</t>
        </r>
      </text>
    </comment>
    <comment ref="AL23" authorId="1">
      <text>
        <r>
          <rPr>
            <b/>
            <sz val="9"/>
            <color indexed="81"/>
            <rFont val="宋体"/>
            <family val="3"/>
            <charset val="134"/>
          </rPr>
          <t>good:</t>
        </r>
        <r>
          <rPr>
            <sz val="9"/>
            <color indexed="81"/>
            <rFont val="宋体"/>
            <family val="3"/>
            <charset val="134"/>
          </rPr>
          <t xml:space="preserve">
1、都有
2、如果是否使用变换器为是，那么输出实际值等于读数值除以1.5乘以量程值
如果否，输出实际值等于读数值</t>
        </r>
      </text>
    </comment>
    <comment ref="AN23" authorId="1">
      <text>
        <r>
          <rPr>
            <b/>
            <sz val="9"/>
            <color indexed="81"/>
            <rFont val="宋体"/>
            <family val="3"/>
            <charset val="134"/>
          </rPr>
          <t>good:</t>
        </r>
        <r>
          <rPr>
            <sz val="9"/>
            <color indexed="81"/>
            <rFont val="宋体"/>
            <family val="3"/>
            <charset val="134"/>
          </rPr>
          <t xml:space="preserve">
和直流交流源算法相同</t>
        </r>
      </text>
    </comment>
    <comment ref="G60" authorId="2">
      <text>
        <r>
          <rPr>
            <b/>
            <sz val="9"/>
            <color indexed="81"/>
            <rFont val="宋体"/>
            <family val="3"/>
            <charset val="134"/>
          </rPr>
          <t>删除不要</t>
        </r>
      </text>
    </comment>
  </commentList>
</comments>
</file>

<file path=xl/comments20.xml><?xml version="1.0" encoding="utf-8"?>
<comments xmlns="http://schemas.openxmlformats.org/spreadsheetml/2006/main">
  <authors>
    <author>作者</author>
  </authors>
  <commentList>
    <comment ref="A6" authorId="0">
      <text>
        <r>
          <rPr>
            <b/>
            <sz val="9"/>
            <color indexed="81"/>
            <rFont val="宋体"/>
            <family val="3"/>
            <charset val="134"/>
          </rPr>
          <t>作者:</t>
        </r>
        <r>
          <rPr>
            <b/>
            <sz val="9"/>
            <color indexed="81"/>
            <rFont val="宋体"/>
            <family val="3"/>
            <charset val="134"/>
          </rPr>
          <t xml:space="preserve">
根据项目小数位数不同</t>
        </r>
      </text>
    </comment>
    <comment ref="K11" authorId="0">
      <text>
        <r>
          <rPr>
            <b/>
            <sz val="9"/>
            <color indexed="81"/>
            <rFont val="宋体"/>
            <family val="3"/>
            <charset val="134"/>
          </rPr>
          <t>作者:</t>
        </r>
        <r>
          <rPr>
            <sz val="9"/>
            <color indexed="81"/>
            <rFont val="宋体"/>
            <family val="3"/>
            <charset val="134"/>
          </rPr>
          <t xml:space="preserve">
使用</t>
        </r>
        <r>
          <rPr>
            <sz val="9"/>
            <color indexed="81"/>
            <rFont val="Tahoma"/>
            <family val="2"/>
          </rPr>
          <t>RD-33
U1</t>
        </r>
        <r>
          <rPr>
            <sz val="9"/>
            <color indexed="81"/>
            <rFont val="宋体"/>
            <family val="3"/>
            <charset val="134"/>
          </rPr>
          <t>为</t>
        </r>
        <r>
          <rPr>
            <sz val="9"/>
            <color indexed="81"/>
            <rFont val="Tahoma"/>
            <family val="2"/>
          </rPr>
          <t>0.004%</t>
        </r>
        <r>
          <rPr>
            <sz val="9"/>
            <color indexed="81"/>
            <rFont val="宋体"/>
            <family val="3"/>
            <charset val="134"/>
          </rPr>
          <t>，</t>
        </r>
        <r>
          <rPr>
            <sz val="9"/>
            <color indexed="81"/>
            <rFont val="Tahoma"/>
            <family val="2"/>
          </rPr>
          <t>u2</t>
        </r>
        <r>
          <rPr>
            <sz val="9"/>
            <color indexed="81"/>
            <rFont val="宋体"/>
            <family val="3"/>
            <charset val="134"/>
          </rPr>
          <t>为</t>
        </r>
        <r>
          <rPr>
            <sz val="9"/>
            <color indexed="81"/>
            <rFont val="Tahoma"/>
            <family val="2"/>
          </rPr>
          <t xml:space="preserve">0.01%
</t>
        </r>
        <r>
          <rPr>
            <sz val="9"/>
            <color indexed="81"/>
            <rFont val="宋体"/>
            <family val="3"/>
            <charset val="134"/>
          </rPr>
          <t>使用</t>
        </r>
        <r>
          <rPr>
            <sz val="9"/>
            <color indexed="81"/>
            <rFont val="Tahoma"/>
            <family val="2"/>
          </rPr>
          <t>RD-31
u1</t>
        </r>
        <r>
          <rPr>
            <sz val="9"/>
            <color indexed="81"/>
            <rFont val="宋体"/>
            <family val="3"/>
            <charset val="134"/>
          </rPr>
          <t>为</t>
        </r>
        <r>
          <rPr>
            <sz val="9"/>
            <color indexed="81"/>
            <rFont val="Tahoma"/>
            <family val="2"/>
          </rPr>
          <t>0.004%</t>
        </r>
        <r>
          <rPr>
            <sz val="9"/>
            <color indexed="81"/>
            <rFont val="宋体"/>
            <family val="3"/>
            <charset val="134"/>
          </rPr>
          <t>，</t>
        </r>
        <r>
          <rPr>
            <sz val="9"/>
            <color indexed="81"/>
            <rFont val="Tahoma"/>
            <family val="2"/>
          </rPr>
          <t>u2</t>
        </r>
        <r>
          <rPr>
            <sz val="9"/>
            <color indexed="81"/>
            <rFont val="宋体"/>
            <family val="3"/>
            <charset val="134"/>
          </rPr>
          <t>为</t>
        </r>
        <r>
          <rPr>
            <sz val="9"/>
            <color indexed="81"/>
            <rFont val="Tahoma"/>
            <family val="2"/>
          </rPr>
          <t>0.02%</t>
        </r>
      </text>
    </comment>
  </commentList>
</comments>
</file>

<file path=xl/comments21.xml><?xml version="1.0" encoding="utf-8"?>
<comments xmlns="http://schemas.openxmlformats.org/spreadsheetml/2006/main">
  <authors>
    <author>good</author>
    <author>stone</author>
  </authors>
  <commentList>
    <comment ref="A17" authorId="0">
      <text>
        <r>
          <rPr>
            <b/>
            <sz val="9"/>
            <color indexed="81"/>
            <rFont val="宋体"/>
            <family val="3"/>
            <charset val="134"/>
          </rPr>
          <t>good:</t>
        </r>
        <r>
          <rPr>
            <sz val="9"/>
            <color indexed="81"/>
            <rFont val="宋体"/>
            <family val="3"/>
            <charset val="134"/>
          </rPr>
          <t xml:space="preserve">
直流电压规程-基本误差
测量参考5720以此类推</t>
        </r>
      </text>
    </comment>
    <comment ref="B18" authorId="0">
      <text>
        <r>
          <rPr>
            <b/>
            <sz val="9"/>
            <color indexed="81"/>
            <rFont val="宋体"/>
            <family val="3"/>
            <charset val="134"/>
          </rPr>
          <t>good:</t>
        </r>
        <r>
          <rPr>
            <sz val="9"/>
            <color indexed="81"/>
            <rFont val="宋体"/>
            <family val="3"/>
            <charset val="134"/>
          </rPr>
          <t xml:space="preserve">
手工输入</t>
        </r>
      </text>
    </comment>
    <comment ref="E18" authorId="0">
      <text>
        <r>
          <rPr>
            <b/>
            <sz val="9"/>
            <color indexed="81"/>
            <rFont val="宋体"/>
            <family val="3"/>
            <charset val="134"/>
          </rPr>
          <t>good:</t>
        </r>
        <r>
          <rPr>
            <sz val="9"/>
            <color indexed="81"/>
            <rFont val="宋体"/>
            <family val="3"/>
            <charset val="134"/>
          </rPr>
          <t xml:space="preserve">
相对误差</t>
        </r>
        <r>
          <rPr>
            <sz val="9"/>
            <color indexed="81"/>
            <rFont val="宋体"/>
            <family val="3"/>
            <charset val="134"/>
          </rPr>
          <t>=</t>
        </r>
        <r>
          <rPr>
            <sz val="9"/>
            <color indexed="81"/>
            <rFont val="宋体"/>
            <family val="3"/>
            <charset val="134"/>
          </rPr>
          <t>（显示值-标准值）/标准值*100%
根据设备的指标不同</t>
        </r>
        <r>
          <rPr>
            <sz val="9"/>
            <color indexed="81"/>
            <rFont val="宋体"/>
            <family val="3"/>
            <charset val="134"/>
          </rPr>
          <t xml:space="preserve"> </t>
        </r>
        <r>
          <rPr>
            <sz val="9"/>
            <color indexed="81"/>
            <rFont val="宋体"/>
            <family val="3"/>
            <charset val="134"/>
          </rPr>
          <t>，选择是相对误差还是绝对误差</t>
        </r>
      </text>
    </comment>
    <comment ref="G18" authorId="0">
      <text>
        <r>
          <rPr>
            <b/>
            <sz val="9"/>
            <color indexed="81"/>
            <rFont val="宋体"/>
            <family val="3"/>
            <charset val="134"/>
          </rPr>
          <t>good:</t>
        </r>
        <r>
          <rPr>
            <sz val="9"/>
            <color indexed="81"/>
            <rFont val="宋体"/>
            <family val="3"/>
            <charset val="134"/>
          </rPr>
          <t xml:space="preserve">
算法参考交流电压表中算法</t>
        </r>
      </text>
    </comment>
    <comment ref="I18" authorId="0">
      <text>
        <r>
          <rPr>
            <b/>
            <sz val="9"/>
            <color indexed="81"/>
            <rFont val="宋体"/>
            <family val="3"/>
            <charset val="134"/>
          </rPr>
          <t>good:</t>
        </r>
        <r>
          <rPr>
            <sz val="9"/>
            <color indexed="81"/>
            <rFont val="宋体"/>
            <family val="3"/>
            <charset val="134"/>
          </rPr>
          <t xml:space="preserve">
参考5720A表，根据标准值参考DCV</t>
        </r>
      </text>
    </comment>
    <comment ref="K18" authorId="0">
      <text>
        <r>
          <rPr>
            <b/>
            <sz val="9"/>
            <color indexed="81"/>
            <rFont val="宋体"/>
            <family val="3"/>
            <charset val="134"/>
          </rPr>
          <t>good:</t>
        </r>
        <r>
          <rPr>
            <sz val="9"/>
            <color indexed="81"/>
            <rFont val="宋体"/>
            <family val="3"/>
            <charset val="134"/>
          </rPr>
          <t xml:space="preserve">
显示值+，小数位数0.00001除以2等于0.000005，打印不显示</t>
        </r>
      </text>
    </comment>
    <comment ref="P18" authorId="0">
      <text>
        <r>
          <rPr>
            <b/>
            <sz val="9"/>
            <color indexed="81"/>
            <rFont val="宋体"/>
            <family val="3"/>
            <charset val="134"/>
          </rPr>
          <t>good:</t>
        </r>
        <r>
          <rPr>
            <sz val="9"/>
            <color indexed="81"/>
            <rFont val="宋体"/>
            <family val="3"/>
            <charset val="134"/>
          </rPr>
          <t xml:space="preserve">
手工输入</t>
        </r>
      </text>
    </comment>
    <comment ref="S18" authorId="0">
      <text>
        <r>
          <rPr>
            <b/>
            <sz val="9"/>
            <color indexed="81"/>
            <rFont val="宋体"/>
            <family val="3"/>
            <charset val="134"/>
          </rPr>
          <t>good:</t>
        </r>
        <r>
          <rPr>
            <sz val="9"/>
            <color indexed="81"/>
            <rFont val="宋体"/>
            <family val="3"/>
            <charset val="134"/>
          </rPr>
          <t xml:space="preserve">
（显示值-标准值）/标准值*100%</t>
        </r>
      </text>
    </comment>
    <comment ref="U18" authorId="0">
      <text>
        <r>
          <rPr>
            <b/>
            <sz val="9"/>
            <color indexed="81"/>
            <rFont val="宋体"/>
            <family val="3"/>
            <charset val="134"/>
          </rPr>
          <t>good:</t>
        </r>
        <r>
          <rPr>
            <sz val="9"/>
            <color indexed="81"/>
            <rFont val="宋体"/>
            <family val="3"/>
            <charset val="134"/>
          </rPr>
          <t xml:space="preserve">
算法参考交流电压表中算法</t>
        </r>
      </text>
    </comment>
    <comment ref="Y18" authorId="0">
      <text>
        <r>
          <rPr>
            <b/>
            <sz val="9"/>
            <color indexed="81"/>
            <rFont val="宋体"/>
            <family val="3"/>
            <charset val="134"/>
          </rPr>
          <t>good:</t>
        </r>
        <r>
          <rPr>
            <sz val="9"/>
            <color indexed="81"/>
            <rFont val="宋体"/>
            <family val="3"/>
            <charset val="134"/>
          </rPr>
          <t xml:space="preserve">
手工输入</t>
        </r>
      </text>
    </comment>
    <comment ref="AB18" authorId="0">
      <text>
        <r>
          <rPr>
            <b/>
            <sz val="9"/>
            <color indexed="81"/>
            <rFont val="宋体"/>
            <family val="3"/>
            <charset val="134"/>
          </rPr>
          <t>good:</t>
        </r>
        <r>
          <rPr>
            <sz val="9"/>
            <color indexed="81"/>
            <rFont val="宋体"/>
            <family val="3"/>
            <charset val="134"/>
          </rPr>
          <t xml:space="preserve">
（显示值-标准值）/标准值*100%</t>
        </r>
      </text>
    </comment>
    <comment ref="D20" authorId="0">
      <text>
        <r>
          <rPr>
            <b/>
            <sz val="9"/>
            <color indexed="81"/>
            <rFont val="宋体"/>
            <family val="3"/>
            <charset val="134"/>
          </rPr>
          <t>good:</t>
        </r>
        <r>
          <rPr>
            <sz val="9"/>
            <color indexed="81"/>
            <rFont val="宋体"/>
            <family val="3"/>
            <charset val="134"/>
          </rPr>
          <t xml:space="preserve">
手工输入</t>
        </r>
      </text>
    </comment>
    <comment ref="J20" authorId="0">
      <text>
        <r>
          <rPr>
            <b/>
            <sz val="9"/>
            <color indexed="81"/>
            <rFont val="宋体"/>
            <family val="3"/>
            <charset val="134"/>
          </rPr>
          <t>good:</t>
        </r>
        <r>
          <rPr>
            <sz val="9"/>
            <color indexed="81"/>
            <rFont val="宋体"/>
            <family val="3"/>
            <charset val="134"/>
          </rPr>
          <t xml:space="preserve">
单位与标准值保持一致，如果不同进行算法变换</t>
        </r>
      </text>
    </comment>
    <comment ref="R20" authorId="0">
      <text>
        <r>
          <rPr>
            <b/>
            <sz val="9"/>
            <color indexed="81"/>
            <rFont val="宋体"/>
            <family val="3"/>
            <charset val="134"/>
          </rPr>
          <t>good:</t>
        </r>
        <r>
          <rPr>
            <sz val="9"/>
            <color indexed="81"/>
            <rFont val="宋体"/>
            <family val="3"/>
            <charset val="134"/>
          </rPr>
          <t xml:space="preserve">
手工输入</t>
        </r>
      </text>
    </comment>
    <comment ref="AA20" authorId="0">
      <text>
        <r>
          <rPr>
            <b/>
            <sz val="9"/>
            <color indexed="81"/>
            <rFont val="宋体"/>
            <family val="3"/>
            <charset val="134"/>
          </rPr>
          <t>good:</t>
        </r>
        <r>
          <rPr>
            <sz val="9"/>
            <color indexed="81"/>
            <rFont val="宋体"/>
            <family val="3"/>
            <charset val="134"/>
          </rPr>
          <t xml:space="preserve">
手工输入</t>
        </r>
      </text>
    </comment>
    <comment ref="B44" authorId="0">
      <text>
        <r>
          <rPr>
            <b/>
            <sz val="9"/>
            <color indexed="81"/>
            <rFont val="宋体"/>
            <family val="3"/>
            <charset val="134"/>
          </rPr>
          <t>good:</t>
        </r>
        <r>
          <rPr>
            <sz val="9"/>
            <color indexed="81"/>
            <rFont val="宋体"/>
            <family val="3"/>
            <charset val="134"/>
          </rPr>
          <t xml:space="preserve">
手工输入</t>
        </r>
      </text>
    </comment>
    <comment ref="C44" authorId="0">
      <text>
        <r>
          <rPr>
            <b/>
            <sz val="9"/>
            <color indexed="81"/>
            <rFont val="宋体"/>
            <family val="3"/>
            <charset val="134"/>
          </rPr>
          <t>good:</t>
        </r>
        <r>
          <rPr>
            <sz val="9"/>
            <color indexed="81"/>
            <rFont val="宋体"/>
            <family val="3"/>
            <charset val="134"/>
          </rPr>
          <t xml:space="preserve">
CH0 - CH16</t>
        </r>
      </text>
    </comment>
    <comment ref="E44" authorId="0">
      <text>
        <r>
          <rPr>
            <b/>
            <sz val="9"/>
            <color indexed="81"/>
            <rFont val="宋体"/>
            <family val="3"/>
            <charset val="134"/>
          </rPr>
          <t>good:</t>
        </r>
        <r>
          <rPr>
            <sz val="9"/>
            <color indexed="81"/>
            <rFont val="宋体"/>
            <family val="3"/>
            <charset val="134"/>
          </rPr>
          <t xml:space="preserve">
（显示值-标准值）/标准值*100%</t>
        </r>
      </text>
    </comment>
    <comment ref="G44" authorId="0">
      <text>
        <r>
          <rPr>
            <b/>
            <sz val="9"/>
            <color indexed="81"/>
            <rFont val="宋体"/>
            <family val="3"/>
            <charset val="134"/>
          </rPr>
          <t>good:</t>
        </r>
        <r>
          <rPr>
            <sz val="9"/>
            <color indexed="81"/>
            <rFont val="宋体"/>
            <family val="3"/>
            <charset val="134"/>
          </rPr>
          <t xml:space="preserve">
算法参考交流电压表中算法</t>
        </r>
      </text>
    </comment>
    <comment ref="I44" authorId="0">
      <text>
        <r>
          <rPr>
            <b/>
            <sz val="9"/>
            <color indexed="81"/>
            <rFont val="宋体"/>
            <family val="3"/>
            <charset val="134"/>
          </rPr>
          <t>good:</t>
        </r>
        <r>
          <rPr>
            <sz val="9"/>
            <color indexed="81"/>
            <rFont val="宋体"/>
            <family val="3"/>
            <charset val="134"/>
          </rPr>
          <t xml:space="preserve">
参考5720A表，根据标准值参考DCV</t>
        </r>
      </text>
    </comment>
    <comment ref="K44" authorId="0">
      <text>
        <r>
          <rPr>
            <b/>
            <sz val="9"/>
            <color indexed="81"/>
            <rFont val="宋体"/>
            <family val="3"/>
            <charset val="134"/>
          </rPr>
          <t>good:</t>
        </r>
        <r>
          <rPr>
            <sz val="9"/>
            <color indexed="81"/>
            <rFont val="宋体"/>
            <family val="3"/>
            <charset val="134"/>
          </rPr>
          <t xml:space="preserve">
显示值+，小数位数0.00001除以2等于0.000005，打印不显示</t>
        </r>
      </text>
    </comment>
    <comment ref="P44" authorId="0">
      <text>
        <r>
          <rPr>
            <b/>
            <sz val="9"/>
            <color indexed="81"/>
            <rFont val="宋体"/>
            <family val="3"/>
            <charset val="134"/>
          </rPr>
          <t>good:</t>
        </r>
        <r>
          <rPr>
            <sz val="9"/>
            <color indexed="81"/>
            <rFont val="宋体"/>
            <family val="3"/>
            <charset val="134"/>
          </rPr>
          <t xml:space="preserve">
手工输入</t>
        </r>
      </text>
    </comment>
    <comment ref="Q44" authorId="0">
      <text>
        <r>
          <rPr>
            <b/>
            <sz val="9"/>
            <color indexed="81"/>
            <rFont val="宋体"/>
            <family val="3"/>
            <charset val="134"/>
          </rPr>
          <t>good:</t>
        </r>
        <r>
          <rPr>
            <sz val="9"/>
            <color indexed="81"/>
            <rFont val="宋体"/>
            <family val="3"/>
            <charset val="134"/>
          </rPr>
          <t xml:space="preserve">
CH0 - CH16</t>
        </r>
      </text>
    </comment>
    <comment ref="S44" authorId="0">
      <text>
        <r>
          <rPr>
            <b/>
            <sz val="9"/>
            <color indexed="81"/>
            <rFont val="宋体"/>
            <family val="3"/>
            <charset val="134"/>
          </rPr>
          <t>good:</t>
        </r>
        <r>
          <rPr>
            <sz val="9"/>
            <color indexed="81"/>
            <rFont val="宋体"/>
            <family val="3"/>
            <charset val="134"/>
          </rPr>
          <t xml:space="preserve">
（显示值-标准值）/标准值*100%</t>
        </r>
      </text>
    </comment>
    <comment ref="U44" authorId="0">
      <text>
        <r>
          <rPr>
            <b/>
            <sz val="9"/>
            <color indexed="81"/>
            <rFont val="宋体"/>
            <family val="3"/>
            <charset val="134"/>
          </rPr>
          <t>good:</t>
        </r>
        <r>
          <rPr>
            <sz val="9"/>
            <color indexed="81"/>
            <rFont val="宋体"/>
            <family val="3"/>
            <charset val="134"/>
          </rPr>
          <t xml:space="preserve">
算法参考交流电压表中算法</t>
        </r>
      </text>
    </comment>
    <comment ref="Y44" authorId="0">
      <text>
        <r>
          <rPr>
            <b/>
            <sz val="9"/>
            <color indexed="81"/>
            <rFont val="宋体"/>
            <family val="3"/>
            <charset val="134"/>
          </rPr>
          <t>good:</t>
        </r>
        <r>
          <rPr>
            <sz val="9"/>
            <color indexed="81"/>
            <rFont val="宋体"/>
            <family val="3"/>
            <charset val="134"/>
          </rPr>
          <t xml:space="preserve">
手工输入</t>
        </r>
      </text>
    </comment>
    <comment ref="Z44" authorId="0">
      <text>
        <r>
          <rPr>
            <b/>
            <sz val="9"/>
            <color indexed="81"/>
            <rFont val="宋体"/>
            <family val="3"/>
            <charset val="134"/>
          </rPr>
          <t>good:</t>
        </r>
        <r>
          <rPr>
            <sz val="9"/>
            <color indexed="81"/>
            <rFont val="宋体"/>
            <family val="3"/>
            <charset val="134"/>
          </rPr>
          <t xml:space="preserve">
CH0 - CH16</t>
        </r>
      </text>
    </comment>
    <comment ref="AB44" authorId="0">
      <text>
        <r>
          <rPr>
            <b/>
            <sz val="9"/>
            <color indexed="81"/>
            <rFont val="宋体"/>
            <family val="3"/>
            <charset val="134"/>
          </rPr>
          <t>good:</t>
        </r>
        <r>
          <rPr>
            <sz val="9"/>
            <color indexed="81"/>
            <rFont val="宋体"/>
            <family val="3"/>
            <charset val="134"/>
          </rPr>
          <t xml:space="preserve">
（显示值-标准值）/标准值*100%</t>
        </r>
      </text>
    </comment>
    <comment ref="D46" authorId="0">
      <text>
        <r>
          <rPr>
            <b/>
            <sz val="9"/>
            <color indexed="81"/>
            <rFont val="宋体"/>
            <family val="3"/>
            <charset val="134"/>
          </rPr>
          <t>good:</t>
        </r>
        <r>
          <rPr>
            <sz val="9"/>
            <color indexed="81"/>
            <rFont val="宋体"/>
            <family val="3"/>
            <charset val="134"/>
          </rPr>
          <t xml:space="preserve">
手工输入</t>
        </r>
      </text>
    </comment>
    <comment ref="J46" authorId="0">
      <text>
        <r>
          <rPr>
            <b/>
            <sz val="9"/>
            <color indexed="81"/>
            <rFont val="宋体"/>
            <family val="3"/>
            <charset val="134"/>
          </rPr>
          <t>good:</t>
        </r>
        <r>
          <rPr>
            <sz val="9"/>
            <color indexed="81"/>
            <rFont val="宋体"/>
            <family val="3"/>
            <charset val="134"/>
          </rPr>
          <t xml:space="preserve">
单位与标准值保持一致，如果不同进行算法变换</t>
        </r>
      </text>
    </comment>
    <comment ref="R46" authorId="0">
      <text>
        <r>
          <rPr>
            <b/>
            <sz val="9"/>
            <color indexed="81"/>
            <rFont val="宋体"/>
            <family val="3"/>
            <charset val="134"/>
          </rPr>
          <t>good:</t>
        </r>
        <r>
          <rPr>
            <sz val="9"/>
            <color indexed="81"/>
            <rFont val="宋体"/>
            <family val="3"/>
            <charset val="134"/>
          </rPr>
          <t xml:space="preserve">
手工输入</t>
        </r>
      </text>
    </comment>
    <comment ref="AA46" authorId="0">
      <text>
        <r>
          <rPr>
            <b/>
            <sz val="9"/>
            <color indexed="81"/>
            <rFont val="宋体"/>
            <family val="3"/>
            <charset val="134"/>
          </rPr>
          <t>good:</t>
        </r>
        <r>
          <rPr>
            <sz val="9"/>
            <color indexed="81"/>
            <rFont val="宋体"/>
            <family val="3"/>
            <charset val="134"/>
          </rPr>
          <t xml:space="preserve">
手工输入</t>
        </r>
      </text>
    </comment>
    <comment ref="A71" authorId="0">
      <text>
        <r>
          <rPr>
            <b/>
            <sz val="9"/>
            <color indexed="81"/>
            <rFont val="宋体"/>
            <family val="3"/>
            <charset val="134"/>
          </rPr>
          <t>good:</t>
        </r>
        <r>
          <rPr>
            <sz val="9"/>
            <color indexed="81"/>
            <rFont val="宋体"/>
            <family val="3"/>
            <charset val="134"/>
          </rPr>
          <t xml:space="preserve">
方案中自己输入</t>
        </r>
      </text>
    </comment>
    <comment ref="C71" authorId="0">
      <text>
        <r>
          <rPr>
            <b/>
            <sz val="9"/>
            <color indexed="81"/>
            <rFont val="宋体"/>
            <family val="3"/>
            <charset val="134"/>
          </rPr>
          <t>good:</t>
        </r>
        <r>
          <rPr>
            <sz val="9"/>
            <color indexed="81"/>
            <rFont val="宋体"/>
            <family val="3"/>
            <charset val="134"/>
          </rPr>
          <t xml:space="preserve">
方案中自己输入</t>
        </r>
      </text>
    </comment>
    <comment ref="G71" authorId="0">
      <text>
        <r>
          <rPr>
            <b/>
            <sz val="9"/>
            <color indexed="81"/>
            <rFont val="宋体"/>
            <family val="3"/>
            <charset val="134"/>
          </rPr>
          <t>good:</t>
        </r>
        <r>
          <rPr>
            <sz val="9"/>
            <color indexed="81"/>
            <rFont val="宋体"/>
            <family val="3"/>
            <charset val="134"/>
          </rPr>
          <t xml:space="preserve">
相对误差=（标称值-实际值）/实际值*100%
备注：小数点位数比允许误差多1位，四舍五入</t>
        </r>
      </text>
    </comment>
    <comment ref="I71" authorId="0">
      <text>
        <r>
          <rPr>
            <b/>
            <sz val="9"/>
            <color indexed="81"/>
            <rFont val="宋体"/>
            <family val="3"/>
            <charset val="134"/>
          </rPr>
          <t>good:</t>
        </r>
        <r>
          <rPr>
            <sz val="9"/>
            <color indexed="81"/>
            <rFont val="宋体"/>
            <family val="3"/>
            <charset val="134"/>
          </rPr>
          <t xml:space="preserve">
下拉选择：正负 5 2 1 0.5 0.2 0.1</t>
        </r>
      </text>
    </comment>
    <comment ref="A89" authorId="1">
      <text>
        <r>
          <rPr>
            <b/>
            <sz val="9"/>
            <color indexed="81"/>
            <rFont val="宋体"/>
            <family val="3"/>
            <charset val="134"/>
          </rPr>
          <t>stone:</t>
        </r>
        <r>
          <rPr>
            <sz val="9"/>
            <color indexed="81"/>
            <rFont val="宋体"/>
            <family val="3"/>
            <charset val="134"/>
          </rPr>
          <t xml:space="preserve">
自动增加行</t>
        </r>
      </text>
    </comment>
    <comment ref="L89" authorId="0">
      <text>
        <r>
          <rPr>
            <b/>
            <sz val="9"/>
            <color indexed="81"/>
            <rFont val="宋体"/>
            <family val="3"/>
            <charset val="134"/>
          </rPr>
          <t>good:</t>
        </r>
        <r>
          <rPr>
            <sz val="9"/>
            <color indexed="81"/>
            <rFont val="宋体"/>
            <family val="3"/>
            <charset val="134"/>
          </rPr>
          <t xml:space="preserve">
值自己输入</t>
        </r>
      </text>
    </comment>
    <comment ref="M89" authorId="0">
      <text>
        <r>
          <rPr>
            <b/>
            <sz val="9"/>
            <color indexed="81"/>
            <rFont val="宋体"/>
            <family val="3"/>
            <charset val="134"/>
          </rPr>
          <t>good:</t>
        </r>
        <r>
          <rPr>
            <sz val="9"/>
            <color indexed="81"/>
            <rFont val="宋体"/>
            <family val="3"/>
            <charset val="134"/>
          </rPr>
          <t xml:space="preserve">
算法参考交流电压表中算法</t>
        </r>
      </text>
    </comment>
    <comment ref="C90" authorId="0">
      <text>
        <r>
          <rPr>
            <b/>
            <sz val="9"/>
            <color indexed="81"/>
            <rFont val="宋体"/>
            <family val="3"/>
            <charset val="134"/>
          </rPr>
          <t>good:</t>
        </r>
        <r>
          <rPr>
            <sz val="9"/>
            <color indexed="81"/>
            <rFont val="宋体"/>
            <family val="3"/>
            <charset val="134"/>
          </rPr>
          <t xml:space="preserve">
建立两列、三列</t>
        </r>
      </text>
    </comment>
    <comment ref="AA97" authorId="0">
      <text>
        <r>
          <rPr>
            <b/>
            <sz val="9"/>
            <color indexed="81"/>
            <rFont val="宋体"/>
            <family val="3"/>
            <charset val="134"/>
          </rPr>
          <t>good:</t>
        </r>
        <r>
          <rPr>
            <sz val="9"/>
            <color indexed="81"/>
            <rFont val="宋体"/>
            <family val="3"/>
            <charset val="134"/>
          </rPr>
          <t xml:space="preserve">
算法参考交流电压表中算法</t>
        </r>
      </text>
    </comment>
    <comment ref="R98" authorId="0">
      <text>
        <r>
          <rPr>
            <b/>
            <sz val="9"/>
            <color indexed="81"/>
            <rFont val="宋体"/>
            <family val="3"/>
            <charset val="134"/>
          </rPr>
          <t>good:</t>
        </r>
        <r>
          <rPr>
            <sz val="9"/>
            <color indexed="81"/>
            <rFont val="宋体"/>
            <family val="3"/>
            <charset val="134"/>
          </rPr>
          <t xml:space="preserve">
建立两列、三列</t>
        </r>
      </text>
    </comment>
    <comment ref="AG98" authorId="0">
      <text>
        <r>
          <rPr>
            <b/>
            <sz val="9"/>
            <color indexed="81"/>
            <rFont val="宋体"/>
            <family val="3"/>
            <charset val="134"/>
          </rPr>
          <t>good:</t>
        </r>
        <r>
          <rPr>
            <sz val="9"/>
            <color indexed="81"/>
            <rFont val="宋体"/>
            <family val="3"/>
            <charset val="134"/>
          </rPr>
          <t xml:space="preserve">
建立两列、三列</t>
        </r>
      </text>
    </comment>
  </commentList>
</comments>
</file>

<file path=xl/comments22.xml><?xml version="1.0" encoding="utf-8"?>
<comments xmlns="http://schemas.openxmlformats.org/spreadsheetml/2006/main">
  <authors>
    <author>good</author>
  </authors>
  <commentList>
    <comment ref="A1" authorId="0">
      <text>
        <r>
          <rPr>
            <b/>
            <sz val="9"/>
            <color indexed="81"/>
            <rFont val="宋体"/>
            <family val="3"/>
            <charset val="134"/>
          </rPr>
          <t>good:</t>
        </r>
        <r>
          <rPr>
            <sz val="9"/>
            <color indexed="81"/>
            <rFont val="宋体"/>
            <family val="3"/>
            <charset val="134"/>
          </rPr>
          <t xml:space="preserve">
直流电流测量规程-基本误差</t>
        </r>
      </text>
    </comment>
    <comment ref="A18" authorId="0">
      <text>
        <r>
          <rPr>
            <b/>
            <sz val="9"/>
            <color indexed="81"/>
            <rFont val="宋体"/>
            <family val="3"/>
            <charset val="134"/>
          </rPr>
          <t>good:</t>
        </r>
        <r>
          <rPr>
            <sz val="9"/>
            <color indexed="81"/>
            <rFont val="宋体"/>
            <family val="3"/>
            <charset val="134"/>
          </rPr>
          <t xml:space="preserve">
直流电压规程-基本误差
测量参考5720以此类推</t>
        </r>
      </text>
    </comment>
    <comment ref="B19" authorId="0">
      <text>
        <r>
          <rPr>
            <b/>
            <sz val="9"/>
            <color indexed="81"/>
            <rFont val="宋体"/>
            <family val="3"/>
            <charset val="134"/>
          </rPr>
          <t>good:</t>
        </r>
        <r>
          <rPr>
            <sz val="9"/>
            <color indexed="81"/>
            <rFont val="宋体"/>
            <family val="3"/>
            <charset val="134"/>
          </rPr>
          <t xml:space="preserve">
手工输入</t>
        </r>
      </text>
    </comment>
    <comment ref="E19" authorId="0">
      <text>
        <r>
          <rPr>
            <b/>
            <sz val="9"/>
            <color indexed="81"/>
            <rFont val="宋体"/>
            <family val="3"/>
            <charset val="134"/>
          </rPr>
          <t>good:</t>
        </r>
        <r>
          <rPr>
            <sz val="9"/>
            <color indexed="81"/>
            <rFont val="宋体"/>
            <family val="3"/>
            <charset val="134"/>
          </rPr>
          <t xml:space="preserve">
所有原始记录没有，证书有</t>
        </r>
      </text>
    </comment>
    <comment ref="F19" authorId="0">
      <text>
        <r>
          <rPr>
            <b/>
            <sz val="9"/>
            <color indexed="81"/>
            <rFont val="宋体"/>
            <family val="3"/>
            <charset val="134"/>
          </rPr>
          <t>good:</t>
        </r>
        <r>
          <rPr>
            <sz val="9"/>
            <color indexed="81"/>
            <rFont val="宋体"/>
            <family val="3"/>
            <charset val="134"/>
          </rPr>
          <t xml:space="preserve">
参考5720A表，参考标准值，其他检测项目以此类推，打印不显示</t>
        </r>
      </text>
    </comment>
    <comment ref="H19" authorId="0">
      <text>
        <r>
          <rPr>
            <b/>
            <sz val="9"/>
            <color indexed="81"/>
            <rFont val="宋体"/>
            <family val="3"/>
            <charset val="134"/>
          </rPr>
          <t>good:</t>
        </r>
        <r>
          <rPr>
            <sz val="9"/>
            <color indexed="81"/>
            <rFont val="宋体"/>
            <family val="3"/>
            <charset val="134"/>
          </rPr>
          <t xml:space="preserve">
显示值+，小数位数0.00001除以2等于0.000005，打印不显示</t>
        </r>
      </text>
    </comment>
    <comment ref="D21" authorId="0">
      <text>
        <r>
          <rPr>
            <b/>
            <sz val="9"/>
            <color indexed="81"/>
            <rFont val="宋体"/>
            <family val="3"/>
            <charset val="134"/>
          </rPr>
          <t>good:</t>
        </r>
        <r>
          <rPr>
            <sz val="9"/>
            <color indexed="81"/>
            <rFont val="宋体"/>
            <family val="3"/>
            <charset val="134"/>
          </rPr>
          <t xml:space="preserve">
手工输入</t>
        </r>
      </text>
    </comment>
  </commentList>
</comments>
</file>

<file path=xl/comments23.xml><?xml version="1.0" encoding="utf-8"?>
<comments xmlns="http://schemas.openxmlformats.org/spreadsheetml/2006/main">
  <authors>
    <author>good</author>
    <author>stone</author>
  </authors>
  <commentList>
    <comment ref="A24" authorId="0">
      <text>
        <r>
          <rPr>
            <b/>
            <sz val="9"/>
            <color indexed="81"/>
            <rFont val="宋体"/>
            <family val="3"/>
            <charset val="134"/>
          </rPr>
          <t>good:</t>
        </r>
        <r>
          <rPr>
            <sz val="9"/>
            <color indexed="81"/>
            <rFont val="宋体"/>
            <family val="3"/>
            <charset val="134"/>
          </rPr>
          <t xml:space="preserve">
直流电流测量规程-基本误差</t>
        </r>
      </text>
    </comment>
    <comment ref="E25" authorId="0">
      <text>
        <r>
          <rPr>
            <b/>
            <sz val="9"/>
            <color indexed="81"/>
            <rFont val="宋体"/>
            <family val="3"/>
            <charset val="134"/>
          </rPr>
          <t>good:</t>
        </r>
        <r>
          <rPr>
            <sz val="9"/>
            <color indexed="81"/>
            <rFont val="宋体"/>
            <family val="3"/>
            <charset val="134"/>
          </rPr>
          <t xml:space="preserve">
</t>
        </r>
        <r>
          <rPr>
            <sz val="9"/>
            <color indexed="81"/>
            <rFont val="宋体"/>
            <family val="3"/>
            <charset val="134"/>
          </rPr>
          <t>1、</t>
        </r>
        <r>
          <rPr>
            <sz val="9"/>
            <color indexed="81"/>
            <rFont val="宋体"/>
            <family val="3"/>
            <charset val="134"/>
          </rPr>
          <t xml:space="preserve">算法参考交流电压表算法
</t>
        </r>
        <r>
          <rPr>
            <sz val="9"/>
            <color indexed="81"/>
            <rFont val="宋体"/>
            <family val="3"/>
            <charset val="134"/>
          </rPr>
          <t>2、根据待检设备指标不同选择是相对误差还是绝对误差</t>
        </r>
      </text>
    </comment>
    <comment ref="G25" authorId="0">
      <text>
        <r>
          <rPr>
            <b/>
            <sz val="9"/>
            <color indexed="81"/>
            <rFont val="宋体"/>
            <family val="3"/>
            <charset val="134"/>
          </rPr>
          <t>good:</t>
        </r>
        <r>
          <rPr>
            <sz val="9"/>
            <color indexed="81"/>
            <rFont val="宋体"/>
            <family val="3"/>
            <charset val="134"/>
          </rPr>
          <t xml:space="preserve">
算法参考交流电压表</t>
        </r>
      </text>
    </comment>
    <comment ref="H25" authorId="0">
      <text>
        <r>
          <rPr>
            <b/>
            <sz val="9"/>
            <color indexed="81"/>
            <rFont val="宋体"/>
            <family val="3"/>
            <charset val="134"/>
          </rPr>
          <t>good:</t>
        </r>
        <r>
          <rPr>
            <sz val="9"/>
            <color indexed="81"/>
            <rFont val="宋体"/>
            <family val="3"/>
            <charset val="134"/>
          </rPr>
          <t xml:space="preserve">
根据标准值范围，找DCI的指标值</t>
        </r>
      </text>
    </comment>
    <comment ref="Q25" authorId="0">
      <text>
        <r>
          <rPr>
            <b/>
            <sz val="9"/>
            <color indexed="81"/>
            <rFont val="宋体"/>
            <family val="3"/>
            <charset val="134"/>
          </rPr>
          <t>good:</t>
        </r>
        <r>
          <rPr>
            <sz val="9"/>
            <color indexed="81"/>
            <rFont val="宋体"/>
            <family val="3"/>
            <charset val="134"/>
          </rPr>
          <t xml:space="preserve">
算法参考交流电压表算法</t>
        </r>
      </text>
    </comment>
    <comment ref="S25" authorId="0">
      <text>
        <r>
          <rPr>
            <b/>
            <sz val="9"/>
            <color indexed="81"/>
            <rFont val="宋体"/>
            <family val="3"/>
            <charset val="134"/>
          </rPr>
          <t>good:</t>
        </r>
        <r>
          <rPr>
            <sz val="9"/>
            <color indexed="81"/>
            <rFont val="宋体"/>
            <family val="3"/>
            <charset val="134"/>
          </rPr>
          <t xml:space="preserve">
算法参考交流电压表</t>
        </r>
      </text>
    </comment>
    <comment ref="Z25" authorId="0">
      <text>
        <r>
          <rPr>
            <b/>
            <sz val="9"/>
            <color indexed="81"/>
            <rFont val="宋体"/>
            <family val="3"/>
            <charset val="134"/>
          </rPr>
          <t>good:</t>
        </r>
        <r>
          <rPr>
            <sz val="9"/>
            <color indexed="81"/>
            <rFont val="宋体"/>
            <family val="3"/>
            <charset val="134"/>
          </rPr>
          <t xml:space="preserve">
算法参考交流电压表算法</t>
        </r>
      </text>
    </comment>
    <comment ref="I27" authorId="0">
      <text>
        <r>
          <rPr>
            <b/>
            <sz val="9"/>
            <color indexed="81"/>
            <rFont val="宋体"/>
            <family val="3"/>
            <charset val="134"/>
          </rPr>
          <t>good:</t>
        </r>
        <r>
          <rPr>
            <sz val="9"/>
            <color indexed="81"/>
            <rFont val="宋体"/>
            <family val="3"/>
            <charset val="134"/>
          </rPr>
          <t xml:space="preserve">
单位要与标准值保持一致，单位不同进行换算</t>
        </r>
      </text>
    </comment>
    <comment ref="A52" authorId="1">
      <text>
        <r>
          <rPr>
            <b/>
            <sz val="9"/>
            <color indexed="81"/>
            <rFont val="宋体"/>
            <family val="3"/>
            <charset val="134"/>
          </rPr>
          <t>stone:</t>
        </r>
        <r>
          <rPr>
            <sz val="9"/>
            <color indexed="81"/>
            <rFont val="宋体"/>
            <family val="3"/>
            <charset val="134"/>
          </rPr>
          <t xml:space="preserve">
自动增加行</t>
        </r>
      </text>
    </comment>
    <comment ref="L52" authorId="0">
      <text>
        <r>
          <rPr>
            <b/>
            <sz val="9"/>
            <color indexed="81"/>
            <rFont val="宋体"/>
            <family val="3"/>
            <charset val="134"/>
          </rPr>
          <t>good:</t>
        </r>
        <r>
          <rPr>
            <sz val="9"/>
            <color indexed="81"/>
            <rFont val="宋体"/>
            <family val="3"/>
            <charset val="134"/>
          </rPr>
          <t xml:space="preserve">
值自己输入</t>
        </r>
      </text>
    </comment>
    <comment ref="C53" authorId="0">
      <text>
        <r>
          <rPr>
            <b/>
            <sz val="9"/>
            <color indexed="81"/>
            <rFont val="宋体"/>
            <family val="3"/>
            <charset val="134"/>
          </rPr>
          <t>good:</t>
        </r>
        <r>
          <rPr>
            <sz val="9"/>
            <color indexed="81"/>
            <rFont val="宋体"/>
            <family val="3"/>
            <charset val="134"/>
          </rPr>
          <t xml:space="preserve">
建立两列、三列</t>
        </r>
      </text>
    </comment>
    <comment ref="AC60" authorId="0">
      <text>
        <r>
          <rPr>
            <b/>
            <sz val="9"/>
            <color indexed="81"/>
            <rFont val="宋体"/>
            <family val="3"/>
            <charset val="134"/>
          </rPr>
          <t>good:</t>
        </r>
        <r>
          <rPr>
            <sz val="9"/>
            <color indexed="81"/>
            <rFont val="宋体"/>
            <family val="3"/>
            <charset val="134"/>
          </rPr>
          <t xml:space="preserve">
值自己输入</t>
        </r>
      </text>
    </comment>
    <comment ref="T61" authorId="0">
      <text>
        <r>
          <rPr>
            <b/>
            <sz val="9"/>
            <color indexed="81"/>
            <rFont val="宋体"/>
            <family val="3"/>
            <charset val="134"/>
          </rPr>
          <t>good:</t>
        </r>
        <r>
          <rPr>
            <sz val="9"/>
            <color indexed="81"/>
            <rFont val="宋体"/>
            <family val="3"/>
            <charset val="134"/>
          </rPr>
          <t xml:space="preserve">
建立两列、三列</t>
        </r>
      </text>
    </comment>
    <comment ref="AH61" authorId="0">
      <text>
        <r>
          <rPr>
            <b/>
            <sz val="9"/>
            <color indexed="81"/>
            <rFont val="宋体"/>
            <family val="3"/>
            <charset val="134"/>
          </rPr>
          <t>good:</t>
        </r>
        <r>
          <rPr>
            <sz val="9"/>
            <color indexed="81"/>
            <rFont val="宋体"/>
            <family val="3"/>
            <charset val="134"/>
          </rPr>
          <t xml:space="preserve">
建立两列、三列</t>
        </r>
      </text>
    </comment>
  </commentList>
</comments>
</file>

<file path=xl/comments24.xml><?xml version="1.0" encoding="utf-8"?>
<comments xmlns="http://schemas.openxmlformats.org/spreadsheetml/2006/main">
  <authors>
    <author>stone</author>
    <author>good</author>
  </authors>
  <commentList>
    <comment ref="A20" authorId="0">
      <text>
        <r>
          <rPr>
            <b/>
            <sz val="9"/>
            <color indexed="81"/>
            <rFont val="宋体"/>
            <family val="3"/>
            <charset val="134"/>
          </rPr>
          <t>stone:</t>
        </r>
        <r>
          <rPr>
            <sz val="9"/>
            <color indexed="81"/>
            <rFont val="宋体"/>
            <family val="3"/>
            <charset val="134"/>
          </rPr>
          <t xml:space="preserve">
自动增加行</t>
        </r>
      </text>
    </comment>
    <comment ref="E20" authorId="1">
      <text>
        <r>
          <rPr>
            <b/>
            <sz val="9"/>
            <color indexed="81"/>
            <rFont val="宋体"/>
            <family val="3"/>
            <charset val="134"/>
          </rPr>
          <t>good:</t>
        </r>
        <r>
          <rPr>
            <sz val="9"/>
            <color indexed="81"/>
            <rFont val="宋体"/>
            <family val="3"/>
            <charset val="134"/>
          </rPr>
          <t xml:space="preserve">
算法和交流电压表算法相同</t>
        </r>
      </text>
    </comment>
    <comment ref="F20" authorId="1">
      <text>
        <r>
          <rPr>
            <b/>
            <sz val="9"/>
            <color indexed="81"/>
            <rFont val="宋体"/>
            <family val="3"/>
            <charset val="134"/>
          </rPr>
          <t>good：
算法和交流电压表算法相同</t>
        </r>
      </text>
    </comment>
    <comment ref="G20" authorId="1">
      <text>
        <r>
          <rPr>
            <b/>
            <sz val="9"/>
            <color indexed="81"/>
            <rFont val="宋体"/>
            <family val="3"/>
            <charset val="134"/>
          </rPr>
          <t>good:</t>
        </r>
        <r>
          <rPr>
            <sz val="9"/>
            <color indexed="81"/>
            <rFont val="宋体"/>
            <family val="3"/>
            <charset val="134"/>
          </rPr>
          <t xml:space="preserve">
根据标准值和频率，参考ACI,取指标值</t>
        </r>
      </text>
    </comment>
    <comment ref="P20" authorId="1">
      <text>
        <r>
          <rPr>
            <b/>
            <sz val="9"/>
            <color indexed="81"/>
            <rFont val="宋体"/>
            <family val="3"/>
            <charset val="134"/>
          </rPr>
          <t>good:</t>
        </r>
        <r>
          <rPr>
            <sz val="9"/>
            <color indexed="81"/>
            <rFont val="宋体"/>
            <family val="3"/>
            <charset val="134"/>
          </rPr>
          <t xml:space="preserve">
算法和交流电压表算法相同</t>
        </r>
      </text>
    </comment>
    <comment ref="Q20" authorId="1">
      <text>
        <r>
          <rPr>
            <b/>
            <sz val="9"/>
            <color indexed="81"/>
            <rFont val="宋体"/>
            <family val="3"/>
            <charset val="134"/>
          </rPr>
          <t>good：
算法和交流电压表算法相同</t>
        </r>
      </text>
    </comment>
    <comment ref="X20" authorId="1">
      <text>
        <r>
          <rPr>
            <b/>
            <sz val="9"/>
            <color indexed="81"/>
            <rFont val="宋体"/>
            <family val="3"/>
            <charset val="134"/>
          </rPr>
          <t>good:</t>
        </r>
        <r>
          <rPr>
            <sz val="9"/>
            <color indexed="81"/>
            <rFont val="宋体"/>
            <family val="3"/>
            <charset val="134"/>
          </rPr>
          <t xml:space="preserve">
算法和交流电压表算法相同</t>
        </r>
      </text>
    </comment>
    <comment ref="A43" authorId="0">
      <text>
        <r>
          <rPr>
            <b/>
            <sz val="9"/>
            <color indexed="81"/>
            <rFont val="宋体"/>
            <family val="3"/>
            <charset val="134"/>
          </rPr>
          <t>stone:</t>
        </r>
        <r>
          <rPr>
            <sz val="9"/>
            <color indexed="81"/>
            <rFont val="宋体"/>
            <family val="3"/>
            <charset val="134"/>
          </rPr>
          <t xml:space="preserve">
自动增加行</t>
        </r>
      </text>
    </comment>
    <comment ref="C43" authorId="1">
      <text>
        <r>
          <rPr>
            <b/>
            <sz val="9"/>
            <color indexed="81"/>
            <rFont val="宋体"/>
            <family val="3"/>
            <charset val="134"/>
          </rPr>
          <t>good:</t>
        </r>
        <r>
          <rPr>
            <sz val="9"/>
            <color indexed="81"/>
            <rFont val="宋体"/>
            <family val="3"/>
            <charset val="134"/>
          </rPr>
          <t xml:space="preserve">
两相相位表，控制小数点后显示几位。</t>
        </r>
      </text>
    </comment>
    <comment ref="V54" authorId="1">
      <text>
        <r>
          <rPr>
            <b/>
            <sz val="9"/>
            <color indexed="81"/>
            <rFont val="宋体"/>
            <family val="3"/>
            <charset val="134"/>
          </rPr>
          <t>good:</t>
        </r>
        <r>
          <rPr>
            <sz val="9"/>
            <color indexed="81"/>
            <rFont val="宋体"/>
            <family val="3"/>
            <charset val="134"/>
          </rPr>
          <t xml:space="preserve">
两相相位表，控制小数点后显示几位。</t>
        </r>
      </text>
    </comment>
    <comment ref="AM54" authorId="1">
      <text>
        <r>
          <rPr>
            <b/>
            <sz val="9"/>
            <color indexed="81"/>
            <rFont val="宋体"/>
            <family val="3"/>
            <charset val="134"/>
          </rPr>
          <t>good:</t>
        </r>
        <r>
          <rPr>
            <sz val="9"/>
            <color indexed="81"/>
            <rFont val="宋体"/>
            <family val="3"/>
            <charset val="134"/>
          </rPr>
          <t xml:space="preserve">
两相相位表，控制小数点后显示几位。</t>
        </r>
      </text>
    </comment>
  </commentList>
</comments>
</file>

<file path=xl/comments25.xml><?xml version="1.0" encoding="utf-8"?>
<comments xmlns="http://schemas.openxmlformats.org/spreadsheetml/2006/main">
  <authors>
    <author>good</author>
  </authors>
  <commentList>
    <comment ref="E2" authorId="0">
      <text>
        <r>
          <rPr>
            <b/>
            <sz val="9"/>
            <color indexed="81"/>
            <rFont val="宋体"/>
            <family val="3"/>
            <charset val="134"/>
          </rPr>
          <t>good:</t>
        </r>
        <r>
          <rPr>
            <sz val="9"/>
            <color indexed="81"/>
            <rFont val="宋体"/>
            <family val="3"/>
            <charset val="134"/>
          </rPr>
          <t xml:space="preserve">
所有原始记录没有，证书有</t>
        </r>
      </text>
    </comment>
  </commentList>
</comments>
</file>

<file path=xl/comments26.xml><?xml version="1.0" encoding="utf-8"?>
<comments xmlns="http://schemas.openxmlformats.org/spreadsheetml/2006/main">
  <authors>
    <author>作者</author>
  </authors>
  <commentList>
    <comment ref="A6" authorId="0">
      <text>
        <r>
          <rPr>
            <b/>
            <sz val="9"/>
            <color indexed="81"/>
            <rFont val="宋体"/>
            <family val="3"/>
            <charset val="134"/>
          </rPr>
          <t>作者:</t>
        </r>
        <r>
          <rPr>
            <b/>
            <sz val="9"/>
            <color indexed="81"/>
            <rFont val="宋体"/>
            <family val="3"/>
            <charset val="134"/>
          </rPr>
          <t xml:space="preserve">
根据项目小数位数不同</t>
        </r>
      </text>
    </comment>
    <comment ref="K11" authorId="0">
      <text>
        <r>
          <rPr>
            <b/>
            <sz val="9"/>
            <color indexed="81"/>
            <rFont val="宋体"/>
            <family val="3"/>
            <charset val="134"/>
          </rPr>
          <t>作者:</t>
        </r>
        <r>
          <rPr>
            <sz val="9"/>
            <color indexed="81"/>
            <rFont val="宋体"/>
            <family val="3"/>
            <charset val="134"/>
          </rPr>
          <t xml:space="preserve">
使用</t>
        </r>
        <r>
          <rPr>
            <sz val="9"/>
            <color indexed="81"/>
            <rFont val="Tahoma"/>
            <family val="2"/>
          </rPr>
          <t>RD-33
U1</t>
        </r>
        <r>
          <rPr>
            <sz val="9"/>
            <color indexed="81"/>
            <rFont val="宋体"/>
            <family val="3"/>
            <charset val="134"/>
          </rPr>
          <t>为</t>
        </r>
        <r>
          <rPr>
            <sz val="9"/>
            <color indexed="81"/>
            <rFont val="Tahoma"/>
            <family val="2"/>
          </rPr>
          <t>0.004%</t>
        </r>
        <r>
          <rPr>
            <sz val="9"/>
            <color indexed="81"/>
            <rFont val="宋体"/>
            <family val="3"/>
            <charset val="134"/>
          </rPr>
          <t>，</t>
        </r>
        <r>
          <rPr>
            <sz val="9"/>
            <color indexed="81"/>
            <rFont val="Tahoma"/>
            <family val="2"/>
          </rPr>
          <t>u2</t>
        </r>
        <r>
          <rPr>
            <sz val="9"/>
            <color indexed="81"/>
            <rFont val="宋体"/>
            <family val="3"/>
            <charset val="134"/>
          </rPr>
          <t>为</t>
        </r>
        <r>
          <rPr>
            <sz val="9"/>
            <color indexed="81"/>
            <rFont val="Tahoma"/>
            <family val="2"/>
          </rPr>
          <t xml:space="preserve">0.01%
</t>
        </r>
        <r>
          <rPr>
            <sz val="9"/>
            <color indexed="81"/>
            <rFont val="宋体"/>
            <family val="3"/>
            <charset val="134"/>
          </rPr>
          <t>使用</t>
        </r>
        <r>
          <rPr>
            <sz val="9"/>
            <color indexed="81"/>
            <rFont val="Tahoma"/>
            <family val="2"/>
          </rPr>
          <t>RD-31
u1</t>
        </r>
        <r>
          <rPr>
            <sz val="9"/>
            <color indexed="81"/>
            <rFont val="宋体"/>
            <family val="3"/>
            <charset val="134"/>
          </rPr>
          <t>为</t>
        </r>
        <r>
          <rPr>
            <sz val="9"/>
            <color indexed="81"/>
            <rFont val="Tahoma"/>
            <family val="2"/>
          </rPr>
          <t>0.004%</t>
        </r>
        <r>
          <rPr>
            <sz val="9"/>
            <color indexed="81"/>
            <rFont val="宋体"/>
            <family val="3"/>
            <charset val="134"/>
          </rPr>
          <t>，</t>
        </r>
        <r>
          <rPr>
            <sz val="9"/>
            <color indexed="81"/>
            <rFont val="Tahoma"/>
            <family val="2"/>
          </rPr>
          <t>u2</t>
        </r>
        <r>
          <rPr>
            <sz val="9"/>
            <color indexed="81"/>
            <rFont val="宋体"/>
            <family val="3"/>
            <charset val="134"/>
          </rPr>
          <t>为</t>
        </r>
        <r>
          <rPr>
            <sz val="9"/>
            <color indexed="81"/>
            <rFont val="Tahoma"/>
            <family val="2"/>
          </rPr>
          <t>0.02%</t>
        </r>
      </text>
    </comment>
  </commentList>
</comments>
</file>

<file path=xl/comments27.xml><?xml version="1.0" encoding="utf-8"?>
<comments xmlns="http://schemas.openxmlformats.org/spreadsheetml/2006/main">
  <authors>
    <author>stone</author>
    <author>good</author>
  </authors>
  <commentList>
    <comment ref="A22" authorId="0">
      <text>
        <r>
          <rPr>
            <b/>
            <sz val="9"/>
            <color indexed="81"/>
            <rFont val="宋体"/>
            <family val="3"/>
            <charset val="134"/>
          </rPr>
          <t>stone:</t>
        </r>
        <r>
          <rPr>
            <sz val="9"/>
            <color indexed="81"/>
            <rFont val="宋体"/>
            <family val="3"/>
            <charset val="134"/>
          </rPr>
          <t xml:space="preserve">
自动增加行</t>
        </r>
      </text>
    </comment>
    <comment ref="D22" authorId="1">
      <text>
        <r>
          <rPr>
            <b/>
            <sz val="9"/>
            <color indexed="81"/>
            <rFont val="宋体"/>
            <family val="3"/>
            <charset val="134"/>
          </rPr>
          <t>good:</t>
        </r>
        <r>
          <rPr>
            <sz val="9"/>
            <color indexed="81"/>
            <rFont val="宋体"/>
            <family val="3"/>
            <charset val="134"/>
          </rPr>
          <t xml:space="preserve">
（显示值-标准值）/标准值*100%
备注：比准确度等级多1位，四舍六入，逢五奇进偶不进。</t>
        </r>
      </text>
    </comment>
    <comment ref="E22" authorId="1">
      <text>
        <r>
          <rPr>
            <b/>
            <sz val="9"/>
            <color indexed="81"/>
            <rFont val="宋体"/>
            <family val="3"/>
            <charset val="134"/>
          </rPr>
          <t>good:</t>
        </r>
        <r>
          <rPr>
            <sz val="9"/>
            <color indexed="81"/>
            <rFont val="宋体"/>
            <family val="3"/>
            <charset val="134"/>
          </rPr>
          <t xml:space="preserve">
就是分辨力除</t>
        </r>
        <r>
          <rPr>
            <sz val="9"/>
            <color indexed="81"/>
            <rFont val="宋体"/>
            <family val="3"/>
            <charset val="134"/>
          </rPr>
          <t>1.732</t>
        </r>
        <r>
          <rPr>
            <sz val="9"/>
            <color indexed="81"/>
            <rFont val="宋体"/>
            <family val="3"/>
            <charset val="134"/>
          </rPr>
          <t>的二次幂</t>
        </r>
        <r>
          <rPr>
            <sz val="9"/>
            <color indexed="81"/>
            <rFont val="宋体"/>
            <family val="3"/>
            <charset val="134"/>
          </rPr>
          <t>+</t>
        </r>
        <r>
          <rPr>
            <sz val="9"/>
            <color indexed="81"/>
            <rFont val="宋体"/>
            <family val="3"/>
            <charset val="134"/>
          </rPr>
          <t>指标值除以</t>
        </r>
        <r>
          <rPr>
            <sz val="9"/>
            <color indexed="81"/>
            <rFont val="宋体"/>
            <family val="3"/>
            <charset val="134"/>
          </rPr>
          <t>2</t>
        </r>
        <r>
          <rPr>
            <sz val="9"/>
            <color indexed="81"/>
            <rFont val="宋体"/>
            <family val="3"/>
            <charset val="134"/>
          </rPr>
          <t>的二次幂之和，开根乘以</t>
        </r>
        <r>
          <rPr>
            <sz val="9"/>
            <color indexed="81"/>
            <rFont val="宋体"/>
            <family val="3"/>
            <charset val="134"/>
          </rPr>
          <t>2
备注：小数位数、单位与标准值相同</t>
        </r>
      </text>
    </comment>
    <comment ref="F22" authorId="1">
      <text>
        <r>
          <rPr>
            <b/>
            <sz val="9"/>
            <color indexed="81"/>
            <rFont val="宋体"/>
            <family val="3"/>
            <charset val="134"/>
          </rPr>
          <t>good:</t>
        </r>
        <r>
          <rPr>
            <sz val="9"/>
            <color indexed="81"/>
            <rFont val="宋体"/>
            <family val="3"/>
            <charset val="134"/>
          </rPr>
          <t xml:space="preserve">
根据标准值取指标值</t>
        </r>
      </text>
    </comment>
    <comment ref="N22" authorId="1">
      <text>
        <r>
          <rPr>
            <b/>
            <sz val="9"/>
            <color indexed="81"/>
            <rFont val="宋体"/>
            <family val="3"/>
            <charset val="134"/>
          </rPr>
          <t>good:</t>
        </r>
        <r>
          <rPr>
            <sz val="9"/>
            <color indexed="81"/>
            <rFont val="宋体"/>
            <family val="3"/>
            <charset val="134"/>
          </rPr>
          <t xml:space="preserve">
（显示值-标准值）/标准值*100%
备注：比准确度等级多1位，四舍六入，逢五奇进偶不进。</t>
        </r>
      </text>
    </comment>
    <comment ref="O22" authorId="1">
      <text>
        <r>
          <rPr>
            <b/>
            <sz val="9"/>
            <color indexed="81"/>
            <rFont val="宋体"/>
            <family val="3"/>
            <charset val="134"/>
          </rPr>
          <t>good:</t>
        </r>
        <r>
          <rPr>
            <sz val="9"/>
            <color indexed="81"/>
            <rFont val="宋体"/>
            <family val="3"/>
            <charset val="134"/>
          </rPr>
          <t xml:space="preserve">
就是分辨力除</t>
        </r>
        <r>
          <rPr>
            <sz val="9"/>
            <color indexed="81"/>
            <rFont val="宋体"/>
            <family val="3"/>
            <charset val="134"/>
          </rPr>
          <t>1.732</t>
        </r>
        <r>
          <rPr>
            <sz val="9"/>
            <color indexed="81"/>
            <rFont val="宋体"/>
            <family val="3"/>
            <charset val="134"/>
          </rPr>
          <t>的二次幂</t>
        </r>
        <r>
          <rPr>
            <sz val="9"/>
            <color indexed="81"/>
            <rFont val="宋体"/>
            <family val="3"/>
            <charset val="134"/>
          </rPr>
          <t>+</t>
        </r>
        <r>
          <rPr>
            <sz val="9"/>
            <color indexed="81"/>
            <rFont val="宋体"/>
            <family val="3"/>
            <charset val="134"/>
          </rPr>
          <t>指标值除以</t>
        </r>
        <r>
          <rPr>
            <sz val="9"/>
            <color indexed="81"/>
            <rFont val="宋体"/>
            <family val="3"/>
            <charset val="134"/>
          </rPr>
          <t>2</t>
        </r>
        <r>
          <rPr>
            <sz val="9"/>
            <color indexed="81"/>
            <rFont val="宋体"/>
            <family val="3"/>
            <charset val="134"/>
          </rPr>
          <t>的二次幂之和，开根乘以</t>
        </r>
        <r>
          <rPr>
            <sz val="9"/>
            <color indexed="81"/>
            <rFont val="宋体"/>
            <family val="3"/>
            <charset val="134"/>
          </rPr>
          <t>2
备注：小数位数、单位与标准值相同</t>
        </r>
      </text>
    </comment>
    <comment ref="U22" authorId="1">
      <text>
        <r>
          <rPr>
            <b/>
            <sz val="9"/>
            <color indexed="81"/>
            <rFont val="宋体"/>
            <family val="3"/>
            <charset val="134"/>
          </rPr>
          <t>good:</t>
        </r>
        <r>
          <rPr>
            <sz val="9"/>
            <color indexed="81"/>
            <rFont val="宋体"/>
            <family val="3"/>
            <charset val="134"/>
          </rPr>
          <t xml:space="preserve">
（显示值-标准值）/标准值*100%
备注：比准确度等级多1位，四舍六入，逢五奇进偶不进。</t>
        </r>
      </text>
    </comment>
    <comment ref="A32" authorId="0">
      <text>
        <r>
          <rPr>
            <b/>
            <sz val="9"/>
            <color indexed="81"/>
            <rFont val="宋体"/>
            <family val="3"/>
            <charset val="134"/>
          </rPr>
          <t>stone:</t>
        </r>
        <r>
          <rPr>
            <sz val="9"/>
            <color indexed="81"/>
            <rFont val="宋体"/>
            <family val="3"/>
            <charset val="134"/>
          </rPr>
          <t xml:space="preserve">
自动增加行</t>
        </r>
      </text>
    </comment>
    <comment ref="G32" authorId="1">
      <text>
        <r>
          <rPr>
            <b/>
            <sz val="9"/>
            <color indexed="81"/>
            <rFont val="宋体"/>
            <family val="3"/>
            <charset val="134"/>
          </rPr>
          <t>good:</t>
        </r>
        <r>
          <rPr>
            <sz val="9"/>
            <color indexed="81"/>
            <rFont val="宋体"/>
            <family val="3"/>
            <charset val="134"/>
          </rPr>
          <t xml:space="preserve">
（输出示值-输出实际值）/输出实际值*100%
备注：小数位数比准确度等级多1位</t>
        </r>
      </text>
    </comment>
    <comment ref="H32" authorId="1">
      <text>
        <r>
          <rPr>
            <b/>
            <sz val="9"/>
            <color indexed="81"/>
            <rFont val="宋体"/>
            <family val="3"/>
            <charset val="134"/>
          </rPr>
          <t>good:</t>
        </r>
        <r>
          <rPr>
            <sz val="9"/>
            <color indexed="81"/>
            <rFont val="宋体"/>
            <family val="3"/>
            <charset val="134"/>
          </rPr>
          <t xml:space="preserve">
算法与直流电压源算法相同</t>
        </r>
      </text>
    </comment>
    <comment ref="I32" authorId="1">
      <text>
        <r>
          <rPr>
            <b/>
            <sz val="9"/>
            <color indexed="81"/>
            <rFont val="宋体"/>
            <family val="3"/>
            <charset val="134"/>
          </rPr>
          <t>good:</t>
        </r>
        <r>
          <rPr>
            <sz val="9"/>
            <color indexed="81"/>
            <rFont val="宋体"/>
            <family val="3"/>
            <charset val="134"/>
          </rPr>
          <t xml:space="preserve">
根据输出示值，参考DCR</t>
        </r>
      </text>
    </comment>
    <comment ref="U32" authorId="1">
      <text>
        <r>
          <rPr>
            <b/>
            <sz val="9"/>
            <color indexed="81"/>
            <rFont val="宋体"/>
            <family val="3"/>
            <charset val="134"/>
          </rPr>
          <t>good:</t>
        </r>
        <r>
          <rPr>
            <sz val="9"/>
            <color indexed="81"/>
            <rFont val="宋体"/>
            <family val="3"/>
            <charset val="134"/>
          </rPr>
          <t xml:space="preserve">
（输出示值-输出实际值）/输出实际值*100%
备注：小数位数比准确度等级多1位</t>
        </r>
      </text>
    </comment>
    <comment ref="V32" authorId="1">
      <text>
        <r>
          <rPr>
            <b/>
            <sz val="9"/>
            <color indexed="81"/>
            <rFont val="宋体"/>
            <family val="3"/>
            <charset val="134"/>
          </rPr>
          <t>good:</t>
        </r>
        <r>
          <rPr>
            <sz val="9"/>
            <color indexed="81"/>
            <rFont val="宋体"/>
            <family val="3"/>
            <charset val="134"/>
          </rPr>
          <t xml:space="preserve">
算法与直流电压源算法相同</t>
        </r>
      </text>
    </comment>
    <comment ref="AE32" authorId="1">
      <text>
        <r>
          <rPr>
            <b/>
            <sz val="9"/>
            <color indexed="81"/>
            <rFont val="宋体"/>
            <family val="3"/>
            <charset val="134"/>
          </rPr>
          <t>good:</t>
        </r>
        <r>
          <rPr>
            <sz val="9"/>
            <color indexed="81"/>
            <rFont val="宋体"/>
            <family val="3"/>
            <charset val="134"/>
          </rPr>
          <t xml:space="preserve">
（输出示值-输出实际值）/输出实际值*100%
备注：小数位数比准确度等级多1位</t>
        </r>
      </text>
    </comment>
  </commentList>
</comments>
</file>

<file path=xl/comments28.xml><?xml version="1.0" encoding="utf-8"?>
<comments xmlns="http://schemas.openxmlformats.org/spreadsheetml/2006/main">
  <authors>
    <author>good</author>
  </authors>
  <commentList>
    <comment ref="A22" authorId="0">
      <text>
        <r>
          <rPr>
            <b/>
            <sz val="9"/>
            <color indexed="81"/>
            <rFont val="宋体"/>
            <family val="3"/>
            <charset val="134"/>
          </rPr>
          <t>good:</t>
        </r>
        <r>
          <rPr>
            <sz val="9"/>
            <color indexed="81"/>
            <rFont val="宋体"/>
            <family val="3"/>
            <charset val="134"/>
          </rPr>
          <t xml:space="preserve">
单位下拉选择：Ω、</t>
        </r>
        <r>
          <rPr>
            <sz val="9"/>
            <color indexed="81"/>
            <rFont val="宋体"/>
            <family val="3"/>
            <charset val="134"/>
          </rPr>
          <t>m</t>
        </r>
        <r>
          <rPr>
            <sz val="9"/>
            <color indexed="81"/>
            <rFont val="宋体"/>
            <family val="3"/>
            <charset val="134"/>
          </rPr>
          <t>Ω、</t>
        </r>
        <r>
          <rPr>
            <sz val="9"/>
            <color indexed="81"/>
            <rFont val="宋体"/>
            <family val="3"/>
            <charset val="134"/>
          </rPr>
          <t>µΩ</t>
        </r>
      </text>
    </comment>
    <comment ref="D22" authorId="0">
      <text>
        <r>
          <rPr>
            <b/>
            <sz val="9"/>
            <color indexed="81"/>
            <rFont val="宋体"/>
            <family val="3"/>
            <charset val="134"/>
          </rPr>
          <t>good:</t>
        </r>
        <r>
          <rPr>
            <sz val="9"/>
            <color indexed="81"/>
            <rFont val="宋体"/>
            <family val="3"/>
            <charset val="134"/>
          </rPr>
          <t xml:space="preserve">
方案中固定下来，
分一个电流（10个点）、两个电流（基本量程10个、非基本量程五个）、两个通道（一个通道中基本量程10个、非基本量程5个，另外通道两种量程都为5个）</t>
        </r>
      </text>
    </comment>
    <comment ref="F22" authorId="0">
      <text>
        <r>
          <rPr>
            <b/>
            <sz val="9"/>
            <color indexed="81"/>
            <rFont val="宋体"/>
            <family val="3"/>
            <charset val="134"/>
          </rPr>
          <t>good:</t>
        </r>
        <r>
          <rPr>
            <sz val="9"/>
            <color indexed="81"/>
            <rFont val="宋体"/>
            <family val="3"/>
            <charset val="134"/>
          </rPr>
          <t xml:space="preserve">
数据录入，单位下拉列表，同测量范围</t>
        </r>
      </text>
    </comment>
    <comment ref="I22" authorId="0">
      <text>
        <r>
          <rPr>
            <b/>
            <sz val="9"/>
            <color indexed="81"/>
            <rFont val="宋体"/>
            <family val="3"/>
            <charset val="134"/>
          </rPr>
          <t>good:</t>
        </r>
        <r>
          <rPr>
            <sz val="9"/>
            <color indexed="81"/>
            <rFont val="宋体"/>
            <family val="3"/>
            <charset val="134"/>
          </rPr>
          <t xml:space="preserve">
数据录入，单位下拉列表</t>
        </r>
      </text>
    </comment>
    <comment ref="K22" authorId="0">
      <text>
        <r>
          <rPr>
            <b/>
            <sz val="9"/>
            <color indexed="81"/>
            <rFont val="宋体"/>
            <family val="3"/>
            <charset val="134"/>
          </rPr>
          <t>good:</t>
        </r>
        <r>
          <rPr>
            <sz val="9"/>
            <color indexed="81"/>
            <rFont val="宋体"/>
            <family val="3"/>
            <charset val="134"/>
          </rPr>
          <t xml:space="preserve">
相对误差=（显示值-标准值）/标准值*100%
小数位数：比准确度等级多1位 四舍五入</t>
        </r>
      </text>
    </comment>
    <comment ref="M22" authorId="0">
      <text>
        <r>
          <rPr>
            <b/>
            <sz val="9"/>
            <color indexed="81"/>
            <rFont val="宋体"/>
            <family val="3"/>
            <charset val="134"/>
          </rPr>
          <t>good:</t>
        </r>
        <r>
          <rPr>
            <sz val="9"/>
            <color indexed="81"/>
            <rFont val="宋体"/>
            <family val="3"/>
            <charset val="134"/>
          </rPr>
          <t xml:space="preserve">
为被试设备准确度等级的正负值</t>
        </r>
      </text>
    </comment>
    <comment ref="A35" authorId="0">
      <text>
        <r>
          <rPr>
            <b/>
            <sz val="9"/>
            <color indexed="81"/>
            <rFont val="宋体"/>
            <family val="3"/>
            <charset val="134"/>
          </rPr>
          <t>good:</t>
        </r>
        <r>
          <rPr>
            <sz val="9"/>
            <color indexed="81"/>
            <rFont val="宋体"/>
            <family val="3"/>
            <charset val="134"/>
          </rPr>
          <t xml:space="preserve">
下拉选择mV 、V</t>
        </r>
      </text>
    </comment>
    <comment ref="D35" authorId="0">
      <text>
        <r>
          <rPr>
            <b/>
            <sz val="9"/>
            <color indexed="81"/>
            <rFont val="宋体"/>
            <family val="3"/>
            <charset val="134"/>
          </rPr>
          <t>good:</t>
        </r>
        <r>
          <rPr>
            <sz val="9"/>
            <color indexed="81"/>
            <rFont val="宋体"/>
            <family val="3"/>
            <charset val="134"/>
          </rPr>
          <t xml:space="preserve">
单位下拉选择：Ω、mΩ、µΩ</t>
        </r>
      </text>
    </comment>
    <comment ref="G35" authorId="0">
      <text>
        <r>
          <rPr>
            <b/>
            <sz val="9"/>
            <color indexed="81"/>
            <rFont val="宋体"/>
            <family val="3"/>
            <charset val="134"/>
          </rPr>
          <t>good:</t>
        </r>
        <r>
          <rPr>
            <sz val="9"/>
            <color indexed="81"/>
            <rFont val="宋体"/>
            <family val="3"/>
            <charset val="134"/>
          </rPr>
          <t xml:space="preserve">
增加行，输入数据
单位下拉选择 A mA</t>
        </r>
      </text>
    </comment>
    <comment ref="I35" authorId="0">
      <text>
        <r>
          <rPr>
            <b/>
            <sz val="9"/>
            <color indexed="81"/>
            <rFont val="宋体"/>
            <family val="3"/>
            <charset val="134"/>
          </rPr>
          <t>good:</t>
        </r>
        <r>
          <rPr>
            <sz val="9"/>
            <color indexed="81"/>
            <rFont val="宋体"/>
            <family val="3"/>
            <charset val="134"/>
          </rPr>
          <t xml:space="preserve">
电压/电阻
小数位数3位</t>
        </r>
      </text>
    </comment>
    <comment ref="K35" authorId="0">
      <text>
        <r>
          <rPr>
            <b/>
            <sz val="9"/>
            <color indexed="81"/>
            <rFont val="宋体"/>
            <family val="3"/>
            <charset val="134"/>
          </rPr>
          <t>good:</t>
        </r>
        <r>
          <rPr>
            <sz val="9"/>
            <color indexed="81"/>
            <rFont val="宋体"/>
            <family val="3"/>
            <charset val="134"/>
          </rPr>
          <t xml:space="preserve">
(工作电流示值I-工作电流实际值I</t>
        </r>
        <r>
          <rPr>
            <vertAlign val="subscript"/>
            <sz val="9"/>
            <color indexed="81"/>
            <rFont val="宋体"/>
            <family val="3"/>
            <charset val="134"/>
          </rPr>
          <t>0</t>
        </r>
        <r>
          <rPr>
            <sz val="9"/>
            <color indexed="81"/>
            <rFont val="宋体"/>
            <family val="3"/>
            <charset val="134"/>
          </rPr>
          <t>)/工作电流实际值I</t>
        </r>
        <r>
          <rPr>
            <vertAlign val="subscript"/>
            <sz val="9"/>
            <color indexed="81"/>
            <rFont val="宋体"/>
            <family val="3"/>
            <charset val="134"/>
          </rPr>
          <t>0</t>
        </r>
        <r>
          <rPr>
            <sz val="9"/>
            <color indexed="81"/>
            <rFont val="宋体"/>
            <family val="3"/>
            <charset val="134"/>
          </rPr>
          <t>*100%
小数位数比准确度等级多一位</t>
        </r>
      </text>
    </comment>
    <comment ref="M35" authorId="0">
      <text>
        <r>
          <rPr>
            <b/>
            <sz val="9"/>
            <color indexed="81"/>
            <rFont val="宋体"/>
            <family val="3"/>
            <charset val="134"/>
          </rPr>
          <t>good:</t>
        </r>
        <r>
          <rPr>
            <sz val="9"/>
            <color indexed="81"/>
            <rFont val="宋体"/>
            <family val="3"/>
            <charset val="134"/>
          </rPr>
          <t xml:space="preserve">
根据被试设备的准确度等级确定允许限值：</t>
        </r>
        <r>
          <rPr>
            <sz val="9"/>
            <color indexed="81"/>
            <rFont val="宋体"/>
            <family val="3"/>
            <charset val="134"/>
          </rPr>
          <t>0.1对应正负1%，0.2对应正负2%，0.5对应正负5%</t>
        </r>
      </text>
    </comment>
    <comment ref="A43" authorId="0">
      <text>
        <r>
          <rPr>
            <b/>
            <sz val="9"/>
            <color indexed="81"/>
            <rFont val="宋体"/>
            <family val="3"/>
            <charset val="134"/>
          </rPr>
          <t>good:</t>
        </r>
        <r>
          <rPr>
            <sz val="9"/>
            <color indexed="81"/>
            <rFont val="宋体"/>
            <family val="3"/>
            <charset val="134"/>
          </rPr>
          <t xml:space="preserve">
单位下拉选择：MΩ、GΩ</t>
        </r>
      </text>
    </comment>
    <comment ref="F43" authorId="0">
      <text>
        <r>
          <rPr>
            <b/>
            <sz val="9"/>
            <color indexed="81"/>
            <rFont val="宋体"/>
            <family val="3"/>
            <charset val="134"/>
          </rPr>
          <t>good:</t>
        </r>
        <r>
          <rPr>
            <sz val="9"/>
            <color indexed="81"/>
            <rFont val="宋体"/>
            <family val="3"/>
            <charset val="134"/>
          </rPr>
          <t xml:space="preserve">
单位下拉选择：MΩ、GΩ</t>
        </r>
      </text>
    </comment>
    <comment ref="K43" authorId="0">
      <text>
        <r>
          <rPr>
            <b/>
            <sz val="9"/>
            <color indexed="81"/>
            <rFont val="宋体"/>
            <family val="3"/>
            <charset val="134"/>
          </rPr>
          <t>good:</t>
        </r>
        <r>
          <rPr>
            <sz val="9"/>
            <color indexed="81"/>
            <rFont val="宋体"/>
            <family val="3"/>
            <charset val="134"/>
          </rPr>
          <t xml:space="preserve">
固定默认值
单位下拉MΩ、GΩ</t>
        </r>
      </text>
    </comment>
  </commentList>
</comments>
</file>

<file path=xl/comments29.xml><?xml version="1.0" encoding="utf-8"?>
<comments xmlns="http://schemas.openxmlformats.org/spreadsheetml/2006/main">
  <authors>
    <author>good</author>
  </authors>
  <commentList>
    <comment ref="G6" authorId="0">
      <text>
        <r>
          <rPr>
            <b/>
            <sz val="9"/>
            <color indexed="81"/>
            <rFont val="宋体"/>
            <family val="3"/>
            <charset val="134"/>
          </rPr>
          <t>good:</t>
        </r>
        <r>
          <rPr>
            <sz val="9"/>
            <color indexed="81"/>
            <rFont val="宋体"/>
            <family val="3"/>
            <charset val="134"/>
          </rPr>
          <t xml:space="preserve">
单位选择 mΩ Ω kΩ MΩ GΩ</t>
        </r>
      </text>
    </comment>
    <comment ref="D9" authorId="0">
      <text>
        <r>
          <rPr>
            <b/>
            <sz val="9"/>
            <color indexed="81"/>
            <rFont val="宋体"/>
            <family val="3"/>
            <charset val="134"/>
          </rPr>
          <t>good:
根据项目小数位数不同</t>
        </r>
      </text>
    </comment>
    <comment ref="E18" authorId="0">
      <text>
        <r>
          <rPr>
            <b/>
            <sz val="9"/>
            <color indexed="81"/>
            <rFont val="宋体"/>
            <family val="3"/>
            <charset val="134"/>
          </rPr>
          <t>good:</t>
        </r>
        <r>
          <rPr>
            <sz val="9"/>
            <color indexed="81"/>
            <rFont val="宋体"/>
            <family val="3"/>
            <charset val="134"/>
          </rPr>
          <t xml:space="preserve">
根据项目小数位数不同</t>
        </r>
      </text>
    </comment>
    <comment ref="C20" authorId="0">
      <text>
        <r>
          <rPr>
            <b/>
            <sz val="9"/>
            <color indexed="81"/>
            <rFont val="宋体"/>
            <family val="3"/>
            <charset val="134"/>
          </rPr>
          <t>good:</t>
        </r>
        <r>
          <rPr>
            <sz val="9"/>
            <color indexed="81"/>
            <rFont val="宋体"/>
            <family val="3"/>
            <charset val="134"/>
          </rPr>
          <t xml:space="preserve">
根据项目小数位数不同</t>
        </r>
      </text>
    </comment>
    <comment ref="H26" authorId="0">
      <text>
        <r>
          <rPr>
            <b/>
            <sz val="9"/>
            <color indexed="81"/>
            <rFont val="宋体"/>
            <family val="3"/>
            <charset val="134"/>
          </rPr>
          <t>good:</t>
        </r>
        <r>
          <rPr>
            <sz val="9"/>
            <color indexed="81"/>
            <rFont val="宋体"/>
            <family val="3"/>
            <charset val="134"/>
          </rPr>
          <t xml:space="preserve">
A mA</t>
        </r>
      </text>
    </comment>
    <comment ref="E29" authorId="0">
      <text>
        <r>
          <rPr>
            <b/>
            <sz val="9"/>
            <color indexed="81"/>
            <rFont val="宋体"/>
            <family val="3"/>
            <charset val="134"/>
          </rPr>
          <t>good:
根据项目小数位数不同</t>
        </r>
      </text>
    </comment>
    <comment ref="F38" authorId="0">
      <text>
        <r>
          <rPr>
            <b/>
            <sz val="9"/>
            <color indexed="81"/>
            <rFont val="宋体"/>
            <family val="3"/>
            <charset val="134"/>
          </rPr>
          <t>good:</t>
        </r>
        <r>
          <rPr>
            <sz val="9"/>
            <color indexed="81"/>
            <rFont val="宋体"/>
            <family val="3"/>
            <charset val="134"/>
          </rPr>
          <t xml:space="preserve">
根据项目小数位数不同</t>
        </r>
      </text>
    </comment>
    <comment ref="D40" authorId="0">
      <text>
        <r>
          <rPr>
            <b/>
            <sz val="9"/>
            <color indexed="81"/>
            <rFont val="宋体"/>
            <family val="3"/>
            <charset val="134"/>
          </rPr>
          <t>good:</t>
        </r>
        <r>
          <rPr>
            <sz val="9"/>
            <color indexed="81"/>
            <rFont val="宋体"/>
            <family val="3"/>
            <charset val="134"/>
          </rPr>
          <t xml:space="preserve">
根据项目小数位数不同</t>
        </r>
      </text>
    </comment>
  </commentList>
</comments>
</file>

<file path=xl/comments30.xml><?xml version="1.0" encoding="utf-8"?>
<comments xmlns="http://schemas.openxmlformats.org/spreadsheetml/2006/main">
  <authors>
    <author>good</author>
  </authors>
  <commentList>
    <comment ref="E8" authorId="0">
      <text>
        <r>
          <rPr>
            <b/>
            <sz val="9"/>
            <color indexed="81"/>
            <rFont val="宋体"/>
            <family val="3"/>
            <charset val="134"/>
          </rPr>
          <t>good:
根据项目小数位数不同</t>
        </r>
      </text>
    </comment>
    <comment ref="F17" authorId="0">
      <text>
        <r>
          <rPr>
            <b/>
            <sz val="9"/>
            <color indexed="81"/>
            <rFont val="宋体"/>
            <family val="3"/>
            <charset val="134"/>
          </rPr>
          <t>good:</t>
        </r>
        <r>
          <rPr>
            <sz val="9"/>
            <color indexed="81"/>
            <rFont val="宋体"/>
            <family val="3"/>
            <charset val="134"/>
          </rPr>
          <t xml:space="preserve">
根据项目小数位数不同</t>
        </r>
      </text>
    </comment>
    <comment ref="D19" authorId="0">
      <text>
        <r>
          <rPr>
            <b/>
            <sz val="9"/>
            <color indexed="81"/>
            <rFont val="宋体"/>
            <family val="3"/>
            <charset val="134"/>
          </rPr>
          <t>good:</t>
        </r>
        <r>
          <rPr>
            <sz val="9"/>
            <color indexed="81"/>
            <rFont val="宋体"/>
            <family val="3"/>
            <charset val="134"/>
          </rPr>
          <t xml:space="preserve">
根据项目小数位数不同</t>
        </r>
      </text>
    </comment>
    <comment ref="F28" authorId="0">
      <text>
        <r>
          <rPr>
            <b/>
            <sz val="9"/>
            <color indexed="81"/>
            <rFont val="宋体"/>
            <family val="3"/>
            <charset val="134"/>
          </rPr>
          <t>good:
根据项目小数位数不同</t>
        </r>
      </text>
    </comment>
    <comment ref="G37" authorId="0">
      <text>
        <r>
          <rPr>
            <b/>
            <sz val="9"/>
            <color indexed="81"/>
            <rFont val="宋体"/>
            <family val="3"/>
            <charset val="134"/>
          </rPr>
          <t>good:</t>
        </r>
        <r>
          <rPr>
            <sz val="9"/>
            <color indexed="81"/>
            <rFont val="宋体"/>
            <family val="3"/>
            <charset val="134"/>
          </rPr>
          <t xml:space="preserve">
根据项目小数位数不同</t>
        </r>
      </text>
    </comment>
    <comment ref="E39" authorId="0">
      <text>
        <r>
          <rPr>
            <b/>
            <sz val="9"/>
            <color indexed="81"/>
            <rFont val="宋体"/>
            <family val="3"/>
            <charset val="134"/>
          </rPr>
          <t>good:</t>
        </r>
        <r>
          <rPr>
            <sz val="9"/>
            <color indexed="81"/>
            <rFont val="宋体"/>
            <family val="3"/>
            <charset val="134"/>
          </rPr>
          <t xml:space="preserve">
根据项目小数位数不同</t>
        </r>
      </text>
    </comment>
  </commentList>
</comments>
</file>

<file path=xl/comments31.xml><?xml version="1.0" encoding="utf-8"?>
<comments xmlns="http://schemas.openxmlformats.org/spreadsheetml/2006/main">
  <authors>
    <author>good</author>
    <author>cui</author>
  </authors>
  <commentList>
    <comment ref="G12" authorId="0">
      <text>
        <r>
          <rPr>
            <b/>
            <sz val="9"/>
            <color indexed="81"/>
            <rFont val="宋体"/>
            <family val="3"/>
            <charset val="134"/>
          </rPr>
          <t>good:</t>
        </r>
        <r>
          <rPr>
            <sz val="9"/>
            <color indexed="81"/>
            <rFont val="宋体"/>
            <family val="3"/>
            <charset val="134"/>
          </rPr>
          <t xml:space="preserve">
实际显示值</t>
        </r>
      </text>
    </comment>
    <comment ref="H12" authorId="0">
      <text>
        <r>
          <rPr>
            <b/>
            <sz val="9"/>
            <color indexed="81"/>
            <rFont val="宋体"/>
            <family val="3"/>
            <charset val="134"/>
          </rPr>
          <t>good:</t>
        </r>
        <r>
          <rPr>
            <sz val="9"/>
            <color indexed="81"/>
            <rFont val="宋体"/>
            <family val="3"/>
            <charset val="134"/>
          </rPr>
          <t xml:space="preserve">
实际显示值</t>
        </r>
      </text>
    </comment>
    <comment ref="I12" authorId="0">
      <text>
        <r>
          <rPr>
            <b/>
            <sz val="9"/>
            <color indexed="81"/>
            <rFont val="宋体"/>
            <family val="3"/>
            <charset val="134"/>
          </rPr>
          <t>good:</t>
        </r>
        <r>
          <rPr>
            <sz val="9"/>
            <color indexed="81"/>
            <rFont val="宋体"/>
            <family val="3"/>
            <charset val="134"/>
          </rPr>
          <t xml:space="preserve">
（正向+反向）/2
无小数，四舍五入。</t>
        </r>
      </text>
    </comment>
    <comment ref="J12" authorId="0">
      <text>
        <r>
          <rPr>
            <b/>
            <sz val="9"/>
            <color indexed="81"/>
            <rFont val="宋体"/>
            <family val="3"/>
            <charset val="134"/>
          </rPr>
          <t xml:space="preserve">good:
分两种情况：
</t>
        </r>
        <r>
          <rPr>
            <sz val="9"/>
            <color indexed="81"/>
            <rFont val="宋体"/>
            <family val="3"/>
            <charset val="134"/>
          </rPr>
          <t>①当被测电阻标称值：二等标准电阻标称值为1:100时：实际值=被测电阻标称值*10</t>
        </r>
        <r>
          <rPr>
            <vertAlign val="superscript"/>
            <sz val="9"/>
            <color indexed="81"/>
            <rFont val="宋体"/>
            <family val="3"/>
            <charset val="134"/>
          </rPr>
          <t>-6</t>
        </r>
        <r>
          <rPr>
            <sz val="9"/>
            <color indexed="81"/>
            <rFont val="宋体"/>
            <family val="3"/>
            <charset val="134"/>
          </rPr>
          <t>*(测量平均值+δn(×10</t>
        </r>
        <r>
          <rPr>
            <vertAlign val="superscript"/>
            <sz val="9"/>
            <color indexed="81"/>
            <rFont val="宋体"/>
            <family val="3"/>
            <charset val="134"/>
          </rPr>
          <t>-6</t>
        </r>
        <r>
          <rPr>
            <sz val="9"/>
            <color indexed="81"/>
            <rFont val="宋体"/>
            <family val="3"/>
            <charset val="134"/>
          </rPr>
          <t>))+被测电阻标称值。
②1:1时，实际值=被测电阻标称值*10</t>
        </r>
        <r>
          <rPr>
            <vertAlign val="superscript"/>
            <sz val="9"/>
            <color indexed="81"/>
            <rFont val="宋体"/>
            <family val="3"/>
            <charset val="134"/>
          </rPr>
          <t>-6</t>
        </r>
        <r>
          <rPr>
            <sz val="9"/>
            <color indexed="81"/>
            <rFont val="宋体"/>
            <family val="3"/>
            <charset val="134"/>
          </rPr>
          <t xml:space="preserve">*测量平均值+被测电阻标称值。
小数位数：
</t>
        </r>
        <r>
          <rPr>
            <sz val="9"/>
            <color indexed="81"/>
            <rFont val="宋体"/>
            <family val="3"/>
            <charset val="134"/>
          </rPr>
          <t>0.0001为9位</t>
        </r>
        <r>
          <rPr>
            <sz val="9"/>
            <color indexed="81"/>
            <rFont val="宋体"/>
            <family val="3"/>
            <charset val="134"/>
          </rPr>
          <t xml:space="preserve">
0.001就是8位，以此类推减少1位。
四舍五入</t>
        </r>
      </text>
    </comment>
    <comment ref="K12" authorId="0">
      <text>
        <r>
          <rPr>
            <b/>
            <sz val="9"/>
            <color indexed="81"/>
            <rFont val="宋体"/>
            <family val="3"/>
            <charset val="134"/>
          </rPr>
          <t>good:</t>
        </r>
        <r>
          <rPr>
            <sz val="9"/>
            <color indexed="81"/>
            <rFont val="宋体"/>
            <family val="3"/>
            <charset val="134"/>
          </rPr>
          <t xml:space="preserve">
根据被测电阻标称值为固定值。
例如：0.001对应5，以此类推</t>
        </r>
      </text>
    </comment>
    <comment ref="P12" authorId="0">
      <text>
        <r>
          <rPr>
            <b/>
            <sz val="9"/>
            <color indexed="81"/>
            <rFont val="宋体"/>
            <family val="3"/>
            <charset val="134"/>
          </rPr>
          <t>good:</t>
        </r>
        <r>
          <rPr>
            <sz val="9"/>
            <color indexed="81"/>
            <rFont val="宋体"/>
            <family val="3"/>
            <charset val="134"/>
          </rPr>
          <t xml:space="preserve">
被测标称值</t>
        </r>
      </text>
    </comment>
    <comment ref="S12" authorId="0">
      <text>
        <r>
          <rPr>
            <b/>
            <sz val="9"/>
            <color indexed="81"/>
            <rFont val="宋体"/>
            <family val="3"/>
            <charset val="134"/>
          </rPr>
          <t>good:</t>
        </r>
        <r>
          <rPr>
            <sz val="9"/>
            <color indexed="81"/>
            <rFont val="宋体"/>
            <family val="3"/>
            <charset val="134"/>
          </rPr>
          <t xml:space="preserve">
取自原始记录实际值和实际值Rx（Ω）</t>
        </r>
      </text>
    </comment>
    <comment ref="AA12" authorId="0">
      <text>
        <r>
          <rPr>
            <b/>
            <sz val="9"/>
            <color indexed="81"/>
            <rFont val="宋体"/>
            <family val="3"/>
            <charset val="134"/>
          </rPr>
          <t>good:</t>
        </r>
        <r>
          <rPr>
            <sz val="9"/>
            <color indexed="81"/>
            <rFont val="宋体"/>
            <family val="3"/>
            <charset val="134"/>
          </rPr>
          <t xml:space="preserve">
被测标称值</t>
        </r>
      </text>
    </comment>
    <comment ref="AD12" authorId="0">
      <text>
        <r>
          <rPr>
            <b/>
            <sz val="9"/>
            <color indexed="81"/>
            <rFont val="宋体"/>
            <family val="3"/>
            <charset val="134"/>
          </rPr>
          <t>good:</t>
        </r>
        <r>
          <rPr>
            <sz val="9"/>
            <color indexed="81"/>
            <rFont val="宋体"/>
            <family val="3"/>
            <charset val="134"/>
          </rPr>
          <t xml:space="preserve">
取自原始记录实际值和实际值Rx（Ω）</t>
        </r>
      </text>
    </comment>
    <comment ref="A13" authorId="0">
      <text>
        <r>
          <rPr>
            <b/>
            <sz val="9"/>
            <color indexed="81"/>
            <rFont val="宋体"/>
            <family val="3"/>
            <charset val="134"/>
          </rPr>
          <t>good:</t>
        </r>
        <r>
          <rPr>
            <sz val="9"/>
            <color indexed="81"/>
            <rFont val="宋体"/>
            <family val="3"/>
            <charset val="134"/>
          </rPr>
          <t xml:space="preserve">
方案中确定行数。
</t>
        </r>
        <r>
          <rPr>
            <sz val="9"/>
            <color indexed="81"/>
            <rFont val="宋体"/>
            <family val="3"/>
            <charset val="134"/>
          </rPr>
          <t>0.001 、0.01、 0.1、 1、 10、100、1000</t>
        </r>
      </text>
    </comment>
    <comment ref="C13" authorId="0">
      <text>
        <r>
          <rPr>
            <b/>
            <sz val="9"/>
            <color indexed="81"/>
            <rFont val="宋体"/>
            <family val="3"/>
            <charset val="134"/>
          </rPr>
          <t>good:</t>
        </r>
        <r>
          <rPr>
            <sz val="9"/>
            <color indexed="81"/>
            <rFont val="宋体"/>
            <family val="3"/>
            <charset val="134"/>
          </rPr>
          <t xml:space="preserve">
编号前追加型号列，手工输入。</t>
        </r>
      </text>
    </comment>
    <comment ref="D13" authorId="0">
      <text>
        <r>
          <rPr>
            <b/>
            <sz val="9"/>
            <color indexed="81"/>
            <rFont val="宋体"/>
            <family val="3"/>
            <charset val="134"/>
          </rPr>
          <t>good:</t>
        </r>
        <r>
          <rPr>
            <sz val="9"/>
            <color indexed="81"/>
            <rFont val="宋体"/>
            <family val="3"/>
            <charset val="134"/>
          </rPr>
          <t xml:space="preserve">
二级标准电阻标称值，当被测电阻标称值为0.001,0.01,0.1那么等于标称值*100。其他为1:1关系</t>
        </r>
      </text>
    </comment>
    <comment ref="F13" authorId="0">
      <text>
        <r>
          <rPr>
            <b/>
            <sz val="9"/>
            <color indexed="81"/>
            <rFont val="宋体"/>
            <family val="3"/>
            <charset val="134"/>
          </rPr>
          <t>good:</t>
        </r>
        <r>
          <rPr>
            <sz val="9"/>
            <color indexed="81"/>
            <rFont val="宋体"/>
            <family val="3"/>
            <charset val="134"/>
          </rPr>
          <t xml:space="preserve">
标准值</t>
        </r>
      </text>
    </comment>
    <comment ref="F26" authorId="0">
      <text>
        <r>
          <rPr>
            <b/>
            <sz val="9"/>
            <color indexed="81"/>
            <rFont val="宋体"/>
            <family val="3"/>
            <charset val="134"/>
          </rPr>
          <t>good:</t>
        </r>
        <r>
          <rPr>
            <sz val="9"/>
            <color indexed="81"/>
            <rFont val="宋体"/>
            <family val="3"/>
            <charset val="134"/>
          </rPr>
          <t xml:space="preserve">
实际值算法如下：
第一个数：上表实际值第一个数
第二个数：上表实际值第二个数+本表实际值第一个数
其他以此类推。
备注：小数位数8位，四舍五入</t>
        </r>
      </text>
    </comment>
    <comment ref="I26" authorId="0">
      <text>
        <r>
          <rPr>
            <b/>
            <sz val="9"/>
            <color indexed="81"/>
            <rFont val="宋体"/>
            <family val="3"/>
            <charset val="134"/>
          </rPr>
          <t>good:</t>
        </r>
        <r>
          <rPr>
            <sz val="9"/>
            <color indexed="81"/>
            <rFont val="宋体"/>
            <family val="3"/>
            <charset val="134"/>
          </rPr>
          <t xml:space="preserve">
相对误差（序号*0.001-实际值）/实际值*100
备注：三位小数，四舍五入</t>
        </r>
      </text>
    </comment>
    <comment ref="J41" authorId="0">
      <text>
        <r>
          <rPr>
            <b/>
            <sz val="9"/>
            <color indexed="81"/>
            <rFont val="宋体"/>
            <family val="3"/>
            <charset val="134"/>
          </rPr>
          <t>good:</t>
        </r>
        <r>
          <rPr>
            <sz val="9"/>
            <color indexed="81"/>
            <rFont val="宋体"/>
            <family val="3"/>
            <charset val="134"/>
          </rPr>
          <t xml:space="preserve">
参考R</t>
        </r>
        <r>
          <rPr>
            <vertAlign val="subscript"/>
            <sz val="9"/>
            <color indexed="81"/>
            <rFont val="宋体"/>
            <family val="3"/>
            <charset val="134"/>
          </rPr>
          <t>X</t>
        </r>
        <r>
          <rPr>
            <sz val="9"/>
            <color indexed="81"/>
            <rFont val="宋体"/>
            <family val="3"/>
            <charset val="134"/>
          </rPr>
          <t>计算公式</t>
        </r>
      </text>
    </comment>
    <comment ref="K41" authorId="0">
      <text>
        <r>
          <rPr>
            <b/>
            <sz val="9"/>
            <color indexed="81"/>
            <rFont val="宋体"/>
            <family val="3"/>
            <charset val="134"/>
          </rPr>
          <t>good:</t>
        </r>
        <r>
          <rPr>
            <sz val="9"/>
            <color indexed="81"/>
            <rFont val="宋体"/>
            <family val="3"/>
            <charset val="134"/>
          </rPr>
          <t xml:space="preserve">
根据被测电阻标称值为固定值。
例如：0.001对应5，以此类推</t>
        </r>
      </text>
    </comment>
    <comment ref="C42" authorId="0">
      <text>
        <r>
          <rPr>
            <b/>
            <sz val="9"/>
            <color indexed="81"/>
            <rFont val="宋体"/>
            <family val="3"/>
            <charset val="134"/>
          </rPr>
          <t>good:</t>
        </r>
        <r>
          <rPr>
            <sz val="9"/>
            <color indexed="81"/>
            <rFont val="宋体"/>
            <family val="3"/>
            <charset val="134"/>
          </rPr>
          <t xml:space="preserve">
编号前追加型号列，手工输入。</t>
        </r>
      </text>
    </comment>
    <comment ref="D42" authorId="0">
      <text>
        <r>
          <rPr>
            <b/>
            <sz val="9"/>
            <color indexed="81"/>
            <rFont val="宋体"/>
            <family val="3"/>
            <charset val="134"/>
          </rPr>
          <t>good:</t>
        </r>
        <r>
          <rPr>
            <sz val="9"/>
            <color indexed="81"/>
            <rFont val="宋体"/>
            <family val="3"/>
            <charset val="134"/>
          </rPr>
          <t xml:space="preserve">
被测电阻标称值：二等标准电阻为1:1</t>
        </r>
      </text>
    </comment>
    <comment ref="A53" authorId="0">
      <text>
        <r>
          <rPr>
            <b/>
            <sz val="9"/>
            <color indexed="81"/>
            <rFont val="宋体"/>
            <family val="3"/>
            <charset val="134"/>
          </rPr>
          <t>good:</t>
        </r>
        <r>
          <rPr>
            <sz val="9"/>
            <color indexed="81"/>
            <rFont val="宋体"/>
            <family val="3"/>
            <charset val="134"/>
          </rPr>
          <t xml:space="preserve">
固定11个点</t>
        </r>
      </text>
    </comment>
    <comment ref="C54" authorId="0">
      <text>
        <r>
          <rPr>
            <b/>
            <sz val="9"/>
            <color indexed="81"/>
            <rFont val="宋体"/>
            <family val="3"/>
            <charset val="134"/>
          </rPr>
          <t>good:</t>
        </r>
        <r>
          <rPr>
            <sz val="9"/>
            <color indexed="81"/>
            <rFont val="宋体"/>
            <family val="3"/>
            <charset val="134"/>
          </rPr>
          <t xml:space="preserve">
标准值</t>
        </r>
      </text>
    </comment>
    <comment ref="D54" authorId="0">
      <text>
        <r>
          <rPr>
            <b/>
            <sz val="9"/>
            <color indexed="81"/>
            <rFont val="宋体"/>
            <family val="3"/>
            <charset val="134"/>
          </rPr>
          <t>good:</t>
        </r>
        <r>
          <rPr>
            <sz val="9"/>
            <color indexed="81"/>
            <rFont val="宋体"/>
            <family val="3"/>
            <charset val="134"/>
          </rPr>
          <t xml:space="preserve">
等于标准值*序号+标准值*10*</t>
        </r>
        <r>
          <rPr>
            <vertAlign val="superscript"/>
            <sz val="9"/>
            <color indexed="81"/>
            <rFont val="宋体"/>
            <family val="3"/>
            <charset val="134"/>
          </rPr>
          <t>-5</t>
        </r>
        <r>
          <rPr>
            <sz val="9"/>
            <color indexed="81"/>
            <rFont val="宋体"/>
            <family val="3"/>
            <charset val="134"/>
          </rPr>
          <t>*相对修正值
其他以此类推。
备注：*10为四位，*1为五位，*0.1为六位</t>
        </r>
      </text>
    </comment>
    <comment ref="E54" authorId="0">
      <text>
        <r>
          <rPr>
            <b/>
            <sz val="9"/>
            <color indexed="81"/>
            <rFont val="宋体"/>
            <family val="3"/>
            <charset val="134"/>
          </rPr>
          <t>good:</t>
        </r>
        <r>
          <rPr>
            <sz val="9"/>
            <color indexed="81"/>
            <rFont val="宋体"/>
            <family val="3"/>
            <charset val="134"/>
          </rPr>
          <t xml:space="preserve">
相对误差：（10*序号-实际值）/实际值*100%
备注：比允许误差多1位，四舍五入。
其他以此类推。</t>
        </r>
      </text>
    </comment>
    <comment ref="A68" authorId="0">
      <text>
        <r>
          <rPr>
            <b/>
            <sz val="9"/>
            <color indexed="81"/>
            <rFont val="宋体"/>
            <family val="3"/>
            <charset val="134"/>
          </rPr>
          <t>good:</t>
        </r>
        <r>
          <rPr>
            <sz val="9"/>
            <color indexed="81"/>
            <rFont val="宋体"/>
            <family val="3"/>
            <charset val="134"/>
          </rPr>
          <t xml:space="preserve">
固定的，手工输入。</t>
        </r>
      </text>
    </comment>
    <comment ref="I68" authorId="0">
      <text>
        <r>
          <rPr>
            <b/>
            <sz val="9"/>
            <color indexed="81"/>
            <rFont val="宋体"/>
            <family val="3"/>
            <charset val="134"/>
          </rPr>
          <t>good:</t>
        </r>
        <r>
          <rPr>
            <sz val="9"/>
            <color indexed="81"/>
            <rFont val="宋体"/>
            <family val="3"/>
            <charset val="134"/>
          </rPr>
          <t xml:space="preserve">
实际值算法参考1000欧以下</t>
        </r>
      </text>
    </comment>
    <comment ref="K68" authorId="0">
      <text>
        <r>
          <rPr>
            <b/>
            <sz val="9"/>
            <color indexed="81"/>
            <rFont val="宋体"/>
            <family val="3"/>
            <charset val="134"/>
          </rPr>
          <t>good:</t>
        </r>
        <r>
          <rPr>
            <sz val="9"/>
            <color indexed="81"/>
            <rFont val="宋体"/>
            <family val="3"/>
            <charset val="134"/>
          </rPr>
          <t xml:space="preserve">
允许误差、检定电流是固定的。</t>
        </r>
      </text>
    </comment>
    <comment ref="L68" authorId="0">
      <text>
        <r>
          <rPr>
            <b/>
            <sz val="9"/>
            <color indexed="81"/>
            <rFont val="宋体"/>
            <family val="3"/>
            <charset val="134"/>
          </rPr>
          <t>good:</t>
        </r>
        <r>
          <rPr>
            <sz val="9"/>
            <color indexed="81"/>
            <rFont val="宋体"/>
            <family val="3"/>
            <charset val="134"/>
          </rPr>
          <t xml:space="preserve">
根据被测电阻标称值固定。</t>
        </r>
      </text>
    </comment>
    <comment ref="C69" authorId="0">
      <text>
        <r>
          <rPr>
            <b/>
            <sz val="9"/>
            <color indexed="81"/>
            <rFont val="宋体"/>
            <family val="3"/>
            <charset val="134"/>
          </rPr>
          <t>good:</t>
        </r>
        <r>
          <rPr>
            <sz val="9"/>
            <color indexed="81"/>
            <rFont val="宋体"/>
            <family val="3"/>
            <charset val="134"/>
          </rPr>
          <t xml:space="preserve">
标称值与被测电阻值对应关系参考1000欧以下</t>
        </r>
      </text>
    </comment>
    <comment ref="P69" authorId="0">
      <text>
        <r>
          <rPr>
            <b/>
            <sz val="9"/>
            <color indexed="81"/>
            <rFont val="宋体"/>
            <family val="3"/>
            <charset val="134"/>
          </rPr>
          <t>good:</t>
        </r>
        <r>
          <rPr>
            <sz val="9"/>
            <color indexed="81"/>
            <rFont val="宋体"/>
            <family val="3"/>
            <charset val="134"/>
          </rPr>
          <t xml:space="preserve">
被测电阻-标称值</t>
        </r>
      </text>
    </comment>
    <comment ref="AD69" authorId="0">
      <text>
        <r>
          <rPr>
            <b/>
            <sz val="9"/>
            <color indexed="81"/>
            <rFont val="宋体"/>
            <family val="3"/>
            <charset val="134"/>
          </rPr>
          <t>good:</t>
        </r>
        <r>
          <rPr>
            <sz val="9"/>
            <color indexed="81"/>
            <rFont val="宋体"/>
            <family val="3"/>
            <charset val="134"/>
          </rPr>
          <t xml:space="preserve">
被测电阻-标称值</t>
        </r>
      </text>
    </comment>
    <comment ref="K88" authorId="0">
      <text>
        <r>
          <rPr>
            <b/>
            <sz val="9"/>
            <color indexed="81"/>
            <rFont val="宋体"/>
            <family val="3"/>
            <charset val="134"/>
          </rPr>
          <t>good:</t>
        </r>
        <r>
          <rPr>
            <sz val="9"/>
            <color indexed="81"/>
            <rFont val="宋体"/>
            <family val="3"/>
            <charset val="134"/>
          </rPr>
          <t xml:space="preserve">
（电压表读数最大值-最小值）/平均值*100
备注：小数位数四位，四舍五入
</t>
        </r>
      </text>
    </comment>
    <comment ref="L130" authorId="1">
      <text>
        <r>
          <rPr>
            <b/>
            <sz val="9"/>
            <color indexed="81"/>
            <rFont val="宋体"/>
            <family val="3"/>
            <charset val="134"/>
          </rPr>
          <t>cui:</t>
        </r>
        <r>
          <rPr>
            <sz val="9"/>
            <color indexed="81"/>
            <rFont val="宋体"/>
            <family val="3"/>
            <charset val="134"/>
          </rPr>
          <t xml:space="preserve">
标称值 是原始记录中的被测电阻中的标称值</t>
        </r>
      </text>
    </comment>
    <comment ref="S130" authorId="1">
      <text>
        <r>
          <rPr>
            <b/>
            <sz val="9"/>
            <color indexed="81"/>
            <rFont val="宋体"/>
            <family val="3"/>
            <charset val="134"/>
          </rPr>
          <t>cui:</t>
        </r>
        <r>
          <rPr>
            <sz val="9"/>
            <color indexed="81"/>
            <rFont val="宋体"/>
            <family val="3"/>
            <charset val="134"/>
          </rPr>
          <t xml:space="preserve">
标称值 是原始记录中的被测电阻中的标称值</t>
        </r>
      </text>
    </comment>
  </commentList>
</comments>
</file>

<file path=xl/comments32.xml><?xml version="1.0" encoding="utf-8"?>
<comments xmlns="http://schemas.openxmlformats.org/spreadsheetml/2006/main">
  <authors>
    <author>good</author>
  </authors>
  <commentList>
    <comment ref="B7" authorId="0">
      <text>
        <r>
          <rPr>
            <b/>
            <sz val="9"/>
            <color indexed="81"/>
            <rFont val="宋体"/>
            <family val="3"/>
            <charset val="134"/>
          </rPr>
          <t>good:
根据项目小数位数不同</t>
        </r>
      </text>
    </comment>
    <comment ref="D18" authorId="0">
      <text>
        <r>
          <rPr>
            <b/>
            <sz val="9"/>
            <color indexed="81"/>
            <rFont val="宋体"/>
            <family val="3"/>
            <charset val="134"/>
          </rPr>
          <t>good:</t>
        </r>
        <r>
          <rPr>
            <sz val="9"/>
            <color indexed="81"/>
            <rFont val="宋体"/>
            <family val="3"/>
            <charset val="134"/>
          </rPr>
          <t xml:space="preserve">
根据项目小数位数不同</t>
        </r>
      </text>
    </comment>
    <comment ref="B20" authorId="0">
      <text>
        <r>
          <rPr>
            <b/>
            <sz val="9"/>
            <color indexed="81"/>
            <rFont val="宋体"/>
            <family val="3"/>
            <charset val="134"/>
          </rPr>
          <t>good:</t>
        </r>
        <r>
          <rPr>
            <sz val="9"/>
            <color indexed="81"/>
            <rFont val="宋体"/>
            <family val="3"/>
            <charset val="134"/>
          </rPr>
          <t xml:space="preserve">
根据项目小数位数不同</t>
        </r>
      </text>
    </comment>
    <comment ref="B28" authorId="0">
      <text>
        <r>
          <rPr>
            <b/>
            <sz val="9"/>
            <color indexed="81"/>
            <rFont val="宋体"/>
            <family val="3"/>
            <charset val="134"/>
          </rPr>
          <t>good:
根据项目小数位数不同</t>
        </r>
      </text>
    </comment>
    <comment ref="D37" authorId="0">
      <text>
        <r>
          <rPr>
            <b/>
            <sz val="9"/>
            <color indexed="81"/>
            <rFont val="宋体"/>
            <family val="3"/>
            <charset val="134"/>
          </rPr>
          <t>good:</t>
        </r>
        <r>
          <rPr>
            <sz val="9"/>
            <color indexed="81"/>
            <rFont val="宋体"/>
            <family val="3"/>
            <charset val="134"/>
          </rPr>
          <t xml:space="preserve">
根据项目小数位数不同</t>
        </r>
      </text>
    </comment>
    <comment ref="B39" authorId="0">
      <text>
        <r>
          <rPr>
            <b/>
            <sz val="9"/>
            <color indexed="81"/>
            <rFont val="宋体"/>
            <family val="3"/>
            <charset val="134"/>
          </rPr>
          <t>good:</t>
        </r>
        <r>
          <rPr>
            <sz val="9"/>
            <color indexed="81"/>
            <rFont val="宋体"/>
            <family val="3"/>
            <charset val="134"/>
          </rPr>
          <t xml:space="preserve">
根据项目小数位数不同</t>
        </r>
      </text>
    </comment>
    <comment ref="B49" authorId="0">
      <text>
        <r>
          <rPr>
            <b/>
            <sz val="9"/>
            <color indexed="81"/>
            <rFont val="宋体"/>
            <family val="3"/>
            <charset val="134"/>
          </rPr>
          <t>good:
根据项目小数位数不同</t>
        </r>
      </text>
    </comment>
    <comment ref="C60" authorId="0">
      <text>
        <r>
          <rPr>
            <b/>
            <sz val="9"/>
            <color indexed="81"/>
            <rFont val="宋体"/>
            <family val="3"/>
            <charset val="134"/>
          </rPr>
          <t>good:</t>
        </r>
        <r>
          <rPr>
            <sz val="9"/>
            <color indexed="81"/>
            <rFont val="宋体"/>
            <family val="3"/>
            <charset val="134"/>
          </rPr>
          <t xml:space="preserve">
根据项目小数位数不同</t>
        </r>
      </text>
    </comment>
    <comment ref="A62" authorId="0">
      <text>
        <r>
          <rPr>
            <b/>
            <sz val="9"/>
            <color indexed="81"/>
            <rFont val="宋体"/>
            <family val="3"/>
            <charset val="134"/>
          </rPr>
          <t>good:</t>
        </r>
        <r>
          <rPr>
            <sz val="9"/>
            <color indexed="81"/>
            <rFont val="宋体"/>
            <family val="3"/>
            <charset val="134"/>
          </rPr>
          <t xml:space="preserve">
根据项目小数位数不同</t>
        </r>
      </text>
    </comment>
  </commentList>
</comments>
</file>

<file path=xl/comments33.xml><?xml version="1.0" encoding="utf-8"?>
<comments xmlns="http://schemas.openxmlformats.org/spreadsheetml/2006/main">
  <authors>
    <author>good</author>
    <author>stone</author>
  </authors>
  <commentList>
    <comment ref="A16" authorId="0">
      <text>
        <r>
          <rPr>
            <b/>
            <sz val="9"/>
            <color indexed="81"/>
            <rFont val="宋体"/>
            <family val="3"/>
            <charset val="134"/>
          </rPr>
          <t>good:
方案固定为10个</t>
        </r>
      </text>
    </comment>
    <comment ref="D17" authorId="0">
      <text>
        <r>
          <rPr>
            <b/>
            <sz val="9"/>
            <color indexed="81"/>
            <rFont val="宋体"/>
            <family val="3"/>
            <charset val="134"/>
          </rPr>
          <t>good:</t>
        </r>
        <r>
          <rPr>
            <sz val="9"/>
            <color indexed="81"/>
            <rFont val="宋体"/>
            <family val="3"/>
            <charset val="134"/>
          </rPr>
          <t xml:space="preserve">
相对误差=（标称值-实际值）/实际值*100%
小数位数：比允许误差多一位。四舍五入。其他以此类推</t>
        </r>
      </text>
    </comment>
    <comment ref="A27" authorId="0">
      <text>
        <r>
          <rPr>
            <b/>
            <sz val="9"/>
            <color indexed="81"/>
            <rFont val="宋体"/>
            <family val="3"/>
            <charset val="134"/>
          </rPr>
          <t>good:</t>
        </r>
        <r>
          <rPr>
            <sz val="9"/>
            <color indexed="81"/>
            <rFont val="宋体"/>
            <family val="3"/>
            <charset val="134"/>
          </rPr>
          <t xml:space="preserve">
正负2，正负0.5，正负0.2，正负0.1</t>
        </r>
      </text>
    </comment>
    <comment ref="A28" authorId="0">
      <text>
        <r>
          <rPr>
            <b/>
            <sz val="9"/>
            <color indexed="81"/>
            <rFont val="宋体"/>
            <family val="3"/>
            <charset val="134"/>
          </rPr>
          <t>good:</t>
        </r>
        <r>
          <rPr>
            <sz val="9"/>
            <color indexed="81"/>
            <rFont val="宋体"/>
            <family val="3"/>
            <charset val="134"/>
          </rPr>
          <t xml:space="preserve">
方案确定10个</t>
        </r>
      </text>
    </comment>
    <comment ref="A43" authorId="0">
      <text>
        <r>
          <rPr>
            <b/>
            <sz val="9"/>
            <color indexed="81"/>
            <rFont val="宋体"/>
            <family val="3"/>
            <charset val="134"/>
          </rPr>
          <t>good:</t>
        </r>
        <r>
          <rPr>
            <sz val="9"/>
            <color indexed="81"/>
            <rFont val="宋体"/>
            <family val="3"/>
            <charset val="134"/>
          </rPr>
          <t xml:space="preserve">
方案中固定不变的。</t>
        </r>
      </text>
    </comment>
    <comment ref="C43" authorId="0">
      <text>
        <r>
          <rPr>
            <b/>
            <sz val="9"/>
            <color indexed="81"/>
            <rFont val="宋体"/>
            <family val="3"/>
            <charset val="134"/>
          </rPr>
          <t>good:</t>
        </r>
        <r>
          <rPr>
            <sz val="9"/>
            <color indexed="81"/>
            <rFont val="宋体"/>
            <family val="3"/>
            <charset val="134"/>
          </rPr>
          <t xml:space="preserve">
数据录入-选择
范围：×</t>
        </r>
        <r>
          <rPr>
            <sz val="9"/>
            <color indexed="81"/>
            <rFont val="宋体"/>
            <family val="3"/>
            <charset val="134"/>
          </rPr>
          <t>1000 ×100 ×10 ×1 ×0.1 ×0.01 ×0.001</t>
        </r>
      </text>
    </comment>
    <comment ref="D43" authorId="0">
      <text>
        <r>
          <rPr>
            <b/>
            <sz val="9"/>
            <color indexed="81"/>
            <rFont val="宋体"/>
            <family val="3"/>
            <charset val="134"/>
          </rPr>
          <t>good:</t>
        </r>
        <r>
          <rPr>
            <sz val="9"/>
            <color indexed="81"/>
            <rFont val="宋体"/>
            <family val="3"/>
            <charset val="134"/>
          </rPr>
          <t xml:space="preserve">
数据录入环节-选择</t>
        </r>
      </text>
    </comment>
    <comment ref="H43" authorId="0">
      <text>
        <r>
          <rPr>
            <b/>
            <sz val="9"/>
            <color indexed="81"/>
            <rFont val="宋体"/>
            <family val="3"/>
            <charset val="134"/>
          </rPr>
          <t>good:</t>
        </r>
        <r>
          <rPr>
            <sz val="9"/>
            <color indexed="81"/>
            <rFont val="宋体"/>
            <family val="3"/>
            <charset val="134"/>
          </rPr>
          <t xml:space="preserve">
量程*侧盘点*测量点
备注：小数位数，与实际值相同。四舍五入</t>
        </r>
      </text>
    </comment>
    <comment ref="I43" authorId="0">
      <text>
        <r>
          <rPr>
            <b/>
            <sz val="9"/>
            <color indexed="81"/>
            <rFont val="宋体"/>
            <family val="3"/>
            <charset val="134"/>
          </rPr>
          <t>good:</t>
        </r>
        <r>
          <rPr>
            <sz val="9"/>
            <color indexed="81"/>
            <rFont val="宋体"/>
            <family val="3"/>
            <charset val="134"/>
          </rPr>
          <t xml:space="preserve">
相对误差=（标称值-实际值）/实际值*100%
备注：小数位数对允许误差多一位</t>
        </r>
      </text>
    </comment>
    <comment ref="J43" authorId="0">
      <text>
        <r>
          <rPr>
            <b/>
            <sz val="9"/>
            <color indexed="81"/>
            <rFont val="宋体"/>
            <family val="3"/>
            <charset val="134"/>
          </rPr>
          <t>good:</t>
        </r>
        <r>
          <rPr>
            <sz val="9"/>
            <color indexed="81"/>
            <rFont val="宋体"/>
            <family val="3"/>
            <charset val="134"/>
          </rPr>
          <t xml:space="preserve">
下拉列表：正负2，正负0.5，正负0.2，正负0.1</t>
        </r>
      </text>
    </comment>
    <comment ref="A54" authorId="0">
      <text>
        <r>
          <rPr>
            <b/>
            <sz val="9"/>
            <color indexed="81"/>
            <rFont val="宋体"/>
            <family val="3"/>
            <charset val="134"/>
          </rPr>
          <t>good:</t>
        </r>
        <r>
          <rPr>
            <sz val="9"/>
            <color indexed="81"/>
            <rFont val="宋体"/>
            <family val="3"/>
            <charset val="134"/>
          </rPr>
          <t xml:space="preserve">
方案中固定，只测试10个。</t>
        </r>
      </text>
    </comment>
    <comment ref="C54" authorId="0">
      <text>
        <r>
          <rPr>
            <b/>
            <sz val="9"/>
            <color indexed="81"/>
            <rFont val="宋体"/>
            <family val="3"/>
            <charset val="134"/>
          </rPr>
          <t>good:</t>
        </r>
        <r>
          <rPr>
            <sz val="9"/>
            <color indexed="81"/>
            <rFont val="宋体"/>
            <family val="3"/>
            <charset val="134"/>
          </rPr>
          <t xml:space="preserve">
=测量盘示值*100
备注：小数位数</t>
        </r>
        <r>
          <rPr>
            <sz val="9"/>
            <color indexed="81"/>
            <rFont val="宋体"/>
            <family val="3"/>
            <charset val="134"/>
          </rPr>
          <t>5位，四舍五入
实际值与标称值小数位数相同</t>
        </r>
      </text>
    </comment>
    <comment ref="D54" authorId="0">
      <text>
        <r>
          <rPr>
            <b/>
            <sz val="9"/>
            <color indexed="81"/>
            <rFont val="宋体"/>
            <family val="3"/>
            <charset val="134"/>
          </rPr>
          <t>good:</t>
        </r>
        <r>
          <rPr>
            <sz val="9"/>
            <color indexed="81"/>
            <rFont val="宋体"/>
            <family val="3"/>
            <charset val="134"/>
          </rPr>
          <t xml:space="preserve">
</t>
        </r>
      </text>
    </comment>
    <comment ref="E54" authorId="0">
      <text>
        <r>
          <rPr>
            <b/>
            <sz val="9"/>
            <color indexed="81"/>
            <rFont val="宋体"/>
            <family val="3"/>
            <charset val="134"/>
          </rPr>
          <t>good:</t>
        </r>
        <r>
          <rPr>
            <sz val="9"/>
            <color indexed="81"/>
            <rFont val="宋体"/>
            <family val="3"/>
            <charset val="134"/>
          </rPr>
          <t xml:space="preserve">
相对误差=（实际值-标称值）/标称值*100%
备注：小数位数比允许误差多1位 四舍五入</t>
        </r>
      </text>
    </comment>
    <comment ref="F54" authorId="0">
      <text>
        <r>
          <rPr>
            <b/>
            <sz val="9"/>
            <color indexed="81"/>
            <rFont val="宋体"/>
            <family val="3"/>
            <charset val="134"/>
          </rPr>
          <t>good:</t>
        </r>
        <r>
          <rPr>
            <sz val="9"/>
            <color indexed="81"/>
            <rFont val="宋体"/>
            <family val="3"/>
            <charset val="134"/>
          </rPr>
          <t xml:space="preserve">
下拉列表：正负2，正负0.5，正负0.2，正负0.1</t>
        </r>
      </text>
    </comment>
    <comment ref="B66" authorId="1">
      <text>
        <r>
          <rPr>
            <b/>
            <sz val="9"/>
            <color indexed="81"/>
            <rFont val="宋体"/>
            <family val="3"/>
            <charset val="134"/>
          </rPr>
          <t>stone:</t>
        </r>
        <r>
          <rPr>
            <sz val="9"/>
            <color indexed="81"/>
            <rFont val="宋体"/>
            <family val="3"/>
            <charset val="134"/>
          </rPr>
          <t xml:space="preserve">
1、提供两个文本框输入
2、+号固定</t>
        </r>
      </text>
    </comment>
    <comment ref="C66" authorId="0">
      <text>
        <r>
          <rPr>
            <b/>
            <sz val="9"/>
            <color indexed="81"/>
            <rFont val="宋体"/>
            <family val="3"/>
            <charset val="134"/>
          </rPr>
          <t>good:</t>
        </r>
        <r>
          <rPr>
            <sz val="9"/>
            <color indexed="81"/>
            <rFont val="宋体"/>
            <family val="3"/>
            <charset val="134"/>
          </rPr>
          <t xml:space="preserve">
=测量盘示值*100</t>
        </r>
      </text>
    </comment>
    <comment ref="A79" authorId="0">
      <text>
        <r>
          <rPr>
            <b/>
            <sz val="9"/>
            <color indexed="81"/>
            <rFont val="宋体"/>
            <family val="3"/>
            <charset val="134"/>
          </rPr>
          <t>good:</t>
        </r>
        <r>
          <rPr>
            <sz val="9"/>
            <color indexed="81"/>
            <rFont val="宋体"/>
            <family val="3"/>
            <charset val="134"/>
          </rPr>
          <t xml:space="preserve">
方案中固定不变的。</t>
        </r>
      </text>
    </comment>
    <comment ref="B79" authorId="0">
      <text>
        <r>
          <rPr>
            <b/>
            <sz val="9"/>
            <color indexed="81"/>
            <rFont val="宋体"/>
            <family val="3"/>
            <charset val="134"/>
          </rPr>
          <t>good:</t>
        </r>
        <r>
          <rPr>
            <sz val="9"/>
            <color indexed="81"/>
            <rFont val="宋体"/>
            <family val="3"/>
            <charset val="134"/>
          </rPr>
          <t xml:space="preserve">
</t>
        </r>
        <r>
          <rPr>
            <sz val="9"/>
            <color indexed="81"/>
            <rFont val="宋体"/>
            <family val="3"/>
            <charset val="134"/>
          </rPr>
          <t>固定</t>
        </r>
      </text>
    </comment>
    <comment ref="C79" authorId="0">
      <text>
        <r>
          <rPr>
            <b/>
            <sz val="9"/>
            <color indexed="81"/>
            <rFont val="宋体"/>
            <family val="3"/>
            <charset val="134"/>
          </rPr>
          <t>good:</t>
        </r>
        <r>
          <rPr>
            <sz val="9"/>
            <color indexed="81"/>
            <rFont val="宋体"/>
            <family val="3"/>
            <charset val="134"/>
          </rPr>
          <t xml:space="preserve">
标称值=量程*测量盘示值
备注：标称值等于</t>
        </r>
        <r>
          <rPr>
            <sz val="9"/>
            <color indexed="81"/>
            <rFont val="宋体"/>
            <family val="3"/>
            <charset val="134"/>
          </rPr>
          <t>1就是5位，标称值0.1就是5位，0.01就是6位，0.001就是7位</t>
        </r>
      </text>
    </comment>
    <comment ref="E79" authorId="0">
      <text>
        <r>
          <rPr>
            <b/>
            <sz val="9"/>
            <color indexed="81"/>
            <rFont val="宋体"/>
            <family val="3"/>
            <charset val="134"/>
          </rPr>
          <t>good:</t>
        </r>
        <r>
          <rPr>
            <sz val="9"/>
            <color indexed="81"/>
            <rFont val="宋体"/>
            <family val="3"/>
            <charset val="134"/>
          </rPr>
          <t xml:space="preserve">
（实际值-标称值）/标称值*100%
备注：比允许误差多1位小数</t>
        </r>
      </text>
    </comment>
    <comment ref="F79" authorId="0">
      <text>
        <r>
          <rPr>
            <b/>
            <sz val="9"/>
            <color indexed="81"/>
            <rFont val="宋体"/>
            <family val="3"/>
            <charset val="134"/>
          </rPr>
          <t>good:</t>
        </r>
        <r>
          <rPr>
            <sz val="9"/>
            <color indexed="81"/>
            <rFont val="宋体"/>
            <family val="3"/>
            <charset val="134"/>
          </rPr>
          <t xml:space="preserve">
下拉列表：正负2，正负0.5，正负0.2，正负0.1</t>
        </r>
      </text>
    </comment>
    <comment ref="C86" authorId="0">
      <text>
        <r>
          <rPr>
            <b/>
            <sz val="9"/>
            <color indexed="81"/>
            <rFont val="宋体"/>
            <family val="3"/>
            <charset val="134"/>
          </rPr>
          <t>good:</t>
        </r>
        <r>
          <rPr>
            <sz val="9"/>
            <color indexed="81"/>
            <rFont val="宋体"/>
            <family val="3"/>
            <charset val="134"/>
          </rPr>
          <t xml:space="preserve">
单位范围：mΩ Ω kΩ</t>
        </r>
      </text>
    </comment>
    <comment ref="E86" authorId="0">
      <text>
        <r>
          <rPr>
            <b/>
            <sz val="9"/>
            <color indexed="81"/>
            <rFont val="宋体"/>
            <family val="3"/>
            <charset val="134"/>
          </rPr>
          <t>good:</t>
        </r>
        <r>
          <rPr>
            <sz val="9"/>
            <color indexed="81"/>
            <rFont val="宋体"/>
            <family val="3"/>
            <charset val="134"/>
          </rPr>
          <t xml:space="preserve">
单位选择同标准值</t>
        </r>
      </text>
    </comment>
    <comment ref="G86" authorId="0">
      <text>
        <r>
          <rPr>
            <b/>
            <sz val="9"/>
            <color indexed="81"/>
            <rFont val="宋体"/>
            <family val="3"/>
            <charset val="134"/>
          </rPr>
          <t>good:</t>
        </r>
        <r>
          <rPr>
            <sz val="9"/>
            <color indexed="81"/>
            <rFont val="宋体"/>
            <family val="3"/>
            <charset val="134"/>
          </rPr>
          <t xml:space="preserve">
（显示值-标准值）/标准值*100%
备注：比允许误差多1位
</t>
        </r>
      </text>
    </comment>
    <comment ref="H86" authorId="0">
      <text>
        <r>
          <rPr>
            <b/>
            <sz val="9"/>
            <color indexed="81"/>
            <rFont val="宋体"/>
            <family val="3"/>
            <charset val="134"/>
          </rPr>
          <t>good:</t>
        </r>
        <r>
          <rPr>
            <sz val="9"/>
            <color indexed="81"/>
            <rFont val="宋体"/>
            <family val="3"/>
            <charset val="134"/>
          </rPr>
          <t xml:space="preserve">
设备的准确度等级的正负值</t>
        </r>
      </text>
    </comment>
    <comment ref="X86" authorId="0">
      <text>
        <r>
          <rPr>
            <b/>
            <sz val="9"/>
            <color indexed="81"/>
            <rFont val="宋体"/>
            <family val="3"/>
            <charset val="134"/>
          </rPr>
          <t>good:</t>
        </r>
        <r>
          <rPr>
            <sz val="9"/>
            <color indexed="81"/>
            <rFont val="宋体"/>
            <family val="3"/>
            <charset val="134"/>
          </rPr>
          <t xml:space="preserve">
单位范围：mΩ Ω kΩ</t>
        </r>
      </text>
    </comment>
    <comment ref="Z86" authorId="0">
      <text>
        <r>
          <rPr>
            <b/>
            <sz val="9"/>
            <color indexed="81"/>
            <rFont val="宋体"/>
            <family val="3"/>
            <charset val="134"/>
          </rPr>
          <t>good:</t>
        </r>
        <r>
          <rPr>
            <sz val="9"/>
            <color indexed="81"/>
            <rFont val="宋体"/>
            <family val="3"/>
            <charset val="134"/>
          </rPr>
          <t xml:space="preserve">
单位选择同标准值</t>
        </r>
      </text>
    </comment>
    <comment ref="AB86" authorId="0">
      <text>
        <r>
          <rPr>
            <b/>
            <sz val="9"/>
            <color indexed="81"/>
            <rFont val="宋体"/>
            <family val="3"/>
            <charset val="134"/>
          </rPr>
          <t>good:</t>
        </r>
        <r>
          <rPr>
            <sz val="9"/>
            <color indexed="81"/>
            <rFont val="宋体"/>
            <family val="3"/>
            <charset val="134"/>
          </rPr>
          <t xml:space="preserve">
（显示值-标准值）/标准值*100%
备注：比允许误差多1位
</t>
        </r>
      </text>
    </comment>
    <comment ref="AC86" authorId="0">
      <text>
        <r>
          <rPr>
            <b/>
            <sz val="9"/>
            <color indexed="81"/>
            <rFont val="宋体"/>
            <family val="3"/>
            <charset val="134"/>
          </rPr>
          <t>good:</t>
        </r>
        <r>
          <rPr>
            <sz val="9"/>
            <color indexed="81"/>
            <rFont val="宋体"/>
            <family val="3"/>
            <charset val="134"/>
          </rPr>
          <t xml:space="preserve">
设备的准确度等级的正负值</t>
        </r>
      </text>
    </comment>
  </commentList>
</comments>
</file>

<file path=xl/comments34.xml><?xml version="1.0" encoding="utf-8"?>
<comments xmlns="http://schemas.openxmlformats.org/spreadsheetml/2006/main">
  <authors>
    <author>good</author>
  </authors>
  <commentList>
    <comment ref="D2" authorId="0">
      <text>
        <r>
          <rPr>
            <b/>
            <sz val="9"/>
            <color indexed="81"/>
            <rFont val="宋体"/>
            <family val="3"/>
            <charset val="134"/>
          </rPr>
          <t>good:</t>
        </r>
        <r>
          <rPr>
            <sz val="9"/>
            <color indexed="81"/>
            <rFont val="宋体"/>
            <family val="3"/>
            <charset val="134"/>
          </rPr>
          <t xml:space="preserve">
同时显示即可</t>
        </r>
      </text>
    </comment>
    <comment ref="C8" authorId="0">
      <text>
        <r>
          <rPr>
            <b/>
            <sz val="9"/>
            <color indexed="81"/>
            <rFont val="宋体"/>
            <family val="3"/>
            <charset val="134"/>
          </rPr>
          <t>good:
根据项目小数位数不同</t>
        </r>
      </text>
    </comment>
    <comment ref="D17" authorId="0">
      <text>
        <r>
          <rPr>
            <b/>
            <sz val="9"/>
            <color indexed="81"/>
            <rFont val="宋体"/>
            <family val="3"/>
            <charset val="134"/>
          </rPr>
          <t>good:</t>
        </r>
        <r>
          <rPr>
            <sz val="9"/>
            <color indexed="81"/>
            <rFont val="宋体"/>
            <family val="3"/>
            <charset val="134"/>
          </rPr>
          <t xml:space="preserve">
根据项目小数位数不同</t>
        </r>
      </text>
    </comment>
    <comment ref="B19" authorId="0">
      <text>
        <r>
          <rPr>
            <b/>
            <sz val="9"/>
            <color indexed="81"/>
            <rFont val="宋体"/>
            <family val="3"/>
            <charset val="134"/>
          </rPr>
          <t>good:</t>
        </r>
        <r>
          <rPr>
            <sz val="9"/>
            <color indexed="81"/>
            <rFont val="宋体"/>
            <family val="3"/>
            <charset val="134"/>
          </rPr>
          <t xml:space="preserve">
根据项目小数位数不同</t>
        </r>
      </text>
    </comment>
  </commentList>
</comments>
</file>

<file path=xl/comments35.xml><?xml version="1.0" encoding="utf-8"?>
<comments xmlns="http://schemas.openxmlformats.org/spreadsheetml/2006/main">
  <authors>
    <author>good</author>
    <author>stone</author>
  </authors>
  <commentList>
    <comment ref="A13" authorId="0">
      <text>
        <r>
          <rPr>
            <b/>
            <sz val="9"/>
            <color indexed="81"/>
            <rFont val="宋体"/>
            <family val="3"/>
            <charset val="134"/>
          </rPr>
          <t>good:</t>
        </r>
        <r>
          <rPr>
            <sz val="9"/>
            <color indexed="81"/>
            <rFont val="宋体"/>
            <family val="3"/>
            <charset val="134"/>
          </rPr>
          <t xml:space="preserve">
只做三次</t>
        </r>
      </text>
    </comment>
    <comment ref="C14" authorId="0">
      <text>
        <r>
          <rPr>
            <b/>
            <sz val="9"/>
            <color indexed="81"/>
            <rFont val="宋体"/>
            <family val="3"/>
            <charset val="134"/>
          </rPr>
          <t>good:</t>
        </r>
        <r>
          <rPr>
            <sz val="9"/>
            <color indexed="81"/>
            <rFont val="宋体"/>
            <family val="3"/>
            <charset val="134"/>
          </rPr>
          <t xml:space="preserve">
系统默认，都为0.1</t>
        </r>
      </text>
    </comment>
    <comment ref="E14" authorId="0">
      <text>
        <r>
          <rPr>
            <b/>
            <sz val="9"/>
            <color indexed="81"/>
            <rFont val="宋体"/>
            <family val="3"/>
            <charset val="134"/>
          </rPr>
          <t>good:</t>
        </r>
        <r>
          <rPr>
            <sz val="9"/>
            <color indexed="81"/>
            <rFont val="宋体"/>
            <family val="3"/>
            <charset val="134"/>
          </rPr>
          <t xml:space="preserve">
电压/电流，
小数位数3位，四舍五入</t>
        </r>
      </text>
    </comment>
    <comment ref="G14" authorId="0">
      <text>
        <r>
          <rPr>
            <b/>
            <sz val="9"/>
            <color indexed="81"/>
            <rFont val="宋体"/>
            <family val="3"/>
            <charset val="134"/>
          </rPr>
          <t>good:</t>
        </r>
        <r>
          <rPr>
            <sz val="9"/>
            <color indexed="81"/>
            <rFont val="宋体"/>
            <family val="3"/>
            <charset val="134"/>
          </rPr>
          <t xml:space="preserve">
残余电阻平均值
小数位数1位，四舍五入</t>
        </r>
      </text>
    </comment>
    <comment ref="I14" authorId="0">
      <text>
        <r>
          <rPr>
            <b/>
            <sz val="9"/>
            <color indexed="81"/>
            <rFont val="宋体"/>
            <family val="3"/>
            <charset val="134"/>
          </rPr>
          <t>good:</t>
        </r>
        <r>
          <rPr>
            <sz val="9"/>
            <color indexed="81"/>
            <rFont val="宋体"/>
            <family val="3"/>
            <charset val="134"/>
          </rPr>
          <t xml:space="preserve">
数据录入输入</t>
        </r>
      </text>
    </comment>
    <comment ref="F20" authorId="0">
      <text>
        <r>
          <rPr>
            <b/>
            <sz val="9"/>
            <color indexed="81"/>
            <rFont val="宋体"/>
            <family val="3"/>
            <charset val="134"/>
          </rPr>
          <t>good:</t>
        </r>
        <r>
          <rPr>
            <sz val="9"/>
            <color indexed="81"/>
            <rFont val="宋体"/>
            <family val="3"/>
            <charset val="134"/>
          </rPr>
          <t xml:space="preserve">
手工输入，单位选择</t>
        </r>
      </text>
    </comment>
    <comment ref="J20" authorId="0">
      <text>
        <r>
          <rPr>
            <b/>
            <sz val="9"/>
            <color indexed="81"/>
            <rFont val="宋体"/>
            <family val="3"/>
            <charset val="134"/>
          </rPr>
          <t>good:</t>
        </r>
        <r>
          <rPr>
            <sz val="9"/>
            <color indexed="81"/>
            <rFont val="宋体"/>
            <family val="3"/>
            <charset val="134"/>
          </rPr>
          <t xml:space="preserve">
手动输入</t>
        </r>
      </text>
    </comment>
    <comment ref="A21" authorId="0">
      <text>
        <r>
          <rPr>
            <b/>
            <sz val="9"/>
            <color indexed="81"/>
            <rFont val="宋体"/>
            <family val="3"/>
            <charset val="134"/>
          </rPr>
          <t>good:</t>
        </r>
        <r>
          <rPr>
            <sz val="9"/>
            <color indexed="81"/>
            <rFont val="宋体"/>
            <family val="3"/>
            <charset val="134"/>
          </rPr>
          <t xml:space="preserve">
次数不一定</t>
        </r>
      </text>
    </comment>
    <comment ref="C21" authorId="0">
      <text>
        <r>
          <rPr>
            <b/>
            <sz val="9"/>
            <color indexed="81"/>
            <rFont val="宋体"/>
            <family val="3"/>
            <charset val="134"/>
          </rPr>
          <t>good:</t>
        </r>
        <r>
          <rPr>
            <sz val="9"/>
            <color indexed="81"/>
            <rFont val="宋体"/>
            <family val="3"/>
            <charset val="134"/>
          </rPr>
          <t xml:space="preserve">
电压/检定电流
小数位数3位
四舍五入</t>
        </r>
      </text>
    </comment>
    <comment ref="D21" authorId="0">
      <text>
        <r>
          <rPr>
            <b/>
            <sz val="9"/>
            <color indexed="81"/>
            <rFont val="宋体"/>
            <family val="3"/>
            <charset val="134"/>
          </rPr>
          <t>good:</t>
        </r>
        <r>
          <rPr>
            <sz val="9"/>
            <color indexed="81"/>
            <rFont val="宋体"/>
            <family val="3"/>
            <charset val="134"/>
          </rPr>
          <t xml:space="preserve">
M</t>
        </r>
        <r>
          <rPr>
            <vertAlign val="subscript"/>
            <sz val="9"/>
            <color indexed="81"/>
            <rFont val="宋体"/>
            <family val="3"/>
            <charset val="134"/>
          </rPr>
          <t>i</t>
        </r>
        <r>
          <rPr>
            <sz val="9"/>
            <color indexed="81"/>
            <rFont val="宋体"/>
            <family val="3"/>
            <charset val="134"/>
          </rPr>
          <t>的前一个值减去后一个值，第一个默认/</t>
        </r>
      </text>
    </comment>
    <comment ref="F21" authorId="0">
      <text>
        <r>
          <rPr>
            <b/>
            <sz val="9"/>
            <color indexed="81"/>
            <rFont val="宋体"/>
            <family val="3"/>
            <charset val="134"/>
          </rPr>
          <t>good:</t>
        </r>
        <r>
          <rPr>
            <sz val="9"/>
            <color indexed="81"/>
            <rFont val="宋体"/>
            <family val="3"/>
            <charset val="134"/>
          </rPr>
          <t xml:space="preserve">
D列中最大值</t>
        </r>
      </text>
    </comment>
    <comment ref="H21" authorId="0">
      <text>
        <r>
          <rPr>
            <b/>
            <sz val="9"/>
            <color indexed="81"/>
            <rFont val="宋体"/>
            <family val="3"/>
            <charset val="134"/>
          </rPr>
          <t>good:</t>
        </r>
        <r>
          <rPr>
            <sz val="9"/>
            <color indexed="81"/>
            <rFont val="宋体"/>
            <family val="3"/>
            <charset val="134"/>
          </rPr>
          <t xml:space="preserve">
手工输入</t>
        </r>
      </text>
    </comment>
    <comment ref="A30" authorId="0">
      <text>
        <r>
          <rPr>
            <b/>
            <sz val="9"/>
            <color indexed="81"/>
            <rFont val="宋体"/>
            <family val="3"/>
            <charset val="134"/>
          </rPr>
          <t>good:</t>
        </r>
        <r>
          <rPr>
            <sz val="9"/>
            <color indexed="81"/>
            <rFont val="宋体"/>
            <family val="3"/>
            <charset val="134"/>
          </rPr>
          <t xml:space="preserve">
做方案时，由实验人员判断，是否带电压示值列。</t>
        </r>
      </text>
    </comment>
    <comment ref="A31" authorId="0">
      <text>
        <r>
          <rPr>
            <b/>
            <sz val="9"/>
            <color indexed="81"/>
            <rFont val="宋体"/>
            <family val="3"/>
            <charset val="134"/>
          </rPr>
          <t>good:</t>
        </r>
        <r>
          <rPr>
            <sz val="9"/>
            <color indexed="81"/>
            <rFont val="宋体"/>
            <family val="3"/>
            <charset val="134"/>
          </rPr>
          <t xml:space="preserve">
固定10个</t>
        </r>
      </text>
    </comment>
    <comment ref="Z31" authorId="0">
      <text>
        <r>
          <rPr>
            <b/>
            <sz val="9"/>
            <color indexed="81"/>
            <rFont val="宋体"/>
            <family val="3"/>
            <charset val="134"/>
          </rPr>
          <t>good:</t>
        </r>
        <r>
          <rPr>
            <sz val="9"/>
            <color indexed="81"/>
            <rFont val="宋体"/>
            <family val="3"/>
            <charset val="134"/>
          </rPr>
          <t xml:space="preserve">
固定10个</t>
        </r>
      </text>
    </comment>
    <comment ref="C33" authorId="0">
      <text>
        <r>
          <rPr>
            <b/>
            <sz val="9"/>
            <color indexed="81"/>
            <rFont val="宋体"/>
            <family val="3"/>
            <charset val="134"/>
          </rPr>
          <t>good:</t>
        </r>
        <r>
          <rPr>
            <sz val="9"/>
            <color indexed="81"/>
            <rFont val="宋体"/>
            <family val="3"/>
            <charset val="134"/>
          </rPr>
          <t xml:space="preserve">
要求误差和不确定度都计算，其他同理。</t>
        </r>
      </text>
    </comment>
    <comment ref="E33" authorId="0">
      <text>
        <r>
          <rPr>
            <b/>
            <sz val="9"/>
            <color indexed="81"/>
            <rFont val="宋体"/>
            <family val="3"/>
            <charset val="134"/>
          </rPr>
          <t>good:</t>
        </r>
        <r>
          <rPr>
            <sz val="9"/>
            <color indexed="81"/>
            <rFont val="宋体"/>
            <family val="3"/>
            <charset val="134"/>
          </rPr>
          <t xml:space="preserve">
相对误差=（电阻*序号-实际值）/实际值*100%
备注：比允许误差多1位。出检定书时是误差；出校准时时校准不确定度（k=2）
</t>
        </r>
      </text>
    </comment>
    <comment ref="AB33" authorId="0">
      <text>
        <r>
          <rPr>
            <b/>
            <sz val="9"/>
            <color indexed="81"/>
            <rFont val="宋体"/>
            <family val="3"/>
            <charset val="134"/>
          </rPr>
          <t>good:</t>
        </r>
        <r>
          <rPr>
            <sz val="9"/>
            <color indexed="81"/>
            <rFont val="宋体"/>
            <family val="3"/>
            <charset val="134"/>
          </rPr>
          <t xml:space="preserve">
要求误差和不确定度都计算，其他同理。</t>
        </r>
      </text>
    </comment>
    <comment ref="AD33" authorId="0">
      <text>
        <r>
          <rPr>
            <b/>
            <sz val="9"/>
            <color indexed="81"/>
            <rFont val="宋体"/>
            <family val="3"/>
            <charset val="134"/>
          </rPr>
          <t>good:</t>
        </r>
        <r>
          <rPr>
            <sz val="9"/>
            <color indexed="81"/>
            <rFont val="宋体"/>
            <family val="3"/>
            <charset val="134"/>
          </rPr>
          <t xml:space="preserve">
相对误差=（电阻*序号-实际值）/实际值*100%
备注：比允许误差多1位。出检定书时是误差；出校准时时校准不确定度（k=2）
</t>
        </r>
      </text>
    </comment>
    <comment ref="AK33" authorId="0">
      <text>
        <r>
          <rPr>
            <b/>
            <sz val="9"/>
            <color indexed="81"/>
            <rFont val="宋体"/>
            <family val="3"/>
            <charset val="134"/>
          </rPr>
          <t>good:</t>
        </r>
        <r>
          <rPr>
            <sz val="9"/>
            <color indexed="81"/>
            <rFont val="宋体"/>
            <family val="3"/>
            <charset val="134"/>
          </rPr>
          <t xml:space="preserve">
相对误差=（电阻*序号-实际值）/实际值*100%
备注：比允许误差多1位。出检定书时是误差；出校准时时校准不确定度（k=2）
</t>
        </r>
      </text>
    </comment>
    <comment ref="A44" authorId="0">
      <text>
        <r>
          <rPr>
            <b/>
            <sz val="9"/>
            <color indexed="81"/>
            <rFont val="宋体"/>
            <family val="3"/>
            <charset val="134"/>
          </rPr>
          <t>good:</t>
        </r>
        <r>
          <rPr>
            <sz val="9"/>
            <color indexed="81"/>
            <rFont val="宋体"/>
            <family val="3"/>
            <charset val="134"/>
          </rPr>
          <t xml:space="preserve">
下拉选择：正负0.01，正负0.02，正负0.05，正负0.1，正负0.2，正负0.5，正负1，，正负2，正负5，正负10，正负30</t>
        </r>
      </text>
    </comment>
    <comment ref="D44" authorId="0">
      <text>
        <r>
          <rPr>
            <b/>
            <sz val="9"/>
            <color indexed="81"/>
            <rFont val="宋体"/>
            <family val="3"/>
            <charset val="134"/>
          </rPr>
          <t>good:</t>
        </r>
        <r>
          <rPr>
            <sz val="9"/>
            <color indexed="81"/>
            <rFont val="宋体"/>
            <family val="3"/>
            <charset val="134"/>
          </rPr>
          <t xml:space="preserve">
对应乘以1MΩ</t>
        </r>
      </text>
    </comment>
    <comment ref="I44" authorId="0">
      <text>
        <r>
          <rPr>
            <b/>
            <sz val="9"/>
            <color indexed="81"/>
            <rFont val="宋体"/>
            <family val="3"/>
            <charset val="134"/>
          </rPr>
          <t>good:</t>
        </r>
        <r>
          <rPr>
            <sz val="9"/>
            <color indexed="81"/>
            <rFont val="宋体"/>
            <family val="3"/>
            <charset val="134"/>
          </rPr>
          <t xml:space="preserve">
对应100kΩ</t>
        </r>
      </text>
    </comment>
    <comment ref="Z44" authorId="0">
      <text>
        <r>
          <rPr>
            <b/>
            <sz val="9"/>
            <color indexed="81"/>
            <rFont val="宋体"/>
            <family val="3"/>
            <charset val="134"/>
          </rPr>
          <t>good:</t>
        </r>
        <r>
          <rPr>
            <sz val="9"/>
            <color indexed="81"/>
            <rFont val="宋体"/>
            <family val="3"/>
            <charset val="134"/>
          </rPr>
          <t xml:space="preserve">
下拉选择：正负0.01，正负0.02，正负0.05，正负0.1，正负0.2，正负0.5，正负1，，正负2，正负5，正负10，正负30</t>
        </r>
      </text>
    </comment>
    <comment ref="AC44" authorId="0">
      <text>
        <r>
          <rPr>
            <b/>
            <sz val="9"/>
            <color indexed="81"/>
            <rFont val="宋体"/>
            <family val="3"/>
            <charset val="134"/>
          </rPr>
          <t>good:</t>
        </r>
        <r>
          <rPr>
            <sz val="9"/>
            <color indexed="81"/>
            <rFont val="宋体"/>
            <family val="3"/>
            <charset val="134"/>
          </rPr>
          <t xml:space="preserve">
对应乘以1MΩ</t>
        </r>
      </text>
    </comment>
    <comment ref="A46" authorId="0">
      <text>
        <r>
          <rPr>
            <b/>
            <sz val="9"/>
            <color indexed="81"/>
            <rFont val="宋体"/>
            <family val="3"/>
            <charset val="134"/>
          </rPr>
          <t>good:</t>
        </r>
        <r>
          <rPr>
            <sz val="9"/>
            <color indexed="81"/>
            <rFont val="宋体"/>
            <family val="3"/>
            <charset val="134"/>
          </rPr>
          <t xml:space="preserve">
同上</t>
        </r>
      </text>
    </comment>
    <comment ref="D46" authorId="0">
      <text>
        <r>
          <rPr>
            <b/>
            <sz val="9"/>
            <color indexed="81"/>
            <rFont val="宋体"/>
            <family val="3"/>
            <charset val="134"/>
          </rPr>
          <t>good:
手动输入</t>
        </r>
      </text>
    </comment>
    <comment ref="E46" authorId="0">
      <text>
        <r>
          <rPr>
            <b/>
            <sz val="9"/>
            <color indexed="81"/>
            <rFont val="宋体"/>
            <family val="3"/>
            <charset val="134"/>
          </rPr>
          <t>good:</t>
        </r>
        <r>
          <rPr>
            <sz val="9"/>
            <color indexed="81"/>
            <rFont val="宋体"/>
            <family val="3"/>
            <charset val="134"/>
          </rPr>
          <t xml:space="preserve">
单位：MΩ kΩ Ω </t>
        </r>
      </text>
    </comment>
    <comment ref="D47" authorId="0">
      <text>
        <r>
          <rPr>
            <b/>
            <sz val="9"/>
            <color indexed="81"/>
            <rFont val="宋体"/>
            <family val="3"/>
            <charset val="134"/>
          </rPr>
          <t>good:</t>
        </r>
        <r>
          <rPr>
            <sz val="9"/>
            <color indexed="81"/>
            <rFont val="宋体"/>
            <family val="3"/>
            <charset val="134"/>
          </rPr>
          <t xml:space="preserve">
手动输入</t>
        </r>
      </text>
    </comment>
    <comment ref="B48" authorId="0">
      <text>
        <r>
          <rPr>
            <b/>
            <sz val="9"/>
            <color indexed="81"/>
            <rFont val="宋体"/>
            <family val="3"/>
            <charset val="134"/>
          </rPr>
          <t>good:</t>
        </r>
        <r>
          <rPr>
            <sz val="9"/>
            <color indexed="81"/>
            <rFont val="宋体"/>
            <family val="3"/>
            <charset val="134"/>
          </rPr>
          <t xml:space="preserve">
V mV</t>
        </r>
      </text>
    </comment>
    <comment ref="D48" authorId="0">
      <text>
        <r>
          <rPr>
            <b/>
            <sz val="9"/>
            <color indexed="81"/>
            <rFont val="宋体"/>
            <family val="3"/>
            <charset val="134"/>
          </rPr>
          <t>good:</t>
        </r>
        <r>
          <rPr>
            <sz val="9"/>
            <color indexed="81"/>
            <rFont val="宋体"/>
            <family val="3"/>
            <charset val="134"/>
          </rPr>
          <t xml:space="preserve">
分两种情况：
当单位为V时为电压示值/检定电流-残余电阻/1000
当单位为mV为电压示值/(1000*检定电流)-残余电阻/1000
特殊情况：
如果是客户认为是末盘，残余电阻不参与计算，那么：
当单位为V时为电压示值/检定电流
当单位为mV为电压示值/(1000*检定电流)
备注;小数位数参考JJG 982-2003 直流电阻箱检定规程-HY16505-2015，根据乘以电阻值的不同，小数位数不同</t>
        </r>
      </text>
    </comment>
    <comment ref="F48" authorId="0">
      <text>
        <r>
          <rPr>
            <b/>
            <sz val="9"/>
            <color indexed="81"/>
            <rFont val="宋体"/>
            <family val="3"/>
            <charset val="134"/>
          </rPr>
          <t>good:</t>
        </r>
        <r>
          <rPr>
            <sz val="9"/>
            <color indexed="81"/>
            <rFont val="宋体"/>
            <family val="3"/>
            <charset val="134"/>
          </rPr>
          <t xml:space="preserve">
相对误差=(盘阻值*序号-实际值）/实际值*100%
备注：小数位数比允许误差多1位</t>
        </r>
      </text>
    </comment>
    <comment ref="K48" authorId="0">
      <text>
        <r>
          <rPr>
            <b/>
            <sz val="9"/>
            <color indexed="81"/>
            <rFont val="宋体"/>
            <family val="3"/>
            <charset val="134"/>
          </rPr>
          <t>good:</t>
        </r>
        <r>
          <rPr>
            <sz val="9"/>
            <color indexed="81"/>
            <rFont val="宋体"/>
            <family val="3"/>
            <charset val="134"/>
          </rPr>
          <t xml:space="preserve">
其他表头同理</t>
        </r>
      </text>
    </comment>
    <comment ref="A59" authorId="0">
      <text>
        <r>
          <rPr>
            <b/>
            <sz val="9"/>
            <color indexed="81"/>
            <rFont val="宋体"/>
            <family val="3"/>
            <charset val="134"/>
          </rPr>
          <t>good:</t>
        </r>
        <r>
          <rPr>
            <sz val="9"/>
            <color indexed="81"/>
            <rFont val="宋体"/>
            <family val="3"/>
            <charset val="134"/>
          </rPr>
          <t xml:space="preserve">
下拉选择：正负0.01，正负0.02，正负0.05，正负0.1，正负0.2，正负0.5，正负1，，正负2，正负5，正负10，正负30</t>
        </r>
      </text>
    </comment>
    <comment ref="A69" authorId="0">
      <text>
        <r>
          <rPr>
            <b/>
            <sz val="9"/>
            <color indexed="81"/>
            <rFont val="宋体"/>
            <family val="3"/>
            <charset val="134"/>
          </rPr>
          <t>good:</t>
        </r>
        <r>
          <rPr>
            <sz val="9"/>
            <color indexed="81"/>
            <rFont val="宋体"/>
            <family val="3"/>
            <charset val="134"/>
          </rPr>
          <t xml:space="preserve">
同上</t>
        </r>
      </text>
    </comment>
    <comment ref="D69" authorId="0">
      <text>
        <r>
          <rPr>
            <b/>
            <sz val="9"/>
            <color indexed="81"/>
            <rFont val="宋体"/>
            <family val="3"/>
            <charset val="134"/>
          </rPr>
          <t>good:
手动输入</t>
        </r>
      </text>
    </comment>
    <comment ref="E69" authorId="0">
      <text>
        <r>
          <rPr>
            <b/>
            <sz val="9"/>
            <color indexed="81"/>
            <rFont val="宋体"/>
            <family val="3"/>
            <charset val="134"/>
          </rPr>
          <t>good:</t>
        </r>
        <r>
          <rPr>
            <sz val="9"/>
            <color indexed="81"/>
            <rFont val="宋体"/>
            <family val="3"/>
            <charset val="134"/>
          </rPr>
          <t xml:space="preserve">
单位：MΩ kΩ Ω </t>
        </r>
      </text>
    </comment>
    <comment ref="D70" authorId="0">
      <text>
        <r>
          <rPr>
            <b/>
            <sz val="9"/>
            <color indexed="81"/>
            <rFont val="宋体"/>
            <family val="3"/>
            <charset val="134"/>
          </rPr>
          <t>good:</t>
        </r>
        <r>
          <rPr>
            <sz val="9"/>
            <color indexed="81"/>
            <rFont val="宋体"/>
            <family val="3"/>
            <charset val="134"/>
          </rPr>
          <t xml:space="preserve">
手动输入</t>
        </r>
      </text>
    </comment>
    <comment ref="B71" authorId="0">
      <text>
        <r>
          <rPr>
            <b/>
            <sz val="9"/>
            <color indexed="81"/>
            <rFont val="宋体"/>
            <family val="3"/>
            <charset val="134"/>
          </rPr>
          <t>good:</t>
        </r>
        <r>
          <rPr>
            <sz val="9"/>
            <color indexed="81"/>
            <rFont val="宋体"/>
            <family val="3"/>
            <charset val="134"/>
          </rPr>
          <t xml:space="preserve">
V mV</t>
        </r>
      </text>
    </comment>
    <comment ref="D71" authorId="0">
      <text>
        <r>
          <rPr>
            <b/>
            <sz val="9"/>
            <color indexed="81"/>
            <rFont val="宋体"/>
            <family val="3"/>
            <charset val="134"/>
          </rPr>
          <t>good:</t>
        </r>
        <r>
          <rPr>
            <sz val="9"/>
            <color indexed="81"/>
            <rFont val="宋体"/>
            <family val="3"/>
            <charset val="134"/>
          </rPr>
          <t xml:space="preserve">
分两种情况：
当单位为V时为电压示值/检定电流-R0电阻外臂平均值/1000
当单位为mV为电压示值/(1000*检定电流)-R0电阻外臂平均值/1000
备注;小数位数参考JJG 982-2003 直流电阻箱检定规程-HY16505-2015，根据乘以电阻值的不同，小数位数不同</t>
        </r>
      </text>
    </comment>
    <comment ref="F71" authorId="0">
      <text>
        <r>
          <rPr>
            <b/>
            <sz val="9"/>
            <color indexed="81"/>
            <rFont val="宋体"/>
            <family val="3"/>
            <charset val="134"/>
          </rPr>
          <t>good:</t>
        </r>
        <r>
          <rPr>
            <sz val="9"/>
            <color indexed="81"/>
            <rFont val="宋体"/>
            <family val="3"/>
            <charset val="134"/>
          </rPr>
          <t xml:space="preserve">
相对误差=(盘阻值*序号-实际值）/实际值*100%
备注：小数位数比允许误差多1位</t>
        </r>
      </text>
    </comment>
    <comment ref="K71" authorId="0">
      <text>
        <r>
          <rPr>
            <b/>
            <sz val="9"/>
            <color indexed="81"/>
            <rFont val="宋体"/>
            <family val="3"/>
            <charset val="134"/>
          </rPr>
          <t>good:</t>
        </r>
        <r>
          <rPr>
            <sz val="9"/>
            <color indexed="81"/>
            <rFont val="宋体"/>
            <family val="3"/>
            <charset val="134"/>
          </rPr>
          <t xml:space="preserve">
其他表头同理</t>
        </r>
      </text>
    </comment>
    <comment ref="A82" authorId="0">
      <text>
        <r>
          <rPr>
            <b/>
            <sz val="9"/>
            <color indexed="81"/>
            <rFont val="宋体"/>
            <family val="3"/>
            <charset val="134"/>
          </rPr>
          <t>good:</t>
        </r>
        <r>
          <rPr>
            <sz val="9"/>
            <color indexed="81"/>
            <rFont val="宋体"/>
            <family val="3"/>
            <charset val="134"/>
          </rPr>
          <t xml:space="preserve">
下拉选择：正负0.01，正负0.02，正负0.05，正负0.1，正负0.2，正负0.5，正负1，，正负2，正负5，正负10，正负30</t>
        </r>
      </text>
    </comment>
    <comment ref="A85" authorId="0">
      <text>
        <r>
          <rPr>
            <b/>
            <sz val="9"/>
            <color indexed="81"/>
            <rFont val="宋体"/>
            <family val="3"/>
            <charset val="134"/>
          </rPr>
          <t>good:</t>
        </r>
        <r>
          <rPr>
            <sz val="9"/>
            <color indexed="81"/>
            <rFont val="宋体"/>
            <family val="3"/>
            <charset val="134"/>
          </rPr>
          <t xml:space="preserve">
同上</t>
        </r>
      </text>
    </comment>
    <comment ref="D85" authorId="0">
      <text>
        <r>
          <rPr>
            <b/>
            <sz val="9"/>
            <color indexed="81"/>
            <rFont val="宋体"/>
            <family val="3"/>
            <charset val="134"/>
          </rPr>
          <t>good:
手动输入</t>
        </r>
      </text>
    </comment>
    <comment ref="E85" authorId="0">
      <text>
        <r>
          <rPr>
            <b/>
            <sz val="9"/>
            <color indexed="81"/>
            <rFont val="宋体"/>
            <family val="3"/>
            <charset val="134"/>
          </rPr>
          <t>good:</t>
        </r>
        <r>
          <rPr>
            <sz val="9"/>
            <color indexed="81"/>
            <rFont val="宋体"/>
            <family val="3"/>
            <charset val="134"/>
          </rPr>
          <t xml:space="preserve">
单位：MΩ kΩ Ω </t>
        </r>
      </text>
    </comment>
    <comment ref="D86" authorId="0">
      <text>
        <r>
          <rPr>
            <b/>
            <sz val="9"/>
            <color indexed="81"/>
            <rFont val="宋体"/>
            <family val="3"/>
            <charset val="134"/>
          </rPr>
          <t>good:</t>
        </r>
        <r>
          <rPr>
            <sz val="9"/>
            <color indexed="81"/>
            <rFont val="宋体"/>
            <family val="3"/>
            <charset val="134"/>
          </rPr>
          <t xml:space="preserve">
手动输入</t>
        </r>
      </text>
    </comment>
    <comment ref="B87" authorId="0">
      <text>
        <r>
          <rPr>
            <b/>
            <sz val="9"/>
            <color indexed="81"/>
            <rFont val="宋体"/>
            <family val="3"/>
            <charset val="134"/>
          </rPr>
          <t>good:</t>
        </r>
        <r>
          <rPr>
            <sz val="9"/>
            <color indexed="81"/>
            <rFont val="宋体"/>
            <family val="3"/>
            <charset val="134"/>
          </rPr>
          <t xml:space="preserve">
V mV</t>
        </r>
      </text>
    </comment>
    <comment ref="D87" authorId="0">
      <text>
        <r>
          <rPr>
            <b/>
            <sz val="9"/>
            <color indexed="81"/>
            <rFont val="宋体"/>
            <family val="3"/>
            <charset val="134"/>
          </rPr>
          <t>good:</t>
        </r>
        <r>
          <rPr>
            <sz val="9"/>
            <color indexed="81"/>
            <rFont val="宋体"/>
            <family val="3"/>
            <charset val="134"/>
          </rPr>
          <t xml:space="preserve">
分两种情况：
当单位为V时为电压示值/检定电流-R0电阻内臂平均值/1000
当单位为mV为电压示值/(1000*检定电流)-R0电阻内臂平均值/1000
备注;小数位数参考JJG 982-2003 直流电阻箱检定规程-HY16505-2015，根据乘以电阻值的不同，小数位数不同</t>
        </r>
      </text>
    </comment>
    <comment ref="F87" authorId="0">
      <text>
        <r>
          <rPr>
            <b/>
            <sz val="9"/>
            <color indexed="81"/>
            <rFont val="宋体"/>
            <family val="3"/>
            <charset val="134"/>
          </rPr>
          <t>good:</t>
        </r>
        <r>
          <rPr>
            <sz val="9"/>
            <color indexed="81"/>
            <rFont val="宋体"/>
            <family val="3"/>
            <charset val="134"/>
          </rPr>
          <t xml:space="preserve">
相对误差=(盘阻值*序号-实际值）/实际值*100%
备注：小数位数比允许误差多1位</t>
        </r>
      </text>
    </comment>
    <comment ref="K87" authorId="0">
      <text>
        <r>
          <rPr>
            <b/>
            <sz val="9"/>
            <color indexed="81"/>
            <rFont val="宋体"/>
            <family val="3"/>
            <charset val="134"/>
          </rPr>
          <t>good:</t>
        </r>
        <r>
          <rPr>
            <sz val="9"/>
            <color indexed="81"/>
            <rFont val="宋体"/>
            <family val="3"/>
            <charset val="134"/>
          </rPr>
          <t xml:space="preserve">
其他表头同理</t>
        </r>
      </text>
    </comment>
    <comment ref="A98" authorId="0">
      <text>
        <r>
          <rPr>
            <b/>
            <sz val="9"/>
            <color indexed="81"/>
            <rFont val="宋体"/>
            <family val="3"/>
            <charset val="134"/>
          </rPr>
          <t>good:</t>
        </r>
        <r>
          <rPr>
            <sz val="9"/>
            <color indexed="81"/>
            <rFont val="宋体"/>
            <family val="3"/>
            <charset val="134"/>
          </rPr>
          <t xml:space="preserve">
下拉选择：正负0.01，正负0.02，正负0.05，正负0.1，正负0.2，正负0.5，正负1，，正负2，正负5，正负10，正负30</t>
        </r>
      </text>
    </comment>
    <comment ref="E102" authorId="1">
      <text>
        <r>
          <rPr>
            <b/>
            <sz val="9"/>
            <color indexed="81"/>
            <rFont val="宋体"/>
            <family val="3"/>
            <charset val="134"/>
          </rPr>
          <t>stone:</t>
        </r>
        <r>
          <rPr>
            <sz val="9"/>
            <color indexed="81"/>
            <rFont val="宋体"/>
            <family val="3"/>
            <charset val="134"/>
          </rPr>
          <t xml:space="preserve">
误差=（标称值-实际值）比实际值*百分之百；小数点比允许误差多一位，四舍五入</t>
        </r>
      </text>
    </comment>
    <comment ref="G102" authorId="0">
      <text>
        <r>
          <rPr>
            <b/>
            <sz val="9"/>
            <color indexed="81"/>
            <rFont val="宋体"/>
            <family val="3"/>
            <charset val="134"/>
          </rPr>
          <t>good:</t>
        </r>
        <r>
          <rPr>
            <sz val="9"/>
            <color indexed="81"/>
            <rFont val="宋体"/>
            <family val="3"/>
            <charset val="134"/>
          </rPr>
          <t xml:space="preserve">
下拉选择</t>
        </r>
      </text>
    </comment>
  </commentList>
</comments>
</file>

<file path=xl/comments36.xml><?xml version="1.0" encoding="utf-8"?>
<comments xmlns="http://schemas.openxmlformats.org/spreadsheetml/2006/main">
  <authors>
    <author>good</author>
  </authors>
  <commentList>
    <comment ref="B8" authorId="0">
      <text>
        <r>
          <rPr>
            <b/>
            <sz val="9"/>
            <color indexed="81"/>
            <rFont val="宋体"/>
            <family val="3"/>
            <charset val="134"/>
          </rPr>
          <t>good:
根据项目小数位数不同</t>
        </r>
      </text>
    </comment>
    <comment ref="C21" authorId="0">
      <text>
        <r>
          <rPr>
            <b/>
            <sz val="9"/>
            <color indexed="81"/>
            <rFont val="宋体"/>
            <family val="3"/>
            <charset val="134"/>
          </rPr>
          <t>good:</t>
        </r>
        <r>
          <rPr>
            <sz val="9"/>
            <color indexed="81"/>
            <rFont val="宋体"/>
            <family val="3"/>
            <charset val="134"/>
          </rPr>
          <t xml:space="preserve">
根据项目小数位数不同</t>
        </r>
      </text>
    </comment>
    <comment ref="A23" authorId="0">
      <text>
        <r>
          <rPr>
            <b/>
            <sz val="9"/>
            <color indexed="81"/>
            <rFont val="宋体"/>
            <family val="3"/>
            <charset val="134"/>
          </rPr>
          <t>good:</t>
        </r>
        <r>
          <rPr>
            <sz val="9"/>
            <color indexed="81"/>
            <rFont val="宋体"/>
            <family val="3"/>
            <charset val="134"/>
          </rPr>
          <t xml:space="preserve">
根据项目小数位数不同</t>
        </r>
      </text>
    </comment>
    <comment ref="B31" authorId="0">
      <text>
        <r>
          <rPr>
            <b/>
            <sz val="9"/>
            <color indexed="81"/>
            <rFont val="宋体"/>
            <family val="3"/>
            <charset val="134"/>
          </rPr>
          <t>good:
根据项目小数位数不同</t>
        </r>
      </text>
    </comment>
    <comment ref="C44" authorId="0">
      <text>
        <r>
          <rPr>
            <b/>
            <sz val="9"/>
            <color indexed="81"/>
            <rFont val="宋体"/>
            <family val="3"/>
            <charset val="134"/>
          </rPr>
          <t>good:</t>
        </r>
        <r>
          <rPr>
            <sz val="9"/>
            <color indexed="81"/>
            <rFont val="宋体"/>
            <family val="3"/>
            <charset val="134"/>
          </rPr>
          <t xml:space="preserve">
根据项目小数位数不同</t>
        </r>
      </text>
    </comment>
    <comment ref="A46" authorId="0">
      <text>
        <r>
          <rPr>
            <b/>
            <sz val="9"/>
            <color indexed="81"/>
            <rFont val="宋体"/>
            <family val="3"/>
            <charset val="134"/>
          </rPr>
          <t>good:</t>
        </r>
        <r>
          <rPr>
            <sz val="9"/>
            <color indexed="81"/>
            <rFont val="宋体"/>
            <family val="3"/>
            <charset val="134"/>
          </rPr>
          <t xml:space="preserve">
根据项目小数位数不同</t>
        </r>
      </text>
    </comment>
    <comment ref="B54" authorId="0">
      <text>
        <r>
          <rPr>
            <b/>
            <sz val="9"/>
            <color indexed="81"/>
            <rFont val="宋体"/>
            <family val="3"/>
            <charset val="134"/>
          </rPr>
          <t>good:
根据项目小数位数不同</t>
        </r>
      </text>
    </comment>
    <comment ref="C67" authorId="0">
      <text>
        <r>
          <rPr>
            <b/>
            <sz val="9"/>
            <color indexed="81"/>
            <rFont val="宋体"/>
            <family val="3"/>
            <charset val="134"/>
          </rPr>
          <t>good:</t>
        </r>
        <r>
          <rPr>
            <sz val="9"/>
            <color indexed="81"/>
            <rFont val="宋体"/>
            <family val="3"/>
            <charset val="134"/>
          </rPr>
          <t xml:space="preserve">
根据项目小数位数不同</t>
        </r>
      </text>
    </comment>
    <comment ref="A69" authorId="0">
      <text>
        <r>
          <rPr>
            <b/>
            <sz val="9"/>
            <color indexed="81"/>
            <rFont val="宋体"/>
            <family val="3"/>
            <charset val="134"/>
          </rPr>
          <t>good:</t>
        </r>
        <r>
          <rPr>
            <sz val="9"/>
            <color indexed="81"/>
            <rFont val="宋体"/>
            <family val="3"/>
            <charset val="134"/>
          </rPr>
          <t xml:space="preserve">
根据项目小数位数不同</t>
        </r>
      </text>
    </comment>
    <comment ref="C77" authorId="0">
      <text>
        <r>
          <rPr>
            <b/>
            <sz val="9"/>
            <color indexed="81"/>
            <rFont val="宋体"/>
            <family val="3"/>
            <charset val="134"/>
          </rPr>
          <t>good:
根据项目小数位数不同</t>
        </r>
      </text>
    </comment>
    <comment ref="D90" authorId="0">
      <text>
        <r>
          <rPr>
            <b/>
            <sz val="9"/>
            <color indexed="81"/>
            <rFont val="宋体"/>
            <family val="3"/>
            <charset val="134"/>
          </rPr>
          <t>good:</t>
        </r>
        <r>
          <rPr>
            <sz val="9"/>
            <color indexed="81"/>
            <rFont val="宋体"/>
            <family val="3"/>
            <charset val="134"/>
          </rPr>
          <t xml:space="preserve">
根据项目小数位数不同</t>
        </r>
      </text>
    </comment>
    <comment ref="B92" authorId="0">
      <text>
        <r>
          <rPr>
            <b/>
            <sz val="9"/>
            <color indexed="81"/>
            <rFont val="宋体"/>
            <family val="3"/>
            <charset val="134"/>
          </rPr>
          <t>good:</t>
        </r>
        <r>
          <rPr>
            <sz val="9"/>
            <color indexed="81"/>
            <rFont val="宋体"/>
            <family val="3"/>
            <charset val="134"/>
          </rPr>
          <t xml:space="preserve">
根据项目小数位数不同</t>
        </r>
      </text>
    </comment>
  </commentList>
</comments>
</file>

<file path=xl/comments37.xml><?xml version="1.0" encoding="utf-8"?>
<comments xmlns="http://schemas.openxmlformats.org/spreadsheetml/2006/main">
  <authors>
    <author>good</author>
  </authors>
  <commentList>
    <comment ref="A16" authorId="0">
      <text>
        <r>
          <rPr>
            <b/>
            <sz val="9"/>
            <color indexed="81"/>
            <rFont val="宋体"/>
            <family val="3"/>
            <charset val="134"/>
          </rPr>
          <t>good:</t>
        </r>
        <r>
          <rPr>
            <sz val="9"/>
            <color indexed="81"/>
            <rFont val="宋体"/>
            <family val="3"/>
            <charset val="134"/>
          </rPr>
          <t xml:space="preserve">
单位下拉选择：Ω、mΩ、µΩ</t>
        </r>
      </text>
    </comment>
    <comment ref="F16" authorId="0">
      <text>
        <r>
          <rPr>
            <b/>
            <sz val="9"/>
            <color indexed="81"/>
            <rFont val="宋体"/>
            <family val="3"/>
            <charset val="134"/>
          </rPr>
          <t>good:</t>
        </r>
        <r>
          <rPr>
            <sz val="9"/>
            <color indexed="81"/>
            <rFont val="宋体"/>
            <family val="3"/>
            <charset val="134"/>
          </rPr>
          <t xml:space="preserve">
单位下拉选择：Ω、mΩ、µΩ</t>
        </r>
      </text>
    </comment>
    <comment ref="I16" authorId="0">
      <text>
        <r>
          <rPr>
            <b/>
            <sz val="9"/>
            <color indexed="81"/>
            <rFont val="宋体"/>
            <family val="3"/>
            <charset val="134"/>
          </rPr>
          <t>good:</t>
        </r>
        <r>
          <rPr>
            <sz val="9"/>
            <color indexed="81"/>
            <rFont val="宋体"/>
            <family val="3"/>
            <charset val="134"/>
          </rPr>
          <t xml:space="preserve">
单位下拉选择：Ω、mΩ、µΩ</t>
        </r>
      </text>
    </comment>
    <comment ref="K16" authorId="0">
      <text>
        <r>
          <rPr>
            <b/>
            <sz val="9"/>
            <color indexed="81"/>
            <rFont val="宋体"/>
            <family val="3"/>
            <charset val="134"/>
          </rPr>
          <t>good:</t>
        </r>
        <r>
          <rPr>
            <sz val="9"/>
            <color indexed="81"/>
            <rFont val="宋体"/>
            <family val="3"/>
            <charset val="134"/>
          </rPr>
          <t xml:space="preserve">
相对误差（显示值-标准值）/标准值*100%
备注：小数位数比允许误差多一位</t>
        </r>
      </text>
    </comment>
    <comment ref="M16" authorId="0">
      <text>
        <r>
          <rPr>
            <b/>
            <sz val="9"/>
            <color indexed="81"/>
            <rFont val="宋体"/>
            <family val="3"/>
            <charset val="134"/>
          </rPr>
          <t>good:</t>
        </r>
        <r>
          <rPr>
            <sz val="9"/>
            <color indexed="81"/>
            <rFont val="宋体"/>
            <family val="3"/>
            <charset val="134"/>
          </rPr>
          <t xml:space="preserve">
被试设备的准确度等级的正负范围值</t>
        </r>
      </text>
    </comment>
    <comment ref="O16" authorId="0">
      <text>
        <r>
          <rPr>
            <b/>
            <sz val="9"/>
            <color indexed="81"/>
            <rFont val="宋体"/>
            <family val="3"/>
            <charset val="134"/>
          </rPr>
          <t>good:</t>
        </r>
        <r>
          <rPr>
            <sz val="9"/>
            <color indexed="81"/>
            <rFont val="宋体"/>
            <family val="3"/>
            <charset val="134"/>
          </rPr>
          <t xml:space="preserve">
原始记录没有</t>
        </r>
      </text>
    </comment>
    <comment ref="AT16" authorId="0">
      <text>
        <r>
          <rPr>
            <b/>
            <sz val="9"/>
            <color indexed="81"/>
            <rFont val="宋体"/>
            <family val="3"/>
            <charset val="134"/>
          </rPr>
          <t>good:</t>
        </r>
        <r>
          <rPr>
            <sz val="9"/>
            <color indexed="81"/>
            <rFont val="宋体"/>
            <family val="3"/>
            <charset val="134"/>
          </rPr>
          <t xml:space="preserve">
原始记录没有</t>
        </r>
      </text>
    </comment>
  </commentList>
</comments>
</file>

<file path=xl/comments38.xml><?xml version="1.0" encoding="utf-8"?>
<comments xmlns="http://schemas.openxmlformats.org/spreadsheetml/2006/main">
  <authors>
    <author>good</author>
  </authors>
  <commentList>
    <comment ref="E9" authorId="0">
      <text>
        <r>
          <rPr>
            <b/>
            <sz val="9"/>
            <color indexed="81"/>
            <rFont val="宋体"/>
            <family val="3"/>
            <charset val="134"/>
          </rPr>
          <t>good:
根据项目小数位数不同</t>
        </r>
      </text>
    </comment>
    <comment ref="F18" authorId="0">
      <text>
        <r>
          <rPr>
            <b/>
            <sz val="9"/>
            <color indexed="81"/>
            <rFont val="宋体"/>
            <family val="3"/>
            <charset val="134"/>
          </rPr>
          <t>good:</t>
        </r>
        <r>
          <rPr>
            <sz val="9"/>
            <color indexed="81"/>
            <rFont val="宋体"/>
            <family val="3"/>
            <charset val="134"/>
          </rPr>
          <t xml:space="preserve">
根据项目小数位数不同</t>
        </r>
      </text>
    </comment>
    <comment ref="D20" authorId="0">
      <text>
        <r>
          <rPr>
            <b/>
            <sz val="9"/>
            <color indexed="81"/>
            <rFont val="宋体"/>
            <family val="3"/>
            <charset val="134"/>
          </rPr>
          <t>good:</t>
        </r>
        <r>
          <rPr>
            <sz val="9"/>
            <color indexed="81"/>
            <rFont val="宋体"/>
            <family val="3"/>
            <charset val="134"/>
          </rPr>
          <t xml:space="preserve">
根据项目小数位数不同</t>
        </r>
      </text>
    </comment>
  </commentList>
</comments>
</file>

<file path=xl/comments39.xml><?xml version="1.0" encoding="utf-8"?>
<comments xmlns="http://schemas.openxmlformats.org/spreadsheetml/2006/main">
  <authors>
    <author>good</author>
    <author>cui</author>
  </authors>
  <commentList>
    <comment ref="A9" authorId="0">
      <text>
        <r>
          <rPr>
            <b/>
            <sz val="9"/>
            <color indexed="81"/>
            <rFont val="宋体"/>
            <family val="3"/>
            <charset val="134"/>
          </rPr>
          <t>good:</t>
        </r>
        <r>
          <rPr>
            <sz val="9"/>
            <color indexed="81"/>
            <rFont val="宋体"/>
            <family val="3"/>
            <charset val="134"/>
          </rPr>
          <t xml:space="preserve">
单位自己选择，其他列同理</t>
        </r>
      </text>
    </comment>
    <comment ref="J9" authorId="0">
      <text>
        <r>
          <rPr>
            <b/>
            <sz val="9"/>
            <color indexed="81"/>
            <rFont val="宋体"/>
            <family val="3"/>
            <charset val="134"/>
          </rPr>
          <t>good:</t>
        </r>
        <r>
          <rPr>
            <sz val="9"/>
            <color indexed="81"/>
            <rFont val="宋体"/>
            <family val="3"/>
            <charset val="134"/>
          </rPr>
          <t xml:space="preserve">
（显示值-标准值）/标准值*100
备注：比允许误差多1位，四舍五入</t>
        </r>
      </text>
    </comment>
    <comment ref="K9" authorId="0">
      <text>
        <r>
          <rPr>
            <b/>
            <sz val="9"/>
            <color indexed="81"/>
            <rFont val="宋体"/>
            <family val="3"/>
            <charset val="134"/>
          </rPr>
          <t>good:</t>
        </r>
        <r>
          <rPr>
            <sz val="9"/>
            <color indexed="81"/>
            <rFont val="宋体"/>
            <family val="3"/>
            <charset val="134"/>
          </rPr>
          <t xml:space="preserve">
仪器的准确度等级的正负</t>
        </r>
      </text>
    </comment>
    <comment ref="C10" authorId="1">
      <text>
        <r>
          <rPr>
            <b/>
            <sz val="9"/>
            <color indexed="81"/>
            <rFont val="宋体"/>
            <family val="3"/>
            <charset val="134"/>
          </rPr>
          <t>cui:</t>
        </r>
        <r>
          <rPr>
            <sz val="9"/>
            <color indexed="81"/>
            <rFont val="宋体"/>
            <family val="3"/>
            <charset val="134"/>
          </rPr>
          <t xml:space="preserve">
量程  可能是范围，也能只是一个值。</t>
        </r>
      </text>
    </comment>
  </commentList>
</comments>
</file>

<file path=xl/comments40.xml><?xml version="1.0" encoding="utf-8"?>
<comments xmlns="http://schemas.openxmlformats.org/spreadsheetml/2006/main">
  <authors>
    <author>good</author>
  </authors>
  <commentList>
    <comment ref="E9" authorId="0">
      <text>
        <r>
          <rPr>
            <b/>
            <sz val="9"/>
            <color indexed="81"/>
            <rFont val="宋体"/>
            <family val="3"/>
            <charset val="134"/>
          </rPr>
          <t>good:
根据项目小数位数不同</t>
        </r>
      </text>
    </comment>
    <comment ref="F18" authorId="0">
      <text>
        <r>
          <rPr>
            <b/>
            <sz val="9"/>
            <color indexed="81"/>
            <rFont val="宋体"/>
            <family val="3"/>
            <charset val="134"/>
          </rPr>
          <t>good:</t>
        </r>
        <r>
          <rPr>
            <sz val="9"/>
            <color indexed="81"/>
            <rFont val="宋体"/>
            <family val="3"/>
            <charset val="134"/>
          </rPr>
          <t xml:space="preserve">
根据项目小数位数不同</t>
        </r>
      </text>
    </comment>
    <comment ref="D20" authorId="0">
      <text>
        <r>
          <rPr>
            <b/>
            <sz val="9"/>
            <color indexed="81"/>
            <rFont val="宋体"/>
            <family val="3"/>
            <charset val="134"/>
          </rPr>
          <t>good:</t>
        </r>
        <r>
          <rPr>
            <sz val="9"/>
            <color indexed="81"/>
            <rFont val="宋体"/>
            <family val="3"/>
            <charset val="134"/>
          </rPr>
          <t xml:space="preserve">
根据项目小数位数不同</t>
        </r>
      </text>
    </comment>
  </commentList>
</comments>
</file>

<file path=xl/comments41.xml><?xml version="1.0" encoding="utf-8"?>
<comments xmlns="http://schemas.openxmlformats.org/spreadsheetml/2006/main">
  <authors>
    <author>good</author>
    <author>stone</author>
  </authors>
  <commentList>
    <comment ref="H9" authorId="0">
      <text>
        <r>
          <rPr>
            <b/>
            <sz val="9"/>
            <color indexed="81"/>
            <rFont val="宋体"/>
            <family val="3"/>
            <charset val="134"/>
          </rPr>
          <t>good:</t>
        </r>
        <r>
          <rPr>
            <sz val="9"/>
            <color indexed="81"/>
            <rFont val="宋体"/>
            <family val="3"/>
            <charset val="134"/>
          </rPr>
          <t xml:space="preserve">
三位小数，四舍五入</t>
        </r>
      </text>
    </comment>
    <comment ref="I9" authorId="0">
      <text>
        <r>
          <rPr>
            <b/>
            <sz val="9"/>
            <color indexed="81"/>
            <rFont val="宋体"/>
            <family val="3"/>
            <charset val="134"/>
          </rPr>
          <t>good:</t>
        </r>
        <r>
          <rPr>
            <sz val="9"/>
            <color indexed="81"/>
            <rFont val="宋体"/>
            <family val="3"/>
            <charset val="134"/>
          </rPr>
          <t xml:space="preserve">
同最大值</t>
        </r>
      </text>
    </comment>
    <comment ref="O12" authorId="1">
      <text>
        <r>
          <rPr>
            <b/>
            <sz val="9"/>
            <color indexed="81"/>
            <rFont val="宋体"/>
            <family val="3"/>
            <charset val="134"/>
          </rPr>
          <t>stone:</t>
        </r>
        <r>
          <rPr>
            <sz val="9"/>
            <color indexed="81"/>
            <rFont val="宋体"/>
            <family val="3"/>
            <charset val="134"/>
          </rPr>
          <t xml:space="preserve">
数据录入时写入</t>
        </r>
      </text>
    </comment>
    <comment ref="A20" authorId="0">
      <text>
        <r>
          <rPr>
            <b/>
            <sz val="9"/>
            <color indexed="81"/>
            <rFont val="宋体"/>
            <family val="3"/>
            <charset val="134"/>
          </rPr>
          <t>good:</t>
        </r>
        <r>
          <rPr>
            <sz val="9"/>
            <color indexed="81"/>
            <rFont val="宋体"/>
            <family val="3"/>
            <charset val="134"/>
          </rPr>
          <t xml:space="preserve">
三位小数，四舍五入</t>
        </r>
      </text>
    </comment>
    <comment ref="A21" authorId="0">
      <text>
        <r>
          <rPr>
            <b/>
            <sz val="9"/>
            <color indexed="81"/>
            <rFont val="宋体"/>
            <family val="3"/>
            <charset val="134"/>
          </rPr>
          <t>good:</t>
        </r>
        <r>
          <rPr>
            <sz val="9"/>
            <color indexed="81"/>
            <rFont val="宋体"/>
            <family val="3"/>
            <charset val="134"/>
          </rPr>
          <t xml:space="preserve">
同平均值</t>
        </r>
      </text>
    </comment>
    <comment ref="A22" authorId="0">
      <text>
        <r>
          <rPr>
            <b/>
            <sz val="9"/>
            <color indexed="81"/>
            <rFont val="宋体"/>
            <family val="3"/>
            <charset val="134"/>
          </rPr>
          <t>good:</t>
        </r>
        <r>
          <rPr>
            <sz val="9"/>
            <color indexed="81"/>
            <rFont val="宋体"/>
            <family val="3"/>
            <charset val="134"/>
          </rPr>
          <t xml:space="preserve">
同平均值</t>
        </r>
      </text>
    </comment>
    <comment ref="B23" authorId="0">
      <text>
        <r>
          <rPr>
            <b/>
            <sz val="9"/>
            <color indexed="81"/>
            <rFont val="宋体"/>
            <family val="3"/>
            <charset val="134"/>
          </rPr>
          <t>good:</t>
        </r>
        <r>
          <rPr>
            <sz val="9"/>
            <color indexed="81"/>
            <rFont val="宋体"/>
            <family val="3"/>
            <charset val="134"/>
          </rPr>
          <t xml:space="preserve">
两位小数，四舍五入</t>
        </r>
      </text>
    </comment>
    <comment ref="B28" authorId="0">
      <text>
        <r>
          <rPr>
            <b/>
            <sz val="9"/>
            <color indexed="81"/>
            <rFont val="宋体"/>
            <family val="3"/>
            <charset val="134"/>
          </rPr>
          <t>good:</t>
        </r>
        <r>
          <rPr>
            <sz val="9"/>
            <color indexed="81"/>
            <rFont val="宋体"/>
            <family val="3"/>
            <charset val="134"/>
          </rPr>
          <t xml:space="preserve">
温度偏差的相反数
两位小数，四舍五入</t>
        </r>
      </text>
    </comment>
    <comment ref="C30" authorId="0">
      <text>
        <r>
          <rPr>
            <b/>
            <sz val="9"/>
            <color indexed="81"/>
            <rFont val="宋体"/>
            <family val="3"/>
            <charset val="134"/>
          </rPr>
          <t>good:</t>
        </r>
        <r>
          <rPr>
            <sz val="9"/>
            <color indexed="81"/>
            <rFont val="宋体"/>
            <family val="3"/>
            <charset val="134"/>
          </rPr>
          <t xml:space="preserve">
(最高温度之和-减去最低温度之和)/10
两位小数，四舍五入</t>
        </r>
      </text>
    </comment>
    <comment ref="C36" authorId="0">
      <text>
        <r>
          <rPr>
            <b/>
            <sz val="9"/>
            <color indexed="81"/>
            <rFont val="宋体"/>
            <family val="3"/>
            <charset val="134"/>
          </rPr>
          <t>good:</t>
        </r>
        <r>
          <rPr>
            <sz val="9"/>
            <color indexed="81"/>
            <rFont val="宋体"/>
            <family val="3"/>
            <charset val="134"/>
          </rPr>
          <t xml:space="preserve">
（中心点最大值-最小中的最小值）/2
小数位数两位，四舍五入</t>
        </r>
      </text>
    </comment>
  </commentList>
</comments>
</file>

<file path=xl/comments42.xml><?xml version="1.0" encoding="utf-8"?>
<comments xmlns="http://schemas.openxmlformats.org/spreadsheetml/2006/main">
  <authors>
    <author>good</author>
  </authors>
  <commentList>
    <comment ref="H7" authorId="0">
      <text>
        <r>
          <rPr>
            <b/>
            <sz val="9"/>
            <color indexed="81"/>
            <rFont val="宋体"/>
            <family val="3"/>
            <charset val="134"/>
          </rPr>
          <t>good:</t>
        </r>
        <r>
          <rPr>
            <sz val="9"/>
            <color indexed="81"/>
            <rFont val="宋体"/>
            <family val="3"/>
            <charset val="134"/>
          </rPr>
          <t xml:space="preserve">
（读数最大值-读数最小值）/（测点*0.001*1000）*100
备注：小数位数两位，四舍五入</t>
        </r>
      </text>
    </comment>
  </commentList>
</comments>
</file>

<file path=xl/comments43.xml><?xml version="1.0" encoding="utf-8"?>
<comments xmlns="http://schemas.openxmlformats.org/spreadsheetml/2006/main">
  <authors>
    <author>good</author>
  </authors>
  <commentList>
    <comment ref="D8" authorId="0">
      <text>
        <r>
          <rPr>
            <b/>
            <sz val="9"/>
            <color indexed="81"/>
            <rFont val="宋体"/>
            <family val="3"/>
            <charset val="134"/>
          </rPr>
          <t>good:
根据项目小数位数不同</t>
        </r>
      </text>
    </comment>
    <comment ref="E19" authorId="0">
      <text>
        <r>
          <rPr>
            <b/>
            <sz val="9"/>
            <color indexed="81"/>
            <rFont val="宋体"/>
            <family val="3"/>
            <charset val="134"/>
          </rPr>
          <t>good:</t>
        </r>
        <r>
          <rPr>
            <sz val="9"/>
            <color indexed="81"/>
            <rFont val="宋体"/>
            <family val="3"/>
            <charset val="134"/>
          </rPr>
          <t xml:space="preserve">
根据项目小数位数不同</t>
        </r>
      </text>
    </comment>
    <comment ref="C21" authorId="0">
      <text>
        <r>
          <rPr>
            <b/>
            <sz val="9"/>
            <color indexed="81"/>
            <rFont val="宋体"/>
            <family val="3"/>
            <charset val="134"/>
          </rPr>
          <t>good:</t>
        </r>
        <r>
          <rPr>
            <sz val="9"/>
            <color indexed="81"/>
            <rFont val="宋体"/>
            <family val="3"/>
            <charset val="134"/>
          </rPr>
          <t xml:space="preserve">
根据项目小数位数不同</t>
        </r>
      </text>
    </comment>
  </commentList>
</comments>
</file>

<file path=xl/comments44.xml><?xml version="1.0" encoding="utf-8"?>
<comments xmlns="http://schemas.openxmlformats.org/spreadsheetml/2006/main">
  <authors>
    <author>good</author>
  </authors>
  <commentList>
    <comment ref="A15" authorId="0">
      <text>
        <r>
          <rPr>
            <b/>
            <sz val="9"/>
            <color indexed="81"/>
            <rFont val="宋体"/>
            <family val="3"/>
            <charset val="134"/>
          </rPr>
          <t>good:</t>
        </r>
        <r>
          <rPr>
            <sz val="9"/>
            <color indexed="81"/>
            <rFont val="宋体"/>
            <family val="3"/>
            <charset val="134"/>
          </rPr>
          <t xml:space="preserve">
固定测试9个盘
每个盘测试</t>
        </r>
        <r>
          <rPr>
            <sz val="9"/>
            <color indexed="81"/>
            <rFont val="宋体"/>
            <family val="3"/>
            <charset val="134"/>
          </rPr>
          <t>10个，行数固定</t>
        </r>
      </text>
    </comment>
    <comment ref="T15" authorId="0">
      <text>
        <r>
          <rPr>
            <b/>
            <sz val="9"/>
            <color indexed="81"/>
            <rFont val="宋体"/>
            <family val="3"/>
            <charset val="134"/>
          </rPr>
          <t>good:</t>
        </r>
        <r>
          <rPr>
            <sz val="9"/>
            <color indexed="81"/>
            <rFont val="宋体"/>
            <family val="3"/>
            <charset val="134"/>
          </rPr>
          <t xml:space="preserve">
选择数字和单位，其他同理。</t>
        </r>
      </text>
    </comment>
    <comment ref="AI15" authorId="0">
      <text>
        <r>
          <rPr>
            <b/>
            <sz val="9"/>
            <color indexed="81"/>
            <rFont val="宋体"/>
            <family val="3"/>
            <charset val="134"/>
          </rPr>
          <t>good:</t>
        </r>
        <r>
          <rPr>
            <sz val="9"/>
            <color indexed="81"/>
            <rFont val="宋体"/>
            <family val="3"/>
            <charset val="134"/>
          </rPr>
          <t xml:space="preserve">
选择数字和单位，其他同理。</t>
        </r>
      </text>
    </comment>
    <comment ref="C16" authorId="0">
      <text>
        <r>
          <rPr>
            <b/>
            <sz val="9"/>
            <color indexed="81"/>
            <rFont val="宋体"/>
            <family val="3"/>
            <charset val="134"/>
          </rPr>
          <t>good:</t>
        </r>
        <r>
          <rPr>
            <sz val="9"/>
            <color indexed="81"/>
            <rFont val="宋体"/>
            <family val="3"/>
            <charset val="134"/>
          </rPr>
          <t xml:space="preserve">
选择数字和单位，其他同理。</t>
        </r>
      </text>
    </comment>
    <comment ref="T16" authorId="0">
      <text>
        <r>
          <rPr>
            <b/>
            <sz val="9"/>
            <color indexed="81"/>
            <rFont val="宋体"/>
            <family val="3"/>
            <charset val="134"/>
          </rPr>
          <t>good:</t>
        </r>
        <r>
          <rPr>
            <sz val="9"/>
            <color indexed="81"/>
            <rFont val="宋体"/>
            <family val="3"/>
            <charset val="134"/>
          </rPr>
          <t xml:space="preserve">
单位可选，其他同理
</t>
        </r>
        <r>
          <rPr>
            <sz val="9"/>
            <color indexed="81"/>
            <rFont val="宋体"/>
            <family val="3"/>
            <charset val="134"/>
          </rPr>
          <t>G</t>
        </r>
        <r>
          <rPr>
            <sz val="9"/>
            <color indexed="81"/>
            <rFont val="宋体"/>
            <family val="3"/>
            <charset val="134"/>
          </rPr>
          <t>Ω</t>
        </r>
        <r>
          <rPr>
            <sz val="9"/>
            <color indexed="81"/>
            <rFont val="宋体"/>
            <family val="3"/>
            <charset val="134"/>
          </rPr>
          <t xml:space="preserve"> MΩ kΩ Ω</t>
        </r>
      </text>
    </comment>
    <comment ref="V16" authorId="0">
      <text>
        <r>
          <rPr>
            <b/>
            <sz val="9"/>
            <color indexed="81"/>
            <rFont val="宋体"/>
            <family val="3"/>
            <charset val="134"/>
          </rPr>
          <t>good:</t>
        </r>
        <r>
          <rPr>
            <sz val="9"/>
            <color indexed="81"/>
            <rFont val="宋体"/>
            <family val="3"/>
            <charset val="134"/>
          </rPr>
          <t xml:space="preserve">
相对误差= （电阻*序号-实际值）/实际值*100%
备注：小数位数比允许误差多1位，四舍五入。其他以此类推。</t>
        </r>
      </text>
    </comment>
    <comment ref="AI16" authorId="0">
      <text>
        <r>
          <rPr>
            <b/>
            <sz val="9"/>
            <color indexed="81"/>
            <rFont val="宋体"/>
            <family val="3"/>
            <charset val="134"/>
          </rPr>
          <t>good:</t>
        </r>
        <r>
          <rPr>
            <sz val="9"/>
            <color indexed="81"/>
            <rFont val="宋体"/>
            <family val="3"/>
            <charset val="134"/>
          </rPr>
          <t xml:space="preserve">
单位可选，其他同理
</t>
        </r>
        <r>
          <rPr>
            <sz val="9"/>
            <color indexed="81"/>
            <rFont val="宋体"/>
            <family val="3"/>
            <charset val="134"/>
          </rPr>
          <t>G</t>
        </r>
        <r>
          <rPr>
            <sz val="9"/>
            <color indexed="81"/>
            <rFont val="宋体"/>
            <family val="3"/>
            <charset val="134"/>
          </rPr>
          <t>Ω</t>
        </r>
        <r>
          <rPr>
            <sz val="9"/>
            <color indexed="81"/>
            <rFont val="宋体"/>
            <family val="3"/>
            <charset val="134"/>
          </rPr>
          <t xml:space="preserve"> MΩ kΩ Ω</t>
        </r>
      </text>
    </comment>
    <comment ref="AK16" authorId="0">
      <text>
        <r>
          <rPr>
            <b/>
            <sz val="9"/>
            <color indexed="81"/>
            <rFont val="宋体"/>
            <family val="3"/>
            <charset val="134"/>
          </rPr>
          <t>good:</t>
        </r>
        <r>
          <rPr>
            <sz val="9"/>
            <color indexed="81"/>
            <rFont val="宋体"/>
            <family val="3"/>
            <charset val="134"/>
          </rPr>
          <t xml:space="preserve">
相对误差= （电阻*序号-实际值）/实际值*100%
备注：小数位数比允许误差多1位，四舍五入。其他以此类推。</t>
        </r>
      </text>
    </comment>
    <comment ref="C17" authorId="0">
      <text>
        <r>
          <rPr>
            <b/>
            <sz val="9"/>
            <color indexed="81"/>
            <rFont val="宋体"/>
            <family val="3"/>
            <charset val="134"/>
          </rPr>
          <t>good:</t>
        </r>
        <r>
          <rPr>
            <sz val="9"/>
            <color indexed="81"/>
            <rFont val="宋体"/>
            <family val="3"/>
            <charset val="134"/>
          </rPr>
          <t xml:space="preserve">
单位可选，其他同理
</t>
        </r>
        <r>
          <rPr>
            <sz val="9"/>
            <color indexed="81"/>
            <rFont val="宋体"/>
            <family val="3"/>
            <charset val="134"/>
          </rPr>
          <t>G</t>
        </r>
        <r>
          <rPr>
            <sz val="9"/>
            <color indexed="81"/>
            <rFont val="宋体"/>
            <family val="3"/>
            <charset val="134"/>
          </rPr>
          <t>Ω</t>
        </r>
        <r>
          <rPr>
            <sz val="9"/>
            <color indexed="81"/>
            <rFont val="宋体"/>
            <family val="3"/>
            <charset val="134"/>
          </rPr>
          <t xml:space="preserve"> MΩ kΩ Ω</t>
        </r>
      </text>
    </comment>
    <comment ref="E17" authorId="0">
      <text>
        <r>
          <rPr>
            <b/>
            <sz val="9"/>
            <color indexed="81"/>
            <rFont val="宋体"/>
            <family val="3"/>
            <charset val="134"/>
          </rPr>
          <t>good:</t>
        </r>
        <r>
          <rPr>
            <sz val="9"/>
            <color indexed="81"/>
            <rFont val="宋体"/>
            <family val="3"/>
            <charset val="134"/>
          </rPr>
          <t xml:space="preserve">
相对误差= （电阻*序号-实际值）/实际值*100%
备注：小数位数比允许误差多1位，四舍五入。其他以此类推。</t>
        </r>
      </text>
    </comment>
    <comment ref="R27" authorId="0">
      <text>
        <r>
          <rPr>
            <b/>
            <sz val="9"/>
            <color indexed="81"/>
            <rFont val="宋体"/>
            <family val="3"/>
            <charset val="134"/>
          </rPr>
          <t>good:</t>
        </r>
        <r>
          <rPr>
            <sz val="9"/>
            <color indexed="81"/>
            <rFont val="宋体"/>
            <family val="3"/>
            <charset val="134"/>
          </rPr>
          <t xml:space="preserve">
下拉选择，所有允许误差下拉选择。正负</t>
        </r>
        <r>
          <rPr>
            <sz val="9"/>
            <color indexed="81"/>
            <rFont val="宋体"/>
            <family val="3"/>
            <charset val="134"/>
          </rPr>
          <t>5,2,1,0.5,0.2,0.1</t>
        </r>
      </text>
    </comment>
    <comment ref="AG27" authorId="0">
      <text>
        <r>
          <rPr>
            <b/>
            <sz val="9"/>
            <color indexed="81"/>
            <rFont val="宋体"/>
            <family val="3"/>
            <charset val="134"/>
          </rPr>
          <t>good:</t>
        </r>
        <r>
          <rPr>
            <sz val="9"/>
            <color indexed="81"/>
            <rFont val="宋体"/>
            <family val="3"/>
            <charset val="134"/>
          </rPr>
          <t xml:space="preserve">
下拉选择，所有允许误差下拉选择。正负</t>
        </r>
        <r>
          <rPr>
            <sz val="9"/>
            <color indexed="81"/>
            <rFont val="宋体"/>
            <family val="3"/>
            <charset val="134"/>
          </rPr>
          <t>5,2,1,0.5,0.2,0.1</t>
        </r>
      </text>
    </comment>
    <comment ref="A28" authorId="0">
      <text>
        <r>
          <rPr>
            <b/>
            <sz val="9"/>
            <color indexed="81"/>
            <rFont val="宋体"/>
            <family val="3"/>
            <charset val="134"/>
          </rPr>
          <t>good:</t>
        </r>
        <r>
          <rPr>
            <sz val="9"/>
            <color indexed="81"/>
            <rFont val="宋体"/>
            <family val="3"/>
            <charset val="134"/>
          </rPr>
          <t xml:space="preserve">
下拉选择，所有允许误差下拉选择。正负</t>
        </r>
        <r>
          <rPr>
            <sz val="9"/>
            <color indexed="81"/>
            <rFont val="宋体"/>
            <family val="3"/>
            <charset val="134"/>
          </rPr>
          <t>5,2,1,0.5,0.2,0.1</t>
        </r>
      </text>
    </comment>
    <comment ref="A31" authorId="0">
      <text>
        <r>
          <rPr>
            <b/>
            <sz val="9"/>
            <color indexed="81"/>
            <rFont val="宋体"/>
            <family val="3"/>
            <charset val="134"/>
          </rPr>
          <t>good:</t>
        </r>
        <r>
          <rPr>
            <sz val="9"/>
            <color indexed="81"/>
            <rFont val="宋体"/>
            <family val="3"/>
            <charset val="134"/>
          </rPr>
          <t xml:space="preserve">
方案要设定行数，数据录入确定标准值</t>
        </r>
      </text>
    </comment>
    <comment ref="I31" authorId="0">
      <text>
        <r>
          <rPr>
            <b/>
            <sz val="9"/>
            <color indexed="81"/>
            <rFont val="宋体"/>
            <family val="3"/>
            <charset val="134"/>
          </rPr>
          <t>good:</t>
        </r>
        <r>
          <rPr>
            <sz val="9"/>
            <color indexed="81"/>
            <rFont val="宋体"/>
            <family val="3"/>
            <charset val="134"/>
          </rPr>
          <t xml:space="preserve">
（标准值-实际值）/实际值*100%
备注：小数位数比允许误差多1位，四舍五入</t>
        </r>
      </text>
    </comment>
    <comment ref="M31" authorId="0">
      <text>
        <r>
          <rPr>
            <b/>
            <sz val="9"/>
            <color indexed="81"/>
            <rFont val="宋体"/>
            <family val="3"/>
            <charset val="134"/>
          </rPr>
          <t>good:</t>
        </r>
        <r>
          <rPr>
            <sz val="9"/>
            <color indexed="81"/>
            <rFont val="宋体"/>
            <family val="3"/>
            <charset val="134"/>
          </rPr>
          <t xml:space="preserve">
下拉选择，所有允许误差下拉选择。正负5,2,1,0.5,0.2,0.1</t>
        </r>
      </text>
    </comment>
    <comment ref="AG31" authorId="0">
      <text>
        <r>
          <rPr>
            <b/>
            <sz val="9"/>
            <color indexed="81"/>
            <rFont val="宋体"/>
            <family val="3"/>
            <charset val="134"/>
          </rPr>
          <t>good:</t>
        </r>
        <r>
          <rPr>
            <sz val="9"/>
            <color indexed="81"/>
            <rFont val="宋体"/>
            <family val="3"/>
            <charset val="134"/>
          </rPr>
          <t xml:space="preserve">
方案要设定行数，数据录入确定标准值</t>
        </r>
      </text>
    </comment>
    <comment ref="AO31" authorId="0">
      <text>
        <r>
          <rPr>
            <b/>
            <sz val="9"/>
            <color indexed="81"/>
            <rFont val="宋体"/>
            <family val="3"/>
            <charset val="134"/>
          </rPr>
          <t>good:</t>
        </r>
        <r>
          <rPr>
            <sz val="9"/>
            <color indexed="81"/>
            <rFont val="宋体"/>
            <family val="3"/>
            <charset val="134"/>
          </rPr>
          <t xml:space="preserve">
（标准值-实际值）/实际值*100%
备注：小数位数比允许误差多1位，四舍五入</t>
        </r>
      </text>
    </comment>
    <comment ref="AS31" authorId="0">
      <text>
        <r>
          <rPr>
            <b/>
            <sz val="9"/>
            <color indexed="81"/>
            <rFont val="宋体"/>
            <family val="3"/>
            <charset val="134"/>
          </rPr>
          <t>good:</t>
        </r>
        <r>
          <rPr>
            <sz val="9"/>
            <color indexed="81"/>
            <rFont val="宋体"/>
            <family val="3"/>
            <charset val="134"/>
          </rPr>
          <t xml:space="preserve">
下拉选择，所有允许误差下拉选择。正负5,2,1,0.5,0.2,0.1</t>
        </r>
      </text>
    </comment>
  </commentList>
</comments>
</file>

<file path=xl/comments45.xml><?xml version="1.0" encoding="utf-8"?>
<comments xmlns="http://schemas.openxmlformats.org/spreadsheetml/2006/main">
  <authors>
    <author>good</author>
  </authors>
  <commentList>
    <comment ref="B8" authorId="0">
      <text>
        <r>
          <rPr>
            <b/>
            <sz val="9"/>
            <color indexed="81"/>
            <rFont val="宋体"/>
            <family val="3"/>
            <charset val="134"/>
          </rPr>
          <t>good:
根据项目小数位数不同</t>
        </r>
      </text>
    </comment>
    <comment ref="A15" authorId="0">
      <text>
        <r>
          <rPr>
            <b/>
            <sz val="9"/>
            <color indexed="81"/>
            <rFont val="宋体"/>
            <family val="3"/>
            <charset val="134"/>
          </rPr>
          <t>good:</t>
        </r>
        <r>
          <rPr>
            <sz val="9"/>
            <color indexed="81"/>
            <rFont val="宋体"/>
            <family val="3"/>
            <charset val="134"/>
          </rPr>
          <t xml:space="preserve">
根据项目小数位数不同</t>
        </r>
      </text>
    </comment>
    <comment ref="D19" authorId="0">
      <text>
        <r>
          <rPr>
            <b/>
            <sz val="9"/>
            <color indexed="81"/>
            <rFont val="宋体"/>
            <family val="3"/>
            <charset val="134"/>
          </rPr>
          <t>good:</t>
        </r>
        <r>
          <rPr>
            <sz val="9"/>
            <color indexed="81"/>
            <rFont val="宋体"/>
            <family val="3"/>
            <charset val="134"/>
          </rPr>
          <t xml:space="preserve">
根据项目小数位数不同</t>
        </r>
      </text>
    </comment>
    <comment ref="B21" authorId="0">
      <text>
        <r>
          <rPr>
            <b/>
            <sz val="9"/>
            <color indexed="81"/>
            <rFont val="宋体"/>
            <family val="3"/>
            <charset val="134"/>
          </rPr>
          <t>good:</t>
        </r>
        <r>
          <rPr>
            <sz val="9"/>
            <color indexed="81"/>
            <rFont val="宋体"/>
            <family val="3"/>
            <charset val="134"/>
          </rPr>
          <t xml:space="preserve">
根据项目小数位数不同</t>
        </r>
      </text>
    </comment>
    <comment ref="B30" authorId="0">
      <text>
        <r>
          <rPr>
            <b/>
            <sz val="9"/>
            <color indexed="81"/>
            <rFont val="宋体"/>
            <family val="3"/>
            <charset val="134"/>
          </rPr>
          <t>good:
根据项目小数位数不同</t>
        </r>
      </text>
    </comment>
    <comment ref="A37" authorId="0">
      <text>
        <r>
          <rPr>
            <b/>
            <sz val="9"/>
            <color indexed="81"/>
            <rFont val="宋体"/>
            <family val="3"/>
            <charset val="134"/>
          </rPr>
          <t>good:</t>
        </r>
        <r>
          <rPr>
            <sz val="9"/>
            <color indexed="81"/>
            <rFont val="宋体"/>
            <family val="3"/>
            <charset val="134"/>
          </rPr>
          <t xml:space="preserve">
根据项目小数位数不同</t>
        </r>
      </text>
    </comment>
    <comment ref="D41" authorId="0">
      <text>
        <r>
          <rPr>
            <b/>
            <sz val="9"/>
            <color indexed="81"/>
            <rFont val="宋体"/>
            <family val="3"/>
            <charset val="134"/>
          </rPr>
          <t>good:</t>
        </r>
        <r>
          <rPr>
            <sz val="9"/>
            <color indexed="81"/>
            <rFont val="宋体"/>
            <family val="3"/>
            <charset val="134"/>
          </rPr>
          <t xml:space="preserve">
根据项目小数位数不同</t>
        </r>
      </text>
    </comment>
    <comment ref="B43" authorId="0">
      <text>
        <r>
          <rPr>
            <b/>
            <sz val="9"/>
            <color indexed="81"/>
            <rFont val="宋体"/>
            <family val="3"/>
            <charset val="134"/>
          </rPr>
          <t>good:</t>
        </r>
        <r>
          <rPr>
            <sz val="9"/>
            <color indexed="81"/>
            <rFont val="宋体"/>
            <family val="3"/>
            <charset val="134"/>
          </rPr>
          <t xml:space="preserve">
根据项目小数位数不同</t>
        </r>
      </text>
    </comment>
  </commentList>
</comments>
</file>

<file path=xl/comments46.xml><?xml version="1.0" encoding="utf-8"?>
<comments xmlns="http://schemas.openxmlformats.org/spreadsheetml/2006/main">
  <authors>
    <author>stone</author>
    <author>good</author>
  </authors>
  <commentList>
    <comment ref="A15" authorId="0">
      <text>
        <r>
          <rPr>
            <b/>
            <sz val="9"/>
            <color indexed="81"/>
            <rFont val="宋体"/>
            <family val="3"/>
            <charset val="134"/>
          </rPr>
          <t>stone:</t>
        </r>
        <r>
          <rPr>
            <sz val="9"/>
            <color indexed="81"/>
            <rFont val="宋体"/>
            <family val="3"/>
            <charset val="134"/>
          </rPr>
          <t xml:space="preserve">
修改名称，有频率测量，频率输出</t>
        </r>
      </text>
    </comment>
    <comment ref="A16" authorId="1">
      <text>
        <r>
          <rPr>
            <b/>
            <sz val="9"/>
            <color indexed="81"/>
            <rFont val="宋体"/>
            <family val="3"/>
            <charset val="134"/>
          </rPr>
          <t>good:</t>
        </r>
        <r>
          <rPr>
            <sz val="9"/>
            <color indexed="81"/>
            <rFont val="宋体"/>
            <family val="3"/>
            <charset val="134"/>
          </rPr>
          <t xml:space="preserve">
程序默认5个点，可以修改。</t>
        </r>
      </text>
    </comment>
    <comment ref="R16" authorId="1">
      <text>
        <r>
          <rPr>
            <b/>
            <sz val="9"/>
            <color indexed="81"/>
            <rFont val="宋体"/>
            <family val="3"/>
            <charset val="134"/>
          </rPr>
          <t>good:</t>
        </r>
        <r>
          <rPr>
            <sz val="9"/>
            <color indexed="81"/>
            <rFont val="宋体"/>
            <family val="3"/>
            <charset val="134"/>
          </rPr>
          <t xml:space="preserve">
程序默认5个点，可以修改。</t>
        </r>
      </text>
    </comment>
    <comment ref="AF16" authorId="1">
      <text>
        <r>
          <rPr>
            <b/>
            <sz val="9"/>
            <color indexed="81"/>
            <rFont val="宋体"/>
            <family val="3"/>
            <charset val="134"/>
          </rPr>
          <t>good:</t>
        </r>
        <r>
          <rPr>
            <sz val="9"/>
            <color indexed="81"/>
            <rFont val="宋体"/>
            <family val="3"/>
            <charset val="134"/>
          </rPr>
          <t xml:space="preserve">
程序默认5个点，可以修改。</t>
        </r>
      </text>
    </comment>
  </commentList>
</comments>
</file>

<file path=xl/comments47.xml><?xml version="1.0" encoding="utf-8"?>
<comments xmlns="http://schemas.openxmlformats.org/spreadsheetml/2006/main">
  <authors>
    <author>作者</author>
  </authors>
  <commentList>
    <comment ref="A6" authorId="0">
      <text>
        <r>
          <rPr>
            <b/>
            <sz val="9"/>
            <color indexed="81"/>
            <rFont val="宋体"/>
            <family val="3"/>
            <charset val="134"/>
          </rPr>
          <t>作者:</t>
        </r>
        <r>
          <rPr>
            <b/>
            <sz val="9"/>
            <color indexed="81"/>
            <rFont val="宋体"/>
            <family val="3"/>
            <charset val="134"/>
          </rPr>
          <t xml:space="preserve">
根据项目小数位数不同</t>
        </r>
      </text>
    </comment>
  </commentList>
</comments>
</file>

<file path=xl/comments48.xml><?xml version="1.0" encoding="utf-8"?>
<comments xmlns="http://schemas.openxmlformats.org/spreadsheetml/2006/main">
  <authors>
    <author>stone</author>
  </authors>
  <commentList>
    <comment ref="B25" authorId="0">
      <text>
        <r>
          <rPr>
            <b/>
            <sz val="9"/>
            <color indexed="81"/>
            <rFont val="宋体"/>
            <family val="3"/>
            <charset val="134"/>
          </rPr>
          <t>stone:</t>
        </r>
        <r>
          <rPr>
            <sz val="9"/>
            <color indexed="81"/>
            <rFont val="宋体"/>
            <family val="3"/>
            <charset val="134"/>
          </rPr>
          <t xml:space="preserve">
自己输入，有相位测量，相位输出</t>
        </r>
      </text>
    </comment>
    <comment ref="A40" authorId="0">
      <text>
        <r>
          <rPr>
            <b/>
            <sz val="9"/>
            <color indexed="81"/>
            <rFont val="宋体"/>
            <family val="3"/>
            <charset val="134"/>
          </rPr>
          <t>stone:</t>
        </r>
        <r>
          <rPr>
            <sz val="9"/>
            <color indexed="81"/>
            <rFont val="宋体"/>
            <family val="3"/>
            <charset val="134"/>
          </rPr>
          <t xml:space="preserve">
表格下的结论校准证书没有，检定证书有</t>
        </r>
      </text>
    </comment>
    <comment ref="B47" authorId="0">
      <text>
        <r>
          <rPr>
            <b/>
            <sz val="9"/>
            <color indexed="81"/>
            <rFont val="宋体"/>
            <family val="3"/>
            <charset val="134"/>
          </rPr>
          <t>stone:</t>
        </r>
        <r>
          <rPr>
            <sz val="9"/>
            <color indexed="81"/>
            <rFont val="宋体"/>
            <family val="3"/>
            <charset val="134"/>
          </rPr>
          <t xml:space="preserve">
自己输入，有相位测量，相位输出</t>
        </r>
      </text>
    </comment>
    <comment ref="A62" authorId="0">
      <text>
        <r>
          <rPr>
            <b/>
            <sz val="9"/>
            <color indexed="81"/>
            <rFont val="宋体"/>
            <family val="3"/>
            <charset val="134"/>
          </rPr>
          <t>stone:</t>
        </r>
        <r>
          <rPr>
            <sz val="9"/>
            <color indexed="81"/>
            <rFont val="宋体"/>
            <family val="3"/>
            <charset val="134"/>
          </rPr>
          <t xml:space="preserve">
表格下的结论校准证书没有，检定证书有</t>
        </r>
      </text>
    </comment>
    <comment ref="B67" authorId="0">
      <text>
        <r>
          <rPr>
            <b/>
            <sz val="9"/>
            <color indexed="81"/>
            <rFont val="宋体"/>
            <family val="3"/>
            <charset val="134"/>
          </rPr>
          <t>stone:</t>
        </r>
        <r>
          <rPr>
            <sz val="9"/>
            <color indexed="81"/>
            <rFont val="宋体"/>
            <family val="3"/>
            <charset val="134"/>
          </rPr>
          <t xml:space="preserve">
自己输入，有相位测量，相位输出</t>
        </r>
      </text>
    </comment>
    <comment ref="A82" authorId="0">
      <text>
        <r>
          <rPr>
            <b/>
            <sz val="9"/>
            <color indexed="81"/>
            <rFont val="宋体"/>
            <family val="3"/>
            <charset val="134"/>
          </rPr>
          <t>stone:</t>
        </r>
        <r>
          <rPr>
            <sz val="9"/>
            <color indexed="81"/>
            <rFont val="宋体"/>
            <family val="3"/>
            <charset val="134"/>
          </rPr>
          <t xml:space="preserve">
表格下的结论校准证书没有，检定证书有</t>
        </r>
      </text>
    </comment>
    <comment ref="B85" authorId="0">
      <text>
        <r>
          <rPr>
            <b/>
            <sz val="9"/>
            <color indexed="81"/>
            <rFont val="宋体"/>
            <family val="3"/>
            <charset val="134"/>
          </rPr>
          <t>stone:</t>
        </r>
        <r>
          <rPr>
            <sz val="9"/>
            <color indexed="81"/>
            <rFont val="宋体"/>
            <family val="3"/>
            <charset val="134"/>
          </rPr>
          <t xml:space="preserve">
自己输入，有相位测量，相位输出</t>
        </r>
      </text>
    </comment>
    <comment ref="A100" authorId="0">
      <text>
        <r>
          <rPr>
            <b/>
            <sz val="9"/>
            <color indexed="81"/>
            <rFont val="宋体"/>
            <family val="3"/>
            <charset val="134"/>
          </rPr>
          <t>stone:</t>
        </r>
        <r>
          <rPr>
            <sz val="9"/>
            <color indexed="81"/>
            <rFont val="宋体"/>
            <family val="3"/>
            <charset val="134"/>
          </rPr>
          <t xml:space="preserve">
表格下的结论校准证书没有，检定证书有</t>
        </r>
      </text>
    </comment>
    <comment ref="B107" authorId="0">
      <text>
        <r>
          <rPr>
            <b/>
            <sz val="9"/>
            <color indexed="81"/>
            <rFont val="宋体"/>
            <family val="3"/>
            <charset val="134"/>
          </rPr>
          <t>stone:</t>
        </r>
        <r>
          <rPr>
            <sz val="9"/>
            <color indexed="81"/>
            <rFont val="宋体"/>
            <family val="3"/>
            <charset val="134"/>
          </rPr>
          <t xml:space="preserve">
自己输入，有相位测量，相位输出</t>
        </r>
      </text>
    </comment>
    <comment ref="A122" authorId="0">
      <text>
        <r>
          <rPr>
            <b/>
            <sz val="9"/>
            <color indexed="81"/>
            <rFont val="宋体"/>
            <family val="3"/>
            <charset val="134"/>
          </rPr>
          <t>stone:</t>
        </r>
        <r>
          <rPr>
            <sz val="9"/>
            <color indexed="81"/>
            <rFont val="宋体"/>
            <family val="3"/>
            <charset val="134"/>
          </rPr>
          <t xml:space="preserve">
表格下的结论校准证书没有，检定证书有</t>
        </r>
      </text>
    </comment>
    <comment ref="B126" authorId="0">
      <text>
        <r>
          <rPr>
            <b/>
            <sz val="9"/>
            <color indexed="81"/>
            <rFont val="宋体"/>
            <family val="3"/>
            <charset val="134"/>
          </rPr>
          <t>stone:</t>
        </r>
        <r>
          <rPr>
            <sz val="9"/>
            <color indexed="81"/>
            <rFont val="宋体"/>
            <family val="3"/>
            <charset val="134"/>
          </rPr>
          <t xml:space="preserve">
自己输入，有相位测量，相位输出</t>
        </r>
      </text>
    </comment>
    <comment ref="A141" authorId="0">
      <text>
        <r>
          <rPr>
            <b/>
            <sz val="9"/>
            <color indexed="81"/>
            <rFont val="宋体"/>
            <family val="3"/>
            <charset val="134"/>
          </rPr>
          <t>stone:</t>
        </r>
        <r>
          <rPr>
            <sz val="9"/>
            <color indexed="81"/>
            <rFont val="宋体"/>
            <family val="3"/>
            <charset val="134"/>
          </rPr>
          <t xml:space="preserve">
表格下的结论校准证书没有，检定证书有</t>
        </r>
      </text>
    </comment>
  </commentList>
</comments>
</file>

<file path=xl/comments49.xml><?xml version="1.0" encoding="utf-8"?>
<comments xmlns="http://schemas.openxmlformats.org/spreadsheetml/2006/main">
  <authors>
    <author>作者</author>
  </authors>
  <commentList>
    <comment ref="A6" authorId="0">
      <text>
        <r>
          <rPr>
            <b/>
            <sz val="9"/>
            <color indexed="81"/>
            <rFont val="宋体"/>
            <family val="3"/>
            <charset val="134"/>
          </rPr>
          <t>作者:</t>
        </r>
        <r>
          <rPr>
            <b/>
            <sz val="9"/>
            <color indexed="81"/>
            <rFont val="宋体"/>
            <family val="3"/>
            <charset val="134"/>
          </rPr>
          <t xml:space="preserve">
根据项目小数位数不同</t>
        </r>
      </text>
    </comment>
    <comment ref="A7" authorId="0">
      <text>
        <r>
          <rPr>
            <b/>
            <sz val="9"/>
            <color indexed="81"/>
            <rFont val="宋体"/>
            <family val="3"/>
            <charset val="134"/>
          </rPr>
          <t>作者:</t>
        </r>
        <r>
          <rPr>
            <b/>
            <sz val="9"/>
            <color indexed="81"/>
            <rFont val="宋体"/>
            <family val="3"/>
            <charset val="134"/>
          </rPr>
          <t xml:space="preserve">
根据项目小数位数不同</t>
        </r>
      </text>
    </comment>
  </commentList>
</comments>
</file>

<file path=xl/comments50.xml><?xml version="1.0" encoding="utf-8"?>
<comments xmlns="http://schemas.openxmlformats.org/spreadsheetml/2006/main">
  <authors>
    <author>good</author>
  </authors>
  <commentList>
    <comment ref="S21" authorId="0">
      <text>
        <r>
          <rPr>
            <b/>
            <sz val="9"/>
            <color indexed="81"/>
            <rFont val="宋体"/>
            <family val="3"/>
            <charset val="134"/>
          </rPr>
          <t>good:</t>
        </r>
        <r>
          <rPr>
            <sz val="9"/>
            <color indexed="81"/>
            <rFont val="宋体"/>
            <family val="3"/>
            <charset val="134"/>
          </rPr>
          <t xml:space="preserve">
57.7 的显示值，小数点后四位。
220的显示值，小数点后三位。</t>
        </r>
      </text>
    </comment>
    <comment ref="V21" authorId="0">
      <text>
        <r>
          <rPr>
            <b/>
            <sz val="9"/>
            <color indexed="81"/>
            <rFont val="宋体"/>
            <family val="3"/>
            <charset val="134"/>
          </rPr>
          <t>good:</t>
        </r>
        <r>
          <rPr>
            <sz val="9"/>
            <color indexed="81"/>
            <rFont val="宋体"/>
            <family val="3"/>
            <charset val="134"/>
          </rPr>
          <t xml:space="preserve">
小数点位数和显示值一致。</t>
        </r>
      </text>
    </comment>
    <comment ref="Y21" authorId="0">
      <text>
        <r>
          <rPr>
            <b/>
            <sz val="9"/>
            <color indexed="81"/>
            <rFont val="宋体"/>
            <family val="3"/>
            <charset val="134"/>
          </rPr>
          <t>good:</t>
        </r>
        <r>
          <rPr>
            <sz val="9"/>
            <color indexed="81"/>
            <rFont val="宋体"/>
            <family val="3"/>
            <charset val="134"/>
          </rPr>
          <t xml:space="preserve">
小数点后三位</t>
        </r>
      </text>
    </comment>
    <comment ref="AB21" authorId="0">
      <text>
        <r>
          <rPr>
            <b/>
            <sz val="9"/>
            <color indexed="81"/>
            <rFont val="宋体"/>
            <family val="3"/>
            <charset val="134"/>
          </rPr>
          <t>good:</t>
        </r>
        <r>
          <rPr>
            <sz val="9"/>
            <color indexed="81"/>
            <rFont val="宋体"/>
            <family val="3"/>
            <charset val="134"/>
          </rPr>
          <t xml:space="preserve">
小数点后三位，都入。</t>
        </r>
      </text>
    </comment>
    <comment ref="AF21" authorId="0">
      <text>
        <r>
          <rPr>
            <b/>
            <sz val="9"/>
            <color indexed="81"/>
            <rFont val="宋体"/>
            <family val="3"/>
            <charset val="134"/>
          </rPr>
          <t>good:</t>
        </r>
        <r>
          <rPr>
            <sz val="9"/>
            <color indexed="81"/>
            <rFont val="宋体"/>
            <family val="3"/>
            <charset val="134"/>
          </rPr>
          <t xml:space="preserve">
57.7 的显示值，小数点后四位。
220的显示值，小数点后三位。</t>
        </r>
      </text>
    </comment>
    <comment ref="AI21" authorId="0">
      <text>
        <r>
          <rPr>
            <b/>
            <sz val="9"/>
            <color indexed="81"/>
            <rFont val="宋体"/>
            <family val="3"/>
            <charset val="134"/>
          </rPr>
          <t>good:</t>
        </r>
        <r>
          <rPr>
            <sz val="9"/>
            <color indexed="81"/>
            <rFont val="宋体"/>
            <family val="3"/>
            <charset val="134"/>
          </rPr>
          <t xml:space="preserve">
小数点位数和显示值一致。</t>
        </r>
      </text>
    </comment>
    <comment ref="AL21" authorId="0">
      <text>
        <r>
          <rPr>
            <b/>
            <sz val="9"/>
            <color indexed="81"/>
            <rFont val="宋体"/>
            <family val="3"/>
            <charset val="134"/>
          </rPr>
          <t>good:</t>
        </r>
        <r>
          <rPr>
            <sz val="9"/>
            <color indexed="81"/>
            <rFont val="宋体"/>
            <family val="3"/>
            <charset val="134"/>
          </rPr>
          <t xml:space="preserve">
小数点后三位</t>
        </r>
      </text>
    </comment>
    <comment ref="C22" authorId="0">
      <text>
        <r>
          <rPr>
            <b/>
            <sz val="9"/>
            <color indexed="81"/>
            <rFont val="宋体"/>
            <family val="3"/>
            <charset val="134"/>
          </rPr>
          <t>good:</t>
        </r>
        <r>
          <rPr>
            <sz val="9"/>
            <color indexed="81"/>
            <rFont val="宋体"/>
            <family val="3"/>
            <charset val="134"/>
          </rPr>
          <t xml:space="preserve">
57.7 的显示值，小数点后四位。
220的显示值，小数点后三位。</t>
        </r>
      </text>
    </comment>
    <comment ref="F22" authorId="0">
      <text>
        <r>
          <rPr>
            <b/>
            <sz val="9"/>
            <color indexed="81"/>
            <rFont val="宋体"/>
            <family val="3"/>
            <charset val="134"/>
          </rPr>
          <t>good:</t>
        </r>
        <r>
          <rPr>
            <sz val="9"/>
            <color indexed="81"/>
            <rFont val="宋体"/>
            <family val="3"/>
            <charset val="134"/>
          </rPr>
          <t xml:space="preserve">
小数点位数和显示值一致。</t>
        </r>
      </text>
    </comment>
    <comment ref="I22" authorId="0">
      <text>
        <r>
          <rPr>
            <b/>
            <sz val="9"/>
            <color indexed="81"/>
            <rFont val="宋体"/>
            <family val="3"/>
            <charset val="134"/>
          </rPr>
          <t>good:</t>
        </r>
        <r>
          <rPr>
            <sz val="9"/>
            <color indexed="81"/>
            <rFont val="宋体"/>
            <family val="3"/>
            <charset val="134"/>
          </rPr>
          <t xml:space="preserve">
小数点后三位</t>
        </r>
      </text>
    </comment>
    <comment ref="L22" authorId="0">
      <text>
        <r>
          <rPr>
            <b/>
            <sz val="9"/>
            <color indexed="81"/>
            <rFont val="宋体"/>
            <family val="3"/>
            <charset val="134"/>
          </rPr>
          <t>good:</t>
        </r>
        <r>
          <rPr>
            <sz val="9"/>
            <color indexed="81"/>
            <rFont val="宋体"/>
            <family val="3"/>
            <charset val="134"/>
          </rPr>
          <t xml:space="preserve">
小数点后三位，都入。</t>
        </r>
      </text>
    </comment>
    <comment ref="S22" authorId="0">
      <text>
        <r>
          <rPr>
            <b/>
            <sz val="9"/>
            <color indexed="81"/>
            <rFont val="宋体"/>
            <family val="3"/>
            <charset val="134"/>
          </rPr>
          <t>good:</t>
        </r>
        <r>
          <rPr>
            <sz val="9"/>
            <color indexed="81"/>
            <rFont val="宋体"/>
            <family val="3"/>
            <charset val="134"/>
          </rPr>
          <t xml:space="preserve">
10个点，</t>
        </r>
      </text>
    </comment>
    <comment ref="AF22" authorId="0">
      <text>
        <r>
          <rPr>
            <b/>
            <sz val="9"/>
            <color indexed="81"/>
            <rFont val="宋体"/>
            <family val="3"/>
            <charset val="134"/>
          </rPr>
          <t>good:</t>
        </r>
        <r>
          <rPr>
            <sz val="9"/>
            <color indexed="81"/>
            <rFont val="宋体"/>
            <family val="3"/>
            <charset val="134"/>
          </rPr>
          <t xml:space="preserve">
10个点，</t>
        </r>
      </text>
    </comment>
    <comment ref="C23" authorId="0">
      <text>
        <r>
          <rPr>
            <b/>
            <sz val="9"/>
            <color indexed="81"/>
            <rFont val="宋体"/>
            <family val="3"/>
            <charset val="134"/>
          </rPr>
          <t>good:</t>
        </r>
        <r>
          <rPr>
            <sz val="9"/>
            <color indexed="81"/>
            <rFont val="宋体"/>
            <family val="3"/>
            <charset val="134"/>
          </rPr>
          <t xml:space="preserve">
10个点，</t>
        </r>
      </text>
    </comment>
    <comment ref="S33" authorId="0">
      <text>
        <r>
          <rPr>
            <b/>
            <sz val="9"/>
            <color indexed="81"/>
            <rFont val="宋体"/>
            <family val="3"/>
            <charset val="134"/>
          </rPr>
          <t>good:</t>
        </r>
        <r>
          <rPr>
            <sz val="9"/>
            <color indexed="81"/>
            <rFont val="宋体"/>
            <family val="3"/>
            <charset val="134"/>
          </rPr>
          <t xml:space="preserve">
5个点，20%到100%</t>
        </r>
      </text>
    </comment>
    <comment ref="AF33" authorId="0">
      <text>
        <r>
          <rPr>
            <b/>
            <sz val="9"/>
            <color indexed="81"/>
            <rFont val="宋体"/>
            <family val="3"/>
            <charset val="134"/>
          </rPr>
          <t>good:</t>
        </r>
        <r>
          <rPr>
            <sz val="9"/>
            <color indexed="81"/>
            <rFont val="宋体"/>
            <family val="3"/>
            <charset val="134"/>
          </rPr>
          <t xml:space="preserve">
5个点，20%到100%</t>
        </r>
      </text>
    </comment>
    <comment ref="C34" authorId="0">
      <text>
        <r>
          <rPr>
            <b/>
            <sz val="9"/>
            <color indexed="81"/>
            <rFont val="宋体"/>
            <family val="3"/>
            <charset val="134"/>
          </rPr>
          <t>good:</t>
        </r>
        <r>
          <rPr>
            <sz val="9"/>
            <color indexed="81"/>
            <rFont val="宋体"/>
            <family val="3"/>
            <charset val="134"/>
          </rPr>
          <t xml:space="preserve">
5个点，20%到100%</t>
        </r>
      </text>
    </comment>
  </commentList>
</comments>
</file>

<file path=xl/comments51.xml><?xml version="1.0" encoding="utf-8"?>
<comments xmlns="http://schemas.openxmlformats.org/spreadsheetml/2006/main">
  <authors>
    <author>作者</author>
  </authors>
  <commentList>
    <comment ref="A6" authorId="0">
      <text>
        <r>
          <rPr>
            <b/>
            <sz val="9"/>
            <color indexed="81"/>
            <rFont val="宋体"/>
            <family val="3"/>
            <charset val="134"/>
          </rPr>
          <t>作者:</t>
        </r>
        <r>
          <rPr>
            <b/>
            <sz val="9"/>
            <color indexed="81"/>
            <rFont val="宋体"/>
            <family val="3"/>
            <charset val="134"/>
          </rPr>
          <t xml:space="preserve">
根据项目小数位数不同</t>
        </r>
      </text>
    </comment>
  </commentList>
</comments>
</file>

<file path=xl/comments52.xml><?xml version="1.0" encoding="utf-8"?>
<comments xmlns="http://schemas.openxmlformats.org/spreadsheetml/2006/main">
  <authors>
    <author>good</author>
  </authors>
  <commentList>
    <comment ref="A18" authorId="0">
      <text>
        <r>
          <rPr>
            <b/>
            <sz val="9"/>
            <color indexed="81"/>
            <rFont val="宋体"/>
            <family val="3"/>
            <charset val="134"/>
          </rPr>
          <t>good:</t>
        </r>
        <r>
          <rPr>
            <sz val="9"/>
            <color indexed="81"/>
            <rFont val="宋体"/>
            <family val="3"/>
            <charset val="134"/>
          </rPr>
          <t xml:space="preserve">
系统给出默认</t>
        </r>
      </text>
    </comment>
    <comment ref="B18" authorId="0">
      <text>
        <r>
          <rPr>
            <b/>
            <sz val="9"/>
            <color indexed="81"/>
            <rFont val="宋体"/>
            <family val="3"/>
            <charset val="134"/>
          </rPr>
          <t>good:</t>
        </r>
        <r>
          <rPr>
            <sz val="9"/>
            <color indexed="81"/>
            <rFont val="宋体"/>
            <family val="3"/>
            <charset val="134"/>
          </rPr>
          <t xml:space="preserve">
系统给出默认</t>
        </r>
      </text>
    </comment>
    <comment ref="T18" authorId="0">
      <text>
        <r>
          <rPr>
            <b/>
            <sz val="9"/>
            <color indexed="81"/>
            <rFont val="宋体"/>
            <family val="3"/>
            <charset val="134"/>
          </rPr>
          <t>good:</t>
        </r>
        <r>
          <rPr>
            <sz val="9"/>
            <color indexed="81"/>
            <rFont val="宋体"/>
            <family val="3"/>
            <charset val="134"/>
          </rPr>
          <t xml:space="preserve">
系统给出默认</t>
        </r>
      </text>
    </comment>
    <comment ref="U18" authorId="0">
      <text>
        <r>
          <rPr>
            <b/>
            <sz val="9"/>
            <color indexed="81"/>
            <rFont val="宋体"/>
            <family val="3"/>
            <charset val="134"/>
          </rPr>
          <t>good:</t>
        </r>
        <r>
          <rPr>
            <sz val="9"/>
            <color indexed="81"/>
            <rFont val="宋体"/>
            <family val="3"/>
            <charset val="134"/>
          </rPr>
          <t xml:space="preserve">
系统给出默认</t>
        </r>
      </text>
    </comment>
    <comment ref="AH18" authorId="0">
      <text>
        <r>
          <rPr>
            <b/>
            <sz val="9"/>
            <color indexed="81"/>
            <rFont val="宋体"/>
            <family val="3"/>
            <charset val="134"/>
          </rPr>
          <t>good:</t>
        </r>
        <r>
          <rPr>
            <sz val="9"/>
            <color indexed="81"/>
            <rFont val="宋体"/>
            <family val="3"/>
            <charset val="134"/>
          </rPr>
          <t xml:space="preserve">
系统给出默认</t>
        </r>
      </text>
    </comment>
    <comment ref="AI18" authorId="0">
      <text>
        <r>
          <rPr>
            <b/>
            <sz val="9"/>
            <color indexed="81"/>
            <rFont val="宋体"/>
            <family val="3"/>
            <charset val="134"/>
          </rPr>
          <t>good:</t>
        </r>
        <r>
          <rPr>
            <sz val="9"/>
            <color indexed="81"/>
            <rFont val="宋体"/>
            <family val="3"/>
            <charset val="134"/>
          </rPr>
          <t xml:space="preserve">
系统给出默认</t>
        </r>
      </text>
    </comment>
  </commentList>
</comments>
</file>

<file path=xl/comments53.xml><?xml version="1.0" encoding="utf-8"?>
<comments xmlns="http://schemas.openxmlformats.org/spreadsheetml/2006/main">
  <authors>
    <author>good</author>
  </authors>
  <commentList>
    <comment ref="J27" authorId="0">
      <text>
        <r>
          <rPr>
            <b/>
            <sz val="9"/>
            <color indexed="81"/>
            <rFont val="宋体"/>
            <family val="3"/>
            <charset val="134"/>
          </rPr>
          <t>good:</t>
        </r>
        <r>
          <rPr>
            <sz val="9"/>
            <color indexed="81"/>
            <rFont val="宋体"/>
            <family val="3"/>
            <charset val="134"/>
          </rPr>
          <t xml:space="preserve">
自己输入，单位默认V</t>
        </r>
      </text>
    </comment>
    <comment ref="S27" authorId="0">
      <text>
        <r>
          <rPr>
            <b/>
            <sz val="9"/>
            <color indexed="81"/>
            <rFont val="宋体"/>
            <family val="3"/>
            <charset val="134"/>
          </rPr>
          <t>good:</t>
        </r>
        <r>
          <rPr>
            <sz val="9"/>
            <color indexed="81"/>
            <rFont val="宋体"/>
            <family val="3"/>
            <charset val="134"/>
          </rPr>
          <t xml:space="preserve">
0.2，0.5,1.0下拉选择</t>
        </r>
      </text>
    </comment>
    <comment ref="BK27" authorId="0">
      <text>
        <r>
          <rPr>
            <b/>
            <sz val="9"/>
            <color indexed="81"/>
            <rFont val="宋体"/>
            <family val="3"/>
            <charset val="134"/>
          </rPr>
          <t>good:</t>
        </r>
        <r>
          <rPr>
            <sz val="9"/>
            <color indexed="81"/>
            <rFont val="宋体"/>
            <family val="3"/>
            <charset val="134"/>
          </rPr>
          <t xml:space="preserve">
自己输入，单位默认V</t>
        </r>
      </text>
    </comment>
    <comment ref="BT27" authorId="0">
      <text>
        <r>
          <rPr>
            <b/>
            <sz val="9"/>
            <color indexed="81"/>
            <rFont val="宋体"/>
            <family val="3"/>
            <charset val="134"/>
          </rPr>
          <t>good:</t>
        </r>
        <r>
          <rPr>
            <sz val="9"/>
            <color indexed="81"/>
            <rFont val="宋体"/>
            <family val="3"/>
            <charset val="134"/>
          </rPr>
          <t xml:space="preserve">
0.2，0.5,1.0下拉选择</t>
        </r>
      </text>
    </comment>
    <comment ref="DK27" authorId="0">
      <text>
        <r>
          <rPr>
            <b/>
            <sz val="9"/>
            <color indexed="81"/>
            <rFont val="宋体"/>
            <family val="3"/>
            <charset val="134"/>
          </rPr>
          <t>good:</t>
        </r>
        <r>
          <rPr>
            <sz val="9"/>
            <color indexed="81"/>
            <rFont val="宋体"/>
            <family val="3"/>
            <charset val="134"/>
          </rPr>
          <t xml:space="preserve">
自己输入，单位默认V</t>
        </r>
      </text>
    </comment>
    <comment ref="DT27" authorId="0">
      <text>
        <r>
          <rPr>
            <b/>
            <sz val="9"/>
            <color indexed="81"/>
            <rFont val="宋体"/>
            <family val="3"/>
            <charset val="134"/>
          </rPr>
          <t>good:</t>
        </r>
        <r>
          <rPr>
            <sz val="9"/>
            <color indexed="81"/>
            <rFont val="宋体"/>
            <family val="3"/>
            <charset val="134"/>
          </rPr>
          <t xml:space="preserve">
0.2，0.5,1.0下拉选择</t>
        </r>
      </text>
    </comment>
    <comment ref="A30" authorId="0">
      <text>
        <r>
          <rPr>
            <b/>
            <sz val="9"/>
            <color indexed="81"/>
            <rFont val="宋体"/>
            <family val="3"/>
            <charset val="134"/>
          </rPr>
          <t>good:</t>
        </r>
        <r>
          <rPr>
            <sz val="9"/>
            <color indexed="81"/>
            <rFont val="宋体"/>
            <family val="3"/>
            <charset val="134"/>
          </rPr>
          <t xml:space="preserve">
自己输入，追加行数</t>
        </r>
      </text>
    </comment>
    <comment ref="BB30" authorId="0">
      <text>
        <r>
          <rPr>
            <b/>
            <sz val="9"/>
            <color indexed="81"/>
            <rFont val="宋体"/>
            <family val="3"/>
            <charset val="134"/>
          </rPr>
          <t>good:</t>
        </r>
        <r>
          <rPr>
            <sz val="9"/>
            <color indexed="81"/>
            <rFont val="宋体"/>
            <family val="3"/>
            <charset val="134"/>
          </rPr>
          <t xml:space="preserve">
自己输入，追加行数</t>
        </r>
      </text>
    </comment>
    <comment ref="DB30" authorId="0">
      <text>
        <r>
          <rPr>
            <b/>
            <sz val="9"/>
            <color indexed="81"/>
            <rFont val="宋体"/>
            <family val="3"/>
            <charset val="134"/>
          </rPr>
          <t>good:</t>
        </r>
        <r>
          <rPr>
            <sz val="9"/>
            <color indexed="81"/>
            <rFont val="宋体"/>
            <family val="3"/>
            <charset val="134"/>
          </rPr>
          <t xml:space="preserve">
自己输入，追加行数</t>
        </r>
      </text>
    </comment>
    <comment ref="A51" authorId="0">
      <text>
        <r>
          <rPr>
            <b/>
            <sz val="9"/>
            <color indexed="81"/>
            <rFont val="宋体"/>
            <family val="3"/>
            <charset val="134"/>
          </rPr>
          <t>good:</t>
        </r>
        <r>
          <rPr>
            <sz val="9"/>
            <color indexed="81"/>
            <rFont val="宋体"/>
            <family val="3"/>
            <charset val="134"/>
          </rPr>
          <t xml:space="preserve">
下拉选择1.0,0.5L,0.5C</t>
        </r>
      </text>
    </comment>
    <comment ref="D51" authorId="0">
      <text>
        <r>
          <rPr>
            <b/>
            <sz val="9"/>
            <color indexed="81"/>
            <rFont val="宋体"/>
            <family val="3"/>
            <charset val="134"/>
          </rPr>
          <t>good:</t>
        </r>
        <r>
          <rPr>
            <sz val="9"/>
            <color indexed="81"/>
            <rFont val="宋体"/>
            <family val="3"/>
            <charset val="134"/>
          </rPr>
          <t xml:space="preserve">
下拉选择</t>
        </r>
      </text>
    </comment>
    <comment ref="BB51" authorId="0">
      <text>
        <r>
          <rPr>
            <b/>
            <sz val="9"/>
            <color indexed="81"/>
            <rFont val="宋体"/>
            <family val="3"/>
            <charset val="134"/>
          </rPr>
          <t>good:</t>
        </r>
        <r>
          <rPr>
            <sz val="9"/>
            <color indexed="81"/>
            <rFont val="宋体"/>
            <family val="3"/>
            <charset val="134"/>
          </rPr>
          <t xml:space="preserve">
下拉选择1.0,0.5L,0.5C</t>
        </r>
      </text>
    </comment>
    <comment ref="BE51" authorId="0">
      <text>
        <r>
          <rPr>
            <b/>
            <sz val="9"/>
            <color indexed="81"/>
            <rFont val="宋体"/>
            <family val="3"/>
            <charset val="134"/>
          </rPr>
          <t>good:</t>
        </r>
        <r>
          <rPr>
            <sz val="9"/>
            <color indexed="81"/>
            <rFont val="宋体"/>
            <family val="3"/>
            <charset val="134"/>
          </rPr>
          <t xml:space="preserve">
下拉选择</t>
        </r>
      </text>
    </comment>
    <comment ref="DB51" authorId="0">
      <text>
        <r>
          <rPr>
            <b/>
            <sz val="9"/>
            <color indexed="81"/>
            <rFont val="宋体"/>
            <family val="3"/>
            <charset val="134"/>
          </rPr>
          <t>good:</t>
        </r>
        <r>
          <rPr>
            <sz val="9"/>
            <color indexed="81"/>
            <rFont val="宋体"/>
            <family val="3"/>
            <charset val="134"/>
          </rPr>
          <t xml:space="preserve">
下拉选择1.0,0.5L,0.5C</t>
        </r>
      </text>
    </comment>
    <comment ref="DE51" authorId="0">
      <text>
        <r>
          <rPr>
            <b/>
            <sz val="9"/>
            <color indexed="81"/>
            <rFont val="宋体"/>
            <family val="3"/>
            <charset val="134"/>
          </rPr>
          <t>good:</t>
        </r>
        <r>
          <rPr>
            <sz val="9"/>
            <color indexed="81"/>
            <rFont val="宋体"/>
            <family val="3"/>
            <charset val="134"/>
          </rPr>
          <t xml:space="preserve">
下拉选择</t>
        </r>
      </text>
    </comment>
    <comment ref="A81" authorId="0">
      <text>
        <r>
          <rPr>
            <b/>
            <sz val="9"/>
            <color indexed="81"/>
            <rFont val="宋体"/>
            <family val="3"/>
            <charset val="134"/>
          </rPr>
          <t>good:</t>
        </r>
        <r>
          <rPr>
            <sz val="9"/>
            <color indexed="81"/>
            <rFont val="宋体"/>
            <family val="3"/>
            <charset val="134"/>
          </rPr>
          <t xml:space="preserve">
方案中默认7行，数值也默认</t>
        </r>
      </text>
    </comment>
    <comment ref="BB81" authorId="0">
      <text>
        <r>
          <rPr>
            <b/>
            <sz val="9"/>
            <color indexed="81"/>
            <rFont val="宋体"/>
            <family val="3"/>
            <charset val="134"/>
          </rPr>
          <t>good:</t>
        </r>
        <r>
          <rPr>
            <sz val="9"/>
            <color indexed="81"/>
            <rFont val="宋体"/>
            <family val="3"/>
            <charset val="134"/>
          </rPr>
          <t xml:space="preserve">
方案中默认7行，数值也默认</t>
        </r>
      </text>
    </comment>
    <comment ref="DB81" authorId="0">
      <text>
        <r>
          <rPr>
            <b/>
            <sz val="9"/>
            <color indexed="81"/>
            <rFont val="宋体"/>
            <family val="3"/>
            <charset val="134"/>
          </rPr>
          <t>good:</t>
        </r>
        <r>
          <rPr>
            <sz val="9"/>
            <color indexed="81"/>
            <rFont val="宋体"/>
            <family val="3"/>
            <charset val="134"/>
          </rPr>
          <t xml:space="preserve">
方案中默认7行，数值也默认</t>
        </r>
      </text>
    </comment>
    <comment ref="A91" authorId="0">
      <text>
        <r>
          <rPr>
            <b/>
            <sz val="9"/>
            <color indexed="81"/>
            <rFont val="宋体"/>
            <family val="3"/>
            <charset val="134"/>
          </rPr>
          <t>good:</t>
        </r>
        <r>
          <rPr>
            <sz val="9"/>
            <color indexed="81"/>
            <rFont val="宋体"/>
            <family val="3"/>
            <charset val="134"/>
          </rPr>
          <t xml:space="preserve">
程序默认5行，数据、单位默认</t>
        </r>
      </text>
    </comment>
    <comment ref="BB91" authorId="0">
      <text>
        <r>
          <rPr>
            <b/>
            <sz val="9"/>
            <color indexed="81"/>
            <rFont val="宋体"/>
            <family val="3"/>
            <charset val="134"/>
          </rPr>
          <t>good:</t>
        </r>
        <r>
          <rPr>
            <sz val="9"/>
            <color indexed="81"/>
            <rFont val="宋体"/>
            <family val="3"/>
            <charset val="134"/>
          </rPr>
          <t xml:space="preserve">
程序默认5行，数据、单位默认</t>
        </r>
      </text>
    </comment>
    <comment ref="DB91" authorId="0">
      <text>
        <r>
          <rPr>
            <b/>
            <sz val="9"/>
            <color indexed="81"/>
            <rFont val="宋体"/>
            <family val="3"/>
            <charset val="134"/>
          </rPr>
          <t>good:</t>
        </r>
        <r>
          <rPr>
            <sz val="9"/>
            <color indexed="81"/>
            <rFont val="宋体"/>
            <family val="3"/>
            <charset val="134"/>
          </rPr>
          <t xml:space="preserve">
程序默认5行，数据、单位默认</t>
        </r>
      </text>
    </comment>
  </commentList>
</comments>
</file>

<file path=xl/comments54.xml><?xml version="1.0" encoding="utf-8"?>
<comments xmlns="http://schemas.openxmlformats.org/spreadsheetml/2006/main">
  <authors>
    <author>good</author>
  </authors>
  <commentList>
    <comment ref="A19" authorId="0">
      <text>
        <r>
          <rPr>
            <b/>
            <sz val="9"/>
            <color indexed="81"/>
            <rFont val="宋体"/>
            <family val="3"/>
            <charset val="134"/>
          </rPr>
          <t>good:</t>
        </r>
        <r>
          <rPr>
            <sz val="9"/>
            <color indexed="81"/>
            <rFont val="宋体"/>
            <family val="3"/>
            <charset val="134"/>
          </rPr>
          <t xml:space="preserve">
下拉列表</t>
        </r>
      </text>
    </comment>
    <comment ref="C19" authorId="0">
      <text>
        <r>
          <rPr>
            <b/>
            <sz val="9"/>
            <color indexed="81"/>
            <rFont val="宋体"/>
            <family val="3"/>
            <charset val="134"/>
          </rPr>
          <t>good:</t>
        </r>
        <r>
          <rPr>
            <sz val="9"/>
            <color indexed="81"/>
            <rFont val="宋体"/>
            <family val="3"/>
            <charset val="134"/>
          </rPr>
          <t xml:space="preserve">
数据录入</t>
        </r>
      </text>
    </comment>
    <comment ref="E19" authorId="0">
      <text>
        <r>
          <rPr>
            <b/>
            <sz val="9"/>
            <color indexed="81"/>
            <rFont val="宋体"/>
            <family val="3"/>
            <charset val="134"/>
          </rPr>
          <t>good:</t>
        </r>
        <r>
          <rPr>
            <sz val="9"/>
            <color indexed="81"/>
            <rFont val="宋体"/>
            <family val="3"/>
            <charset val="134"/>
          </rPr>
          <t xml:space="preserve">
下拉列表
</t>
        </r>
        <r>
          <rPr>
            <sz val="9"/>
            <color indexed="81"/>
            <rFont val="宋体"/>
            <family val="3"/>
            <charset val="134"/>
          </rPr>
          <t>1.0 0.5L  0.5C 0.8C</t>
        </r>
      </text>
    </comment>
    <comment ref="G19" authorId="0">
      <text>
        <r>
          <rPr>
            <b/>
            <sz val="9"/>
            <color indexed="81"/>
            <rFont val="宋体"/>
            <family val="3"/>
            <charset val="134"/>
          </rPr>
          <t>good:</t>
        </r>
        <r>
          <rPr>
            <sz val="9"/>
            <color indexed="81"/>
            <rFont val="宋体"/>
            <family val="3"/>
            <charset val="134"/>
          </rPr>
          <t xml:space="preserve">
下拉列表</t>
        </r>
      </text>
    </comment>
    <comment ref="M19" authorId="0">
      <text>
        <r>
          <rPr>
            <b/>
            <sz val="9"/>
            <color indexed="81"/>
            <rFont val="宋体"/>
            <family val="3"/>
            <charset val="134"/>
          </rPr>
          <t>good:</t>
        </r>
        <r>
          <rPr>
            <sz val="9"/>
            <color indexed="81"/>
            <rFont val="宋体"/>
            <family val="3"/>
            <charset val="134"/>
          </rPr>
          <t xml:space="preserve">
y1与y2的平均值,保留小数点后四位</t>
        </r>
      </text>
    </comment>
    <comment ref="O19" authorId="0">
      <text>
        <r>
          <rPr>
            <b/>
            <sz val="9"/>
            <color indexed="81"/>
            <rFont val="宋体"/>
            <family val="3"/>
            <charset val="134"/>
          </rPr>
          <t>good:</t>
        </r>
        <r>
          <rPr>
            <sz val="9"/>
            <color indexed="81"/>
            <rFont val="宋体"/>
            <family val="3"/>
            <charset val="134"/>
          </rPr>
          <t xml:space="preserve">
y化整为  前一列的和装置准确度等级的修约化整值，比装置准确度等级多一位</t>
        </r>
      </text>
    </comment>
    <comment ref="Q19" authorId="0">
      <text>
        <r>
          <rPr>
            <b/>
            <sz val="9"/>
            <color indexed="81"/>
            <rFont val="宋体"/>
            <family val="3"/>
            <charset val="134"/>
          </rPr>
          <t>good:</t>
        </r>
        <r>
          <rPr>
            <sz val="9"/>
            <color indexed="81"/>
            <rFont val="宋体"/>
            <family val="3"/>
            <charset val="134"/>
          </rPr>
          <t xml:space="preserve">
原始记录和证书都显示，原始记录自己输入</t>
        </r>
      </text>
    </comment>
    <comment ref="AG19" authorId="0">
      <text>
        <r>
          <rPr>
            <b/>
            <sz val="9"/>
            <color indexed="81"/>
            <rFont val="宋体"/>
            <family val="3"/>
            <charset val="134"/>
          </rPr>
          <t>good:</t>
        </r>
        <r>
          <rPr>
            <sz val="9"/>
            <color indexed="81"/>
            <rFont val="宋体"/>
            <family val="3"/>
            <charset val="134"/>
          </rPr>
          <t xml:space="preserve">
=检定项目的y化整</t>
        </r>
      </text>
    </comment>
    <comment ref="AJ19" authorId="0">
      <text>
        <r>
          <rPr>
            <b/>
            <sz val="9"/>
            <color indexed="81"/>
            <rFont val="宋体"/>
            <family val="3"/>
            <charset val="134"/>
          </rPr>
          <t>good:</t>
        </r>
        <r>
          <rPr>
            <sz val="9"/>
            <color indexed="81"/>
            <rFont val="宋体"/>
            <family val="3"/>
            <charset val="134"/>
          </rPr>
          <t xml:space="preserve">
=电能标准偏差估计值的s化整</t>
        </r>
      </text>
    </comment>
    <comment ref="A37" authorId="0">
      <text>
        <r>
          <rPr>
            <b/>
            <sz val="9"/>
            <color indexed="81"/>
            <rFont val="宋体"/>
            <family val="3"/>
            <charset val="134"/>
          </rPr>
          <t>good:</t>
        </r>
        <r>
          <rPr>
            <sz val="9"/>
            <color indexed="81"/>
            <rFont val="宋体"/>
            <family val="3"/>
            <charset val="134"/>
          </rPr>
          <t xml:space="preserve">
默认三相四线，无下拉列表</t>
        </r>
      </text>
    </comment>
    <comment ref="C37" authorId="0">
      <text>
        <r>
          <rPr>
            <b/>
            <sz val="9"/>
            <color indexed="81"/>
            <rFont val="宋体"/>
            <family val="3"/>
            <charset val="134"/>
          </rPr>
          <t>good:</t>
        </r>
        <r>
          <rPr>
            <sz val="9"/>
            <color indexed="81"/>
            <rFont val="宋体"/>
            <family val="3"/>
            <charset val="134"/>
          </rPr>
          <t xml:space="preserve">
自己输入</t>
        </r>
      </text>
    </comment>
    <comment ref="E37" authorId="0">
      <text>
        <r>
          <rPr>
            <b/>
            <sz val="9"/>
            <color indexed="81"/>
            <rFont val="宋体"/>
            <family val="3"/>
            <charset val="134"/>
          </rPr>
          <t>good:</t>
        </r>
        <r>
          <rPr>
            <sz val="9"/>
            <color indexed="81"/>
            <rFont val="宋体"/>
            <family val="3"/>
            <charset val="134"/>
          </rPr>
          <t xml:space="preserve">
下拉选择</t>
        </r>
      </text>
    </comment>
    <comment ref="G37" authorId="0">
      <text>
        <r>
          <rPr>
            <b/>
            <sz val="9"/>
            <color indexed="81"/>
            <rFont val="宋体"/>
            <family val="3"/>
            <charset val="134"/>
          </rPr>
          <t>good:</t>
        </r>
        <r>
          <rPr>
            <sz val="9"/>
            <color indexed="81"/>
            <rFont val="宋体"/>
            <family val="3"/>
            <charset val="134"/>
          </rPr>
          <t xml:space="preserve">
下拉选择</t>
        </r>
      </text>
    </comment>
    <comment ref="I37" authorId="0">
      <text>
        <r>
          <rPr>
            <b/>
            <sz val="9"/>
            <color indexed="81"/>
            <rFont val="宋体"/>
            <family val="3"/>
            <charset val="134"/>
          </rPr>
          <t>good:</t>
        </r>
        <r>
          <rPr>
            <sz val="9"/>
            <color indexed="81"/>
            <rFont val="宋体"/>
            <family val="3"/>
            <charset val="134"/>
          </rPr>
          <t xml:space="preserve">
下拉选择 10 20 100</t>
        </r>
      </text>
    </comment>
    <comment ref="S37" authorId="0">
      <text>
        <r>
          <rPr>
            <b/>
            <sz val="9"/>
            <color indexed="81"/>
            <rFont val="宋体"/>
            <family val="3"/>
            <charset val="134"/>
          </rPr>
          <t>good:</t>
        </r>
        <r>
          <rPr>
            <sz val="9"/>
            <color indexed="81"/>
            <rFont val="宋体"/>
            <family val="3"/>
            <charset val="134"/>
          </rPr>
          <t xml:space="preserve">
原始记录和证书都显示，原始记录自己输入</t>
        </r>
      </text>
    </comment>
    <comment ref="U42" authorId="0">
      <text>
        <r>
          <rPr>
            <b/>
            <sz val="9"/>
            <color indexed="81"/>
            <rFont val="宋体"/>
            <family val="3"/>
            <charset val="134"/>
          </rPr>
          <t>good:</t>
        </r>
        <r>
          <rPr>
            <sz val="9"/>
            <color indexed="81"/>
            <rFont val="宋体"/>
            <family val="3"/>
            <charset val="134"/>
          </rPr>
          <t xml:space="preserve">
Ib(%)</t>
        </r>
      </text>
    </comment>
    <comment ref="AA42" authorId="0">
      <text>
        <r>
          <rPr>
            <b/>
            <sz val="9"/>
            <color indexed="81"/>
            <rFont val="宋体"/>
            <family val="3"/>
            <charset val="134"/>
          </rPr>
          <t>good:</t>
        </r>
        <r>
          <rPr>
            <sz val="9"/>
            <color indexed="81"/>
            <rFont val="宋体"/>
            <family val="3"/>
            <charset val="134"/>
          </rPr>
          <t xml:space="preserve">
y化整</t>
        </r>
      </text>
    </comment>
    <comment ref="AN42" authorId="0">
      <text>
        <r>
          <rPr>
            <b/>
            <sz val="9"/>
            <color indexed="81"/>
            <rFont val="宋体"/>
            <family val="3"/>
            <charset val="134"/>
          </rPr>
          <t>good:</t>
        </r>
        <r>
          <rPr>
            <sz val="9"/>
            <color indexed="81"/>
            <rFont val="宋体"/>
            <family val="3"/>
            <charset val="134"/>
          </rPr>
          <t xml:space="preserve">
Ib(%)</t>
        </r>
      </text>
    </comment>
    <comment ref="AT42" authorId="0">
      <text>
        <r>
          <rPr>
            <b/>
            <sz val="9"/>
            <color indexed="81"/>
            <rFont val="宋体"/>
            <family val="3"/>
            <charset val="134"/>
          </rPr>
          <t>good:</t>
        </r>
        <r>
          <rPr>
            <sz val="9"/>
            <color indexed="81"/>
            <rFont val="宋体"/>
            <family val="3"/>
            <charset val="134"/>
          </rPr>
          <t xml:space="preserve">
y化整</t>
        </r>
      </text>
    </comment>
    <comment ref="Q53" authorId="0">
      <text>
        <r>
          <rPr>
            <b/>
            <sz val="9"/>
            <color indexed="81"/>
            <rFont val="宋体"/>
            <family val="3"/>
            <charset val="134"/>
          </rPr>
          <t>good:</t>
        </r>
        <r>
          <rPr>
            <sz val="9"/>
            <color indexed="81"/>
            <rFont val="宋体"/>
            <family val="3"/>
            <charset val="134"/>
          </rPr>
          <t xml:space="preserve">
原始记录和证书都显示</t>
        </r>
      </text>
    </comment>
    <comment ref="AF53" authorId="0">
      <text>
        <r>
          <rPr>
            <b/>
            <sz val="9"/>
            <color indexed="81"/>
            <rFont val="宋体"/>
            <family val="3"/>
            <charset val="134"/>
          </rPr>
          <t>good:</t>
        </r>
        <r>
          <rPr>
            <sz val="9"/>
            <color indexed="81"/>
            <rFont val="宋体"/>
            <family val="3"/>
            <charset val="134"/>
          </rPr>
          <t xml:space="preserve">
=检定项目的y化整</t>
        </r>
      </text>
    </comment>
    <comment ref="AI53" authorId="0">
      <text>
        <r>
          <rPr>
            <b/>
            <sz val="9"/>
            <color indexed="81"/>
            <rFont val="宋体"/>
            <family val="3"/>
            <charset val="134"/>
          </rPr>
          <t>good:</t>
        </r>
        <r>
          <rPr>
            <sz val="9"/>
            <color indexed="81"/>
            <rFont val="宋体"/>
            <family val="3"/>
            <charset val="134"/>
          </rPr>
          <t xml:space="preserve">
=电能标准偏差估计值的s化整</t>
        </r>
      </text>
    </comment>
    <comment ref="AV53" authorId="0">
      <text>
        <r>
          <rPr>
            <b/>
            <sz val="9"/>
            <color indexed="81"/>
            <rFont val="宋体"/>
            <family val="3"/>
            <charset val="134"/>
          </rPr>
          <t>good:</t>
        </r>
        <r>
          <rPr>
            <sz val="9"/>
            <color indexed="81"/>
            <rFont val="宋体"/>
            <family val="3"/>
            <charset val="134"/>
          </rPr>
          <t xml:space="preserve">
参考检定证书</t>
        </r>
      </text>
    </comment>
    <comment ref="AY53" authorId="0">
      <text>
        <r>
          <rPr>
            <b/>
            <sz val="9"/>
            <color indexed="81"/>
            <rFont val="宋体"/>
            <family val="3"/>
            <charset val="134"/>
          </rPr>
          <t>good:</t>
        </r>
        <r>
          <rPr>
            <sz val="9"/>
            <color indexed="81"/>
            <rFont val="宋体"/>
            <family val="3"/>
            <charset val="134"/>
          </rPr>
          <t xml:space="preserve">
参考检定证书</t>
        </r>
      </text>
    </comment>
    <comment ref="A80" authorId="0">
      <text>
        <r>
          <rPr>
            <b/>
            <sz val="9"/>
            <color indexed="81"/>
            <rFont val="宋体"/>
            <family val="3"/>
            <charset val="134"/>
          </rPr>
          <t>good:自己输入</t>
        </r>
      </text>
    </comment>
    <comment ref="C80" authorId="0">
      <text>
        <r>
          <rPr>
            <b/>
            <sz val="9"/>
            <color indexed="81"/>
            <rFont val="宋体"/>
            <family val="3"/>
            <charset val="134"/>
          </rPr>
          <t>good:</t>
        </r>
        <r>
          <rPr>
            <sz val="9"/>
            <color indexed="81"/>
            <rFont val="宋体"/>
            <family val="3"/>
            <charset val="134"/>
          </rPr>
          <t xml:space="preserve">
下拉选择，1.0,0.5L</t>
        </r>
      </text>
    </comment>
    <comment ref="O80" authorId="0">
      <text>
        <r>
          <rPr>
            <b/>
            <sz val="9"/>
            <color indexed="81"/>
            <rFont val="宋体"/>
            <family val="3"/>
            <charset val="134"/>
          </rPr>
          <t>good:</t>
        </r>
        <r>
          <rPr>
            <sz val="9"/>
            <color indexed="81"/>
            <rFont val="宋体"/>
            <family val="3"/>
            <charset val="134"/>
          </rPr>
          <t xml:space="preserve">
s(%)为y1到y5的标准偏差，小数点后5位</t>
        </r>
      </text>
    </comment>
    <comment ref="Q80" authorId="0">
      <text>
        <r>
          <rPr>
            <b/>
            <sz val="9"/>
            <color indexed="81"/>
            <rFont val="宋体"/>
            <family val="3"/>
            <charset val="134"/>
          </rPr>
          <t>good:</t>
        </r>
        <r>
          <rPr>
            <sz val="9"/>
            <color indexed="81"/>
            <rFont val="宋体"/>
            <family val="3"/>
            <charset val="134"/>
          </rPr>
          <t xml:space="preserve">
s化整(%)为s(%)和准确度等级的十分之一化整值，比装置等级多两位</t>
        </r>
      </text>
    </comment>
    <comment ref="B86" authorId="0">
      <text>
        <r>
          <rPr>
            <b/>
            <sz val="9"/>
            <color indexed="81"/>
            <rFont val="宋体"/>
            <family val="3"/>
            <charset val="134"/>
          </rPr>
          <t>good:</t>
        </r>
        <r>
          <rPr>
            <sz val="9"/>
            <color indexed="81"/>
            <rFont val="宋体"/>
            <family val="3"/>
            <charset val="134"/>
          </rPr>
          <t xml:space="preserve">
下拉选择 单相、三相三线、三相四线、/</t>
        </r>
      </text>
    </comment>
    <comment ref="D86" authorId="0">
      <text>
        <r>
          <rPr>
            <b/>
            <sz val="9"/>
            <color indexed="81"/>
            <rFont val="宋体"/>
            <family val="3"/>
            <charset val="134"/>
          </rPr>
          <t>good:</t>
        </r>
        <r>
          <rPr>
            <sz val="9"/>
            <color indexed="81"/>
            <rFont val="宋体"/>
            <family val="3"/>
            <charset val="134"/>
          </rPr>
          <t xml:space="preserve">
下拉</t>
        </r>
      </text>
    </comment>
    <comment ref="F86" authorId="0">
      <text>
        <r>
          <rPr>
            <b/>
            <sz val="9"/>
            <color indexed="81"/>
            <rFont val="宋体"/>
            <family val="3"/>
            <charset val="134"/>
          </rPr>
          <t>good:</t>
        </r>
        <r>
          <rPr>
            <sz val="9"/>
            <color indexed="81"/>
            <rFont val="宋体"/>
            <family val="3"/>
            <charset val="134"/>
          </rPr>
          <t xml:space="preserve">
默认100</t>
        </r>
      </text>
    </comment>
    <comment ref="N86" authorId="0">
      <text>
        <r>
          <rPr>
            <b/>
            <sz val="9"/>
            <color indexed="81"/>
            <rFont val="宋体"/>
            <family val="3"/>
            <charset val="134"/>
          </rPr>
          <t>good:</t>
        </r>
        <r>
          <rPr>
            <sz val="9"/>
            <color indexed="81"/>
            <rFont val="宋体"/>
            <family val="3"/>
            <charset val="134"/>
          </rPr>
          <t xml:space="preserve">
y1和y2的差值取绝对值
小数点后4位</t>
        </r>
      </text>
    </comment>
    <comment ref="W87" authorId="0">
      <text>
        <r>
          <rPr>
            <b/>
            <sz val="9"/>
            <color indexed="81"/>
            <rFont val="宋体"/>
            <family val="3"/>
            <charset val="134"/>
          </rPr>
          <t>good:</t>
        </r>
        <r>
          <rPr>
            <sz val="9"/>
            <color indexed="81"/>
            <rFont val="宋体"/>
            <family val="3"/>
            <charset val="134"/>
          </rPr>
          <t xml:space="preserve">
|y1-y2|最后一列的最大值</t>
        </r>
      </text>
    </comment>
    <comment ref="D92" authorId="0">
      <text>
        <r>
          <rPr>
            <b/>
            <sz val="9"/>
            <color indexed="81"/>
            <rFont val="宋体"/>
            <family val="3"/>
            <charset val="134"/>
          </rPr>
          <t>good:</t>
        </r>
        <r>
          <rPr>
            <sz val="9"/>
            <color indexed="81"/>
            <rFont val="宋体"/>
            <family val="3"/>
            <charset val="134"/>
          </rPr>
          <t xml:space="preserve">
下拉选择 100 50 /</t>
        </r>
      </text>
    </comment>
    <comment ref="P92" authorId="0">
      <text>
        <r>
          <rPr>
            <b/>
            <sz val="9"/>
            <color indexed="81"/>
            <rFont val="宋体"/>
            <family val="3"/>
            <charset val="134"/>
          </rPr>
          <t>good:</t>
        </r>
        <r>
          <rPr>
            <sz val="9"/>
            <color indexed="81"/>
            <rFont val="宋体"/>
            <family val="3"/>
            <charset val="134"/>
          </rPr>
          <t xml:space="preserve">
1、9个数中的最大值减最小值，然后取绝对值
2、小数点后4位</t>
        </r>
      </text>
    </comment>
    <comment ref="W93" authorId="0">
      <text>
        <r>
          <rPr>
            <b/>
            <sz val="9"/>
            <color indexed="81"/>
            <rFont val="宋体"/>
            <family val="3"/>
            <charset val="134"/>
          </rPr>
          <t>good:</t>
        </r>
        <r>
          <rPr>
            <sz val="9"/>
            <color indexed="81"/>
            <rFont val="宋体"/>
            <family val="3"/>
            <charset val="134"/>
          </rPr>
          <t xml:space="preserve">
|γmax—γmin |(%)最后一列的最大值</t>
        </r>
      </text>
    </comment>
  </commentList>
</comments>
</file>

<file path=xl/comments55.xml><?xml version="1.0" encoding="utf-8"?>
<comments xmlns="http://schemas.openxmlformats.org/spreadsheetml/2006/main">
  <authors>
    <author>good</author>
  </authors>
  <commentList>
    <comment ref="A29" authorId="0">
      <text>
        <r>
          <rPr>
            <b/>
            <sz val="9"/>
            <color indexed="81"/>
            <rFont val="宋体"/>
            <family val="3"/>
            <charset val="134"/>
          </rPr>
          <t>good:</t>
        </r>
        <r>
          <rPr>
            <sz val="9"/>
            <color indexed="81"/>
            <rFont val="宋体"/>
            <family val="3"/>
            <charset val="134"/>
          </rPr>
          <t xml:space="preserve">
小数点一般四位</t>
        </r>
      </text>
    </comment>
    <comment ref="A31" authorId="0">
      <text>
        <r>
          <rPr>
            <b/>
            <sz val="9"/>
            <color indexed="81"/>
            <rFont val="宋体"/>
            <family val="3"/>
            <charset val="134"/>
          </rPr>
          <t>good:</t>
        </r>
        <r>
          <rPr>
            <sz val="9"/>
            <color indexed="81"/>
            <rFont val="宋体"/>
            <family val="3"/>
            <charset val="134"/>
          </rPr>
          <t xml:space="preserve">
方案中固定成蓝色表格样式</t>
        </r>
      </text>
    </comment>
    <comment ref="A33" authorId="0">
      <text>
        <r>
          <rPr>
            <b/>
            <sz val="9"/>
            <color indexed="81"/>
            <rFont val="宋体"/>
            <family val="3"/>
            <charset val="134"/>
          </rPr>
          <t>good:</t>
        </r>
        <r>
          <rPr>
            <sz val="9"/>
            <color indexed="81"/>
            <rFont val="宋体"/>
            <family val="3"/>
            <charset val="134"/>
          </rPr>
          <t xml:space="preserve">
与经互感器接入测试点有区别。Ib  In区别</t>
        </r>
      </text>
    </comment>
    <comment ref="AW34" authorId="0">
      <text>
        <r>
          <rPr>
            <b/>
            <sz val="9"/>
            <color indexed="81"/>
            <rFont val="宋体"/>
            <family val="3"/>
            <charset val="134"/>
          </rPr>
          <t>good:</t>
        </r>
        <r>
          <rPr>
            <sz val="9"/>
            <color indexed="81"/>
            <rFont val="宋体"/>
            <family val="3"/>
            <charset val="134"/>
          </rPr>
          <t xml:space="preserve">
为原始记录的修约化整值</t>
        </r>
      </text>
    </comment>
    <comment ref="A52" authorId="0">
      <text>
        <r>
          <rPr>
            <b/>
            <sz val="9"/>
            <color indexed="81"/>
            <rFont val="宋体"/>
            <family val="3"/>
            <charset val="134"/>
          </rPr>
          <t>good:</t>
        </r>
        <r>
          <rPr>
            <sz val="9"/>
            <color indexed="81"/>
            <rFont val="宋体"/>
            <family val="3"/>
            <charset val="134"/>
          </rPr>
          <t xml:space="preserve">
负载电流 In cosθ=1与In的cosφ=1平均值之差,详细看公式。</t>
        </r>
      </text>
    </comment>
    <comment ref="AE145" authorId="0">
      <text>
        <r>
          <rPr>
            <b/>
            <sz val="9"/>
            <color indexed="81"/>
            <rFont val="宋体"/>
            <family val="3"/>
            <charset val="134"/>
          </rPr>
          <t>good:</t>
        </r>
        <r>
          <rPr>
            <sz val="9"/>
            <color indexed="81"/>
            <rFont val="宋体"/>
            <family val="3"/>
            <charset val="134"/>
          </rPr>
          <t xml:space="preserve">
小数点后4位</t>
        </r>
      </text>
    </comment>
    <comment ref="AO145" authorId="0">
      <text>
        <r>
          <rPr>
            <b/>
            <sz val="9"/>
            <color indexed="81"/>
            <rFont val="宋体"/>
            <family val="3"/>
            <charset val="134"/>
          </rPr>
          <t>good:</t>
        </r>
        <r>
          <rPr>
            <sz val="9"/>
            <color indexed="81"/>
            <rFont val="宋体"/>
            <family val="3"/>
            <charset val="134"/>
          </rPr>
          <t xml:space="preserve">
取日计时误差/(s/d)或者/</t>
        </r>
      </text>
    </comment>
    <comment ref="A150" authorId="0">
      <text>
        <r>
          <rPr>
            <b/>
            <sz val="9"/>
            <color indexed="81"/>
            <rFont val="宋体"/>
            <family val="3"/>
            <charset val="134"/>
          </rPr>
          <t>good:</t>
        </r>
        <r>
          <rPr>
            <sz val="9"/>
            <color indexed="81"/>
            <rFont val="宋体"/>
            <family val="3"/>
            <charset val="134"/>
          </rPr>
          <t xml:space="preserve">
建议数据录入中选择</t>
        </r>
      </text>
    </comment>
    <comment ref="A179" authorId="0">
      <text>
        <r>
          <rPr>
            <b/>
            <sz val="9"/>
            <color indexed="81"/>
            <rFont val="宋体"/>
            <family val="3"/>
            <charset val="134"/>
          </rPr>
          <t>good:</t>
        </r>
        <r>
          <rPr>
            <sz val="9"/>
            <color indexed="81"/>
            <rFont val="宋体"/>
            <family val="3"/>
            <charset val="134"/>
          </rPr>
          <t xml:space="preserve">
与经互感器接入测试点有区别。Ib  In区别</t>
        </r>
      </text>
    </comment>
    <comment ref="A289" authorId="0">
      <text>
        <r>
          <rPr>
            <b/>
            <sz val="9"/>
            <color indexed="81"/>
            <rFont val="宋体"/>
            <family val="3"/>
            <charset val="134"/>
          </rPr>
          <t>good:</t>
        </r>
        <r>
          <rPr>
            <sz val="9"/>
            <color indexed="81"/>
            <rFont val="宋体"/>
            <family val="3"/>
            <charset val="134"/>
          </rPr>
          <t xml:space="preserve">
数据录入中选择</t>
        </r>
      </text>
    </comment>
  </commentList>
</comments>
</file>

<file path=xl/comments56.xml><?xml version="1.0" encoding="utf-8"?>
<comments xmlns="http://schemas.openxmlformats.org/spreadsheetml/2006/main">
  <authors>
    <author>good</author>
  </authors>
  <commentList>
    <comment ref="B15" authorId="0">
      <text>
        <r>
          <rPr>
            <b/>
            <sz val="9"/>
            <color indexed="81"/>
            <rFont val="宋体"/>
            <family val="3"/>
            <charset val="134"/>
          </rPr>
          <t>good:</t>
        </r>
        <r>
          <rPr>
            <sz val="9"/>
            <color indexed="81"/>
            <rFont val="宋体"/>
            <family val="3"/>
            <charset val="134"/>
          </rPr>
          <t xml:space="preserve">
方案中固化</t>
        </r>
      </text>
    </comment>
    <comment ref="B37" authorId="0">
      <text>
        <r>
          <rPr>
            <b/>
            <sz val="9"/>
            <color indexed="81"/>
            <rFont val="宋体"/>
            <family val="3"/>
            <charset val="134"/>
          </rPr>
          <t>good:</t>
        </r>
        <r>
          <rPr>
            <sz val="9"/>
            <color indexed="81"/>
            <rFont val="宋体"/>
            <family val="3"/>
            <charset val="134"/>
          </rPr>
          <t xml:space="preserve">
方案中程序固定
测量比对结果取绝对值</t>
        </r>
      </text>
    </comment>
    <comment ref="C37" authorId="0">
      <text>
        <r>
          <rPr>
            <b/>
            <sz val="9"/>
            <color indexed="81"/>
            <rFont val="宋体"/>
            <family val="3"/>
            <charset val="134"/>
          </rPr>
          <t>good:</t>
        </r>
        <r>
          <rPr>
            <sz val="9"/>
            <color indexed="81"/>
            <rFont val="宋体"/>
            <family val="3"/>
            <charset val="134"/>
          </rPr>
          <t xml:space="preserve">
方案中程序固定</t>
        </r>
      </text>
    </comment>
    <comment ref="I38" authorId="0">
      <text>
        <r>
          <rPr>
            <b/>
            <sz val="9"/>
            <color indexed="81"/>
            <rFont val="宋体"/>
            <family val="3"/>
            <charset val="134"/>
          </rPr>
          <t>good:</t>
        </r>
        <r>
          <rPr>
            <sz val="9"/>
            <color indexed="81"/>
            <rFont val="宋体"/>
            <family val="3"/>
            <charset val="134"/>
          </rPr>
          <t xml:space="preserve">
下拉，10、 5、 2.5</t>
        </r>
      </text>
    </comment>
    <comment ref="J38" authorId="0">
      <text>
        <r>
          <rPr>
            <b/>
            <sz val="9"/>
            <color indexed="81"/>
            <rFont val="宋体"/>
            <family val="3"/>
            <charset val="134"/>
          </rPr>
          <t>good:</t>
        </r>
        <r>
          <rPr>
            <sz val="9"/>
            <color indexed="81"/>
            <rFont val="宋体"/>
            <family val="3"/>
            <charset val="134"/>
          </rPr>
          <t xml:space="preserve">
下拉 0.8</t>
        </r>
      </text>
    </comment>
    <comment ref="T38" authorId="0">
      <text>
        <r>
          <rPr>
            <b/>
            <sz val="9"/>
            <color indexed="81"/>
            <rFont val="宋体"/>
            <family val="3"/>
            <charset val="134"/>
          </rPr>
          <t>good:</t>
        </r>
        <r>
          <rPr>
            <sz val="9"/>
            <color indexed="81"/>
            <rFont val="宋体"/>
            <family val="3"/>
            <charset val="134"/>
          </rPr>
          <t xml:space="preserve">
下拉，10、 5、 2.5</t>
        </r>
      </text>
    </comment>
    <comment ref="U38" authorId="0">
      <text>
        <r>
          <rPr>
            <b/>
            <sz val="9"/>
            <color indexed="81"/>
            <rFont val="宋体"/>
            <family val="3"/>
            <charset val="134"/>
          </rPr>
          <t>good:</t>
        </r>
        <r>
          <rPr>
            <sz val="9"/>
            <color indexed="81"/>
            <rFont val="宋体"/>
            <family val="3"/>
            <charset val="134"/>
          </rPr>
          <t xml:space="preserve">
下拉 0.8</t>
        </r>
      </text>
    </comment>
    <comment ref="AF38" authorId="0">
      <text>
        <r>
          <rPr>
            <b/>
            <sz val="9"/>
            <color indexed="81"/>
            <rFont val="宋体"/>
            <family val="3"/>
            <charset val="134"/>
          </rPr>
          <t>good:</t>
        </r>
        <r>
          <rPr>
            <sz val="9"/>
            <color indexed="81"/>
            <rFont val="宋体"/>
            <family val="3"/>
            <charset val="134"/>
          </rPr>
          <t xml:space="preserve">
下拉，10、 5、 2.5</t>
        </r>
      </text>
    </comment>
    <comment ref="AG38" authorId="0">
      <text>
        <r>
          <rPr>
            <b/>
            <sz val="9"/>
            <color indexed="81"/>
            <rFont val="宋体"/>
            <family val="3"/>
            <charset val="134"/>
          </rPr>
          <t>good:</t>
        </r>
        <r>
          <rPr>
            <sz val="9"/>
            <color indexed="81"/>
            <rFont val="宋体"/>
            <family val="3"/>
            <charset val="134"/>
          </rPr>
          <t xml:space="preserve">
下拉 0.8</t>
        </r>
      </text>
    </comment>
    <comment ref="E40" authorId="0">
      <text>
        <r>
          <rPr>
            <b/>
            <sz val="9"/>
            <color indexed="81"/>
            <rFont val="宋体"/>
            <family val="3"/>
            <charset val="134"/>
          </rPr>
          <t>good:</t>
        </r>
        <r>
          <rPr>
            <sz val="9"/>
            <color indexed="81"/>
            <rFont val="宋体"/>
            <family val="3"/>
            <charset val="134"/>
          </rPr>
          <t xml:space="preserve">
方案中固定</t>
        </r>
      </text>
    </comment>
  </commentList>
</comments>
</file>

<file path=xl/comments57.xml><?xml version="1.0" encoding="utf-8"?>
<comments xmlns="http://schemas.openxmlformats.org/spreadsheetml/2006/main">
  <authors>
    <author>good</author>
    <author>stone</author>
  </authors>
  <commentList>
    <comment ref="H15" authorId="0">
      <text>
        <r>
          <rPr>
            <b/>
            <sz val="9"/>
            <color indexed="81"/>
            <rFont val="宋体"/>
            <family val="3"/>
            <charset val="134"/>
          </rPr>
          <t>good:</t>
        </r>
        <r>
          <rPr>
            <sz val="9"/>
            <color indexed="81"/>
            <rFont val="宋体"/>
            <family val="3"/>
            <charset val="134"/>
          </rPr>
          <t xml:space="preserve">
小数点后一位</t>
        </r>
      </text>
    </comment>
    <comment ref="I15" authorId="0">
      <text>
        <r>
          <rPr>
            <b/>
            <sz val="9"/>
            <color indexed="81"/>
            <rFont val="宋体"/>
            <family val="3"/>
            <charset val="134"/>
          </rPr>
          <t>good:</t>
        </r>
        <r>
          <rPr>
            <sz val="9"/>
            <color indexed="81"/>
            <rFont val="宋体"/>
            <family val="3"/>
            <charset val="134"/>
          </rPr>
          <t xml:space="preserve">
小数点后两位</t>
        </r>
      </text>
    </comment>
    <comment ref="J15" authorId="0">
      <text>
        <r>
          <rPr>
            <b/>
            <sz val="9"/>
            <color indexed="81"/>
            <rFont val="宋体"/>
            <family val="3"/>
            <charset val="134"/>
          </rPr>
          <t>good:</t>
        </r>
        <r>
          <rPr>
            <sz val="9"/>
            <color indexed="81"/>
            <rFont val="宋体"/>
            <family val="3"/>
            <charset val="134"/>
          </rPr>
          <t xml:space="preserve">
1、引用误差在原始记录中显示。
2、小数点后两位
引用误差</t>
        </r>
        <r>
          <rPr>
            <sz val="9"/>
            <color indexed="81"/>
            <rFont val="宋体"/>
            <family val="3"/>
            <charset val="134"/>
          </rPr>
          <t>=</t>
        </r>
        <r>
          <rPr>
            <sz val="9"/>
            <color indexed="81"/>
            <rFont val="宋体"/>
            <family val="3"/>
            <charset val="134"/>
          </rPr>
          <t>（计算后实际电流值</t>
        </r>
        <r>
          <rPr>
            <sz val="9"/>
            <color indexed="81"/>
            <rFont val="宋体"/>
            <family val="3"/>
            <charset val="134"/>
          </rPr>
          <t>-</t>
        </r>
        <r>
          <rPr>
            <sz val="9"/>
            <color indexed="81"/>
            <rFont val="宋体"/>
            <family val="3"/>
            <charset val="134"/>
          </rPr>
          <t>电流值）</t>
        </r>
        <r>
          <rPr>
            <sz val="9"/>
            <color indexed="81"/>
            <rFont val="宋体"/>
            <family val="3"/>
            <charset val="134"/>
          </rPr>
          <t>/</t>
        </r>
        <r>
          <rPr>
            <sz val="9"/>
            <color indexed="81"/>
            <rFont val="宋体"/>
            <family val="3"/>
            <charset val="134"/>
          </rPr>
          <t>对应量程</t>
        </r>
      </text>
    </comment>
    <comment ref="F28" authorId="1">
      <text>
        <r>
          <rPr>
            <b/>
            <sz val="9"/>
            <color indexed="81"/>
            <rFont val="宋体"/>
            <family val="3"/>
            <charset val="134"/>
          </rPr>
          <t>stone:</t>
        </r>
        <r>
          <rPr>
            <sz val="9"/>
            <color indexed="81"/>
            <rFont val="宋体"/>
            <family val="3"/>
            <charset val="134"/>
          </rPr>
          <t xml:space="preserve">
原始记录不显示</t>
        </r>
      </text>
    </comment>
    <comment ref="G28" authorId="1">
      <text>
        <r>
          <rPr>
            <b/>
            <sz val="9"/>
            <color indexed="81"/>
            <rFont val="宋体"/>
            <family val="3"/>
            <charset val="134"/>
          </rPr>
          <t>stone:</t>
        </r>
        <r>
          <rPr>
            <sz val="9"/>
            <color indexed="81"/>
            <rFont val="宋体"/>
            <family val="3"/>
            <charset val="134"/>
          </rPr>
          <t xml:space="preserve">
原始记录不显示</t>
        </r>
      </text>
    </comment>
  </commentList>
</comments>
</file>

<file path=xl/comments58.xml><?xml version="1.0" encoding="utf-8"?>
<comments xmlns="http://schemas.openxmlformats.org/spreadsheetml/2006/main">
  <authors>
    <author>good</author>
  </authors>
  <commentList>
    <comment ref="C1" authorId="0">
      <text>
        <r>
          <rPr>
            <b/>
            <sz val="9"/>
            <color indexed="81"/>
            <rFont val="宋体"/>
            <family val="3"/>
            <charset val="134"/>
          </rPr>
          <t>good:</t>
        </r>
        <r>
          <rPr>
            <sz val="9"/>
            <color indexed="81"/>
            <rFont val="宋体"/>
            <family val="3"/>
            <charset val="134"/>
          </rPr>
          <t xml:space="preserve">
在探头，钳形表上ub的误差来源不同。
当前为手持分析仪</t>
        </r>
      </text>
    </comment>
    <comment ref="C6" authorId="0">
      <text>
        <r>
          <rPr>
            <b/>
            <sz val="9"/>
            <color indexed="81"/>
            <rFont val="宋体"/>
            <family val="3"/>
            <charset val="134"/>
          </rPr>
          <t>good:</t>
        </r>
        <r>
          <rPr>
            <sz val="9"/>
            <color indexed="81"/>
            <rFont val="宋体"/>
            <family val="3"/>
            <charset val="134"/>
          </rPr>
          <t xml:space="preserve">
3位小数</t>
        </r>
      </text>
    </comment>
    <comment ref="G9" authorId="0">
      <text>
        <r>
          <rPr>
            <b/>
            <sz val="9"/>
            <color indexed="81"/>
            <rFont val="宋体"/>
            <family val="3"/>
            <charset val="134"/>
          </rPr>
          <t>good:</t>
        </r>
        <r>
          <rPr>
            <sz val="9"/>
            <color indexed="81"/>
            <rFont val="宋体"/>
            <family val="3"/>
            <charset val="134"/>
          </rPr>
          <t xml:space="preserve">
3位小数</t>
        </r>
      </text>
    </comment>
    <comment ref="B14" authorId="0">
      <text>
        <r>
          <rPr>
            <b/>
            <sz val="9"/>
            <color indexed="81"/>
            <rFont val="宋体"/>
            <family val="3"/>
            <charset val="134"/>
          </rPr>
          <t>good:</t>
        </r>
        <r>
          <rPr>
            <sz val="9"/>
            <color indexed="81"/>
            <rFont val="宋体"/>
            <family val="3"/>
            <charset val="134"/>
          </rPr>
          <t xml:space="preserve">
根据项目小数位数不同</t>
        </r>
      </text>
    </comment>
    <comment ref="C16" authorId="0">
      <text>
        <r>
          <rPr>
            <b/>
            <sz val="9"/>
            <color indexed="81"/>
            <rFont val="宋体"/>
            <family val="3"/>
            <charset val="134"/>
          </rPr>
          <t>good:</t>
        </r>
        <r>
          <rPr>
            <sz val="9"/>
            <color indexed="81"/>
            <rFont val="宋体"/>
            <family val="3"/>
            <charset val="134"/>
          </rPr>
          <t xml:space="preserve">
3位小数</t>
        </r>
      </text>
    </comment>
    <comment ref="C18" authorId="0">
      <text>
        <r>
          <rPr>
            <b/>
            <sz val="9"/>
            <color indexed="81"/>
            <rFont val="宋体"/>
            <family val="3"/>
            <charset val="134"/>
          </rPr>
          <t>good:</t>
        </r>
        <r>
          <rPr>
            <sz val="9"/>
            <color indexed="81"/>
            <rFont val="宋体"/>
            <family val="3"/>
            <charset val="134"/>
          </rPr>
          <t xml:space="preserve">
3位小数</t>
        </r>
      </text>
    </comment>
    <comment ref="C19" authorId="0">
      <text>
        <r>
          <rPr>
            <b/>
            <sz val="9"/>
            <color indexed="81"/>
            <rFont val="宋体"/>
            <family val="3"/>
            <charset val="134"/>
          </rPr>
          <t>good:</t>
        </r>
        <r>
          <rPr>
            <sz val="9"/>
            <color indexed="81"/>
            <rFont val="宋体"/>
            <family val="3"/>
            <charset val="134"/>
          </rPr>
          <t xml:space="preserve">
默认等于上面的扩展不确定度，但是可以修改</t>
        </r>
      </text>
    </comment>
    <comment ref="C21" authorId="0">
      <text>
        <r>
          <rPr>
            <b/>
            <sz val="9"/>
            <color indexed="81"/>
            <rFont val="宋体"/>
            <family val="3"/>
            <charset val="134"/>
          </rPr>
          <t>good:</t>
        </r>
        <r>
          <rPr>
            <sz val="9"/>
            <color indexed="81"/>
            <rFont val="宋体"/>
            <family val="3"/>
            <charset val="134"/>
          </rPr>
          <t xml:space="preserve">
在探头，手持分析仪上ub的误差来源不同。
当前为探头</t>
        </r>
      </text>
    </comment>
    <comment ref="C26" authorId="0">
      <text>
        <r>
          <rPr>
            <b/>
            <sz val="9"/>
            <color indexed="81"/>
            <rFont val="宋体"/>
            <family val="3"/>
            <charset val="134"/>
          </rPr>
          <t>good:</t>
        </r>
        <r>
          <rPr>
            <sz val="9"/>
            <color indexed="81"/>
            <rFont val="宋体"/>
            <family val="3"/>
            <charset val="134"/>
          </rPr>
          <t xml:space="preserve">
3位小数</t>
        </r>
      </text>
    </comment>
    <comment ref="G29" authorId="0">
      <text>
        <r>
          <rPr>
            <b/>
            <sz val="9"/>
            <color indexed="81"/>
            <rFont val="宋体"/>
            <family val="3"/>
            <charset val="134"/>
          </rPr>
          <t>good:</t>
        </r>
        <r>
          <rPr>
            <sz val="9"/>
            <color indexed="81"/>
            <rFont val="宋体"/>
            <family val="3"/>
            <charset val="134"/>
          </rPr>
          <t xml:space="preserve">
3位小数</t>
        </r>
      </text>
    </comment>
    <comment ref="B36" authorId="0">
      <text>
        <r>
          <rPr>
            <b/>
            <sz val="9"/>
            <color indexed="81"/>
            <rFont val="宋体"/>
            <family val="3"/>
            <charset val="134"/>
          </rPr>
          <t>good:</t>
        </r>
        <r>
          <rPr>
            <sz val="9"/>
            <color indexed="81"/>
            <rFont val="宋体"/>
            <family val="3"/>
            <charset val="134"/>
          </rPr>
          <t xml:space="preserve">
根据项目小数位数不同</t>
        </r>
      </text>
    </comment>
    <comment ref="C38" authorId="0">
      <text>
        <r>
          <rPr>
            <b/>
            <sz val="9"/>
            <color indexed="81"/>
            <rFont val="宋体"/>
            <family val="3"/>
            <charset val="134"/>
          </rPr>
          <t>good:</t>
        </r>
        <r>
          <rPr>
            <sz val="9"/>
            <color indexed="81"/>
            <rFont val="宋体"/>
            <family val="3"/>
            <charset val="134"/>
          </rPr>
          <t xml:space="preserve">
3位小数</t>
        </r>
      </text>
    </comment>
    <comment ref="C40" authorId="0">
      <text>
        <r>
          <rPr>
            <b/>
            <sz val="9"/>
            <color indexed="81"/>
            <rFont val="宋体"/>
            <family val="3"/>
            <charset val="134"/>
          </rPr>
          <t>good:</t>
        </r>
        <r>
          <rPr>
            <sz val="9"/>
            <color indexed="81"/>
            <rFont val="宋体"/>
            <family val="3"/>
            <charset val="134"/>
          </rPr>
          <t xml:space="preserve">
3位小数</t>
        </r>
      </text>
    </comment>
    <comment ref="C42" authorId="0">
      <text>
        <r>
          <rPr>
            <b/>
            <sz val="9"/>
            <color indexed="81"/>
            <rFont val="宋体"/>
            <family val="3"/>
            <charset val="134"/>
          </rPr>
          <t>good:</t>
        </r>
        <r>
          <rPr>
            <sz val="9"/>
            <color indexed="81"/>
            <rFont val="宋体"/>
            <family val="3"/>
            <charset val="134"/>
          </rPr>
          <t xml:space="preserve">
默认等于上面的扩展不确定度，但是可以修改</t>
        </r>
      </text>
    </comment>
  </commentList>
</comments>
</file>

<file path=xl/comments59.xml><?xml version="1.0" encoding="utf-8"?>
<comments xmlns="http://schemas.openxmlformats.org/spreadsheetml/2006/main">
  <authors>
    <author>good</author>
  </authors>
  <commentList>
    <comment ref="C17" authorId="0">
      <text>
        <r>
          <rPr>
            <b/>
            <sz val="9"/>
            <color indexed="81"/>
            <rFont val="宋体"/>
            <family val="3"/>
            <charset val="134"/>
          </rPr>
          <t>good:</t>
        </r>
        <r>
          <rPr>
            <sz val="9"/>
            <color indexed="81"/>
            <rFont val="宋体"/>
            <family val="3"/>
            <charset val="134"/>
          </rPr>
          <t xml:space="preserve">
证书不显示</t>
        </r>
      </text>
    </comment>
    <comment ref="D17" authorId="0">
      <text>
        <r>
          <rPr>
            <b/>
            <sz val="9"/>
            <color indexed="81"/>
            <rFont val="宋体"/>
            <family val="3"/>
            <charset val="134"/>
          </rPr>
          <t>good:</t>
        </r>
        <r>
          <rPr>
            <sz val="9"/>
            <color indexed="81"/>
            <rFont val="宋体"/>
            <family val="3"/>
            <charset val="134"/>
          </rPr>
          <t xml:space="preserve">
证书不显示</t>
        </r>
      </text>
    </comment>
    <comment ref="G17" authorId="0">
      <text>
        <r>
          <rPr>
            <b/>
            <sz val="9"/>
            <color indexed="81"/>
            <rFont val="宋体"/>
            <family val="3"/>
            <charset val="134"/>
          </rPr>
          <t>good:</t>
        </r>
        <r>
          <rPr>
            <sz val="9"/>
            <color indexed="81"/>
            <rFont val="宋体"/>
            <family val="3"/>
            <charset val="134"/>
          </rPr>
          <t xml:space="preserve">
证书不显示</t>
        </r>
      </text>
    </comment>
    <comment ref="H17" authorId="0">
      <text>
        <r>
          <rPr>
            <b/>
            <sz val="9"/>
            <color indexed="81"/>
            <rFont val="宋体"/>
            <family val="3"/>
            <charset val="134"/>
          </rPr>
          <t>good:</t>
        </r>
        <r>
          <rPr>
            <sz val="9"/>
            <color indexed="81"/>
            <rFont val="宋体"/>
            <family val="3"/>
            <charset val="134"/>
          </rPr>
          <t xml:space="preserve">
证书不显示</t>
        </r>
      </text>
    </comment>
  </commentList>
</comments>
</file>

<file path=xl/comments60.xml><?xml version="1.0" encoding="utf-8"?>
<comments xmlns="http://schemas.openxmlformats.org/spreadsheetml/2006/main">
  <authors>
    <author>good</author>
  </authors>
  <commentList>
    <comment ref="B7" authorId="0">
      <text>
        <r>
          <rPr>
            <b/>
            <sz val="9"/>
            <color indexed="81"/>
            <rFont val="宋体"/>
            <family val="3"/>
            <charset val="134"/>
          </rPr>
          <t>good:
小数位数</t>
        </r>
        <r>
          <rPr>
            <b/>
            <sz val="9"/>
            <color indexed="81"/>
            <rFont val="宋体"/>
            <family val="3"/>
            <charset val="134"/>
          </rPr>
          <t>5位</t>
        </r>
      </text>
    </comment>
    <comment ref="G11" authorId="0">
      <text>
        <r>
          <rPr>
            <b/>
            <sz val="9"/>
            <color indexed="81"/>
            <rFont val="宋体"/>
            <family val="3"/>
            <charset val="134"/>
          </rPr>
          <t>good:</t>
        </r>
        <r>
          <rPr>
            <sz val="9"/>
            <color indexed="81"/>
            <rFont val="宋体"/>
            <family val="3"/>
            <charset val="134"/>
          </rPr>
          <t xml:space="preserve">
小数位数根据实际情况，不同</t>
        </r>
      </text>
    </comment>
    <comment ref="B13" authorId="0">
      <text>
        <r>
          <rPr>
            <b/>
            <sz val="9"/>
            <color indexed="81"/>
            <rFont val="宋体"/>
            <family val="3"/>
            <charset val="134"/>
          </rPr>
          <t>good:</t>
        </r>
        <r>
          <rPr>
            <sz val="9"/>
            <color indexed="81"/>
            <rFont val="宋体"/>
            <family val="3"/>
            <charset val="134"/>
          </rPr>
          <t xml:space="preserve">
小数</t>
        </r>
        <r>
          <rPr>
            <sz val="9"/>
            <color indexed="81"/>
            <rFont val="宋体"/>
            <family val="3"/>
            <charset val="134"/>
          </rPr>
          <t>5位小数</t>
        </r>
      </text>
    </comment>
    <comment ref="B15" authorId="0">
      <text>
        <r>
          <rPr>
            <b/>
            <sz val="9"/>
            <color indexed="81"/>
            <rFont val="宋体"/>
            <family val="3"/>
            <charset val="134"/>
          </rPr>
          <t>good:</t>
        </r>
        <r>
          <rPr>
            <sz val="9"/>
            <color indexed="81"/>
            <rFont val="宋体"/>
            <family val="3"/>
            <charset val="134"/>
          </rPr>
          <t xml:space="preserve">
</t>
        </r>
        <r>
          <rPr>
            <sz val="9"/>
            <color indexed="81"/>
            <rFont val="宋体"/>
            <family val="3"/>
            <charset val="134"/>
          </rPr>
          <t>5位小数</t>
        </r>
      </text>
    </comment>
    <comment ref="B17" authorId="0">
      <text>
        <r>
          <rPr>
            <b/>
            <sz val="9"/>
            <color indexed="81"/>
            <rFont val="宋体"/>
            <family val="3"/>
            <charset val="134"/>
          </rPr>
          <t>good:</t>
        </r>
        <r>
          <rPr>
            <sz val="9"/>
            <color indexed="81"/>
            <rFont val="宋体"/>
            <family val="3"/>
            <charset val="134"/>
          </rPr>
          <t xml:space="preserve">
</t>
        </r>
        <r>
          <rPr>
            <sz val="9"/>
            <color indexed="81"/>
            <rFont val="宋体"/>
            <family val="3"/>
            <charset val="134"/>
          </rPr>
          <t>5位小数</t>
        </r>
      </text>
    </comment>
    <comment ref="D19" authorId="0">
      <text>
        <r>
          <rPr>
            <b/>
            <sz val="9"/>
            <color indexed="81"/>
            <rFont val="宋体"/>
            <family val="3"/>
            <charset val="134"/>
          </rPr>
          <t>good:
按照文件要求，不确定有效位数为两位。</t>
        </r>
        <r>
          <rPr>
            <sz val="9"/>
            <color indexed="81"/>
            <rFont val="宋体"/>
            <family val="3"/>
            <charset val="134"/>
          </rPr>
          <t xml:space="preserve">
默认等于上面的扩展不确定度，但是可以修改</t>
        </r>
      </text>
    </comment>
  </commentList>
</comments>
</file>

<file path=xl/comments61.xml><?xml version="1.0" encoding="utf-8"?>
<comments xmlns="http://schemas.openxmlformats.org/spreadsheetml/2006/main">
  <authors>
    <author>good</author>
    <author>作者</author>
    <author>stone</author>
  </authors>
  <commentList>
    <comment ref="A18" authorId="0">
      <text>
        <r>
          <rPr>
            <b/>
            <sz val="9"/>
            <color indexed="81"/>
            <rFont val="宋体"/>
            <family val="3"/>
            <charset val="134"/>
          </rPr>
          <t>good:</t>
        </r>
        <r>
          <rPr>
            <sz val="9"/>
            <color indexed="81"/>
            <rFont val="宋体"/>
            <family val="3"/>
            <charset val="134"/>
          </rPr>
          <t xml:space="preserve">
行数固定，数固定</t>
        </r>
      </text>
    </comment>
    <comment ref="D18" authorId="0">
      <text>
        <r>
          <rPr>
            <b/>
            <sz val="9"/>
            <color indexed="81"/>
            <rFont val="宋体"/>
            <family val="3"/>
            <charset val="134"/>
          </rPr>
          <t>good:</t>
        </r>
        <r>
          <rPr>
            <sz val="9"/>
            <color indexed="81"/>
            <rFont val="宋体"/>
            <family val="3"/>
            <charset val="134"/>
          </rPr>
          <t xml:space="preserve">
行数固定，数值固定</t>
        </r>
      </text>
    </comment>
    <comment ref="G18" authorId="0">
      <text>
        <r>
          <rPr>
            <b/>
            <sz val="9"/>
            <color indexed="81"/>
            <rFont val="宋体"/>
            <family val="3"/>
            <charset val="134"/>
          </rPr>
          <t>good:</t>
        </r>
        <r>
          <rPr>
            <sz val="9"/>
            <color indexed="81"/>
            <rFont val="宋体"/>
            <family val="3"/>
            <charset val="134"/>
          </rPr>
          <t xml:space="preserve">
=额定工作电流*额定电流百分比</t>
        </r>
      </text>
    </comment>
    <comment ref="H18" authorId="0">
      <text>
        <r>
          <rPr>
            <b/>
            <sz val="9"/>
            <color indexed="81"/>
            <rFont val="宋体"/>
            <family val="3"/>
            <charset val="134"/>
          </rPr>
          <t>good:</t>
        </r>
        <r>
          <rPr>
            <sz val="9"/>
            <color indexed="81"/>
            <rFont val="宋体"/>
            <family val="3"/>
            <charset val="134"/>
          </rPr>
          <t xml:space="preserve">
=（显示值-标准值）/标准值*100%</t>
        </r>
      </text>
    </comment>
    <comment ref="I18" authorId="0">
      <text>
        <r>
          <rPr>
            <b/>
            <sz val="9"/>
            <color indexed="81"/>
            <rFont val="宋体"/>
            <family val="3"/>
            <charset val="134"/>
          </rPr>
          <t>good:</t>
        </r>
        <r>
          <rPr>
            <sz val="9"/>
            <color indexed="81"/>
            <rFont val="宋体"/>
            <family val="3"/>
            <charset val="134"/>
          </rPr>
          <t xml:space="preserve">
误差中绝对值中的最大值</t>
        </r>
      </text>
    </comment>
    <comment ref="F41" authorId="0">
      <text>
        <r>
          <rPr>
            <b/>
            <sz val="9"/>
            <color indexed="81"/>
            <rFont val="宋体"/>
            <family val="3"/>
            <charset val="134"/>
          </rPr>
          <t>good:</t>
        </r>
        <r>
          <rPr>
            <sz val="9"/>
            <color indexed="81"/>
            <rFont val="宋体"/>
            <family val="3"/>
            <charset val="134"/>
          </rPr>
          <t xml:space="preserve">
下拉选择：0.01、0.1、自动、手动</t>
        </r>
      </text>
    </comment>
    <comment ref="I41" authorId="0">
      <text>
        <r>
          <rPr>
            <b/>
            <sz val="9"/>
            <color indexed="81"/>
            <rFont val="宋体"/>
            <family val="3"/>
            <charset val="134"/>
          </rPr>
          <t>good:下拉列表</t>
        </r>
        <r>
          <rPr>
            <sz val="9"/>
            <color indexed="81"/>
            <rFont val="宋体"/>
            <family val="3"/>
            <charset val="134"/>
          </rPr>
          <t xml:space="preserve">
1×10</t>
        </r>
        <r>
          <rPr>
            <vertAlign val="superscript"/>
            <sz val="9"/>
            <color indexed="81"/>
            <rFont val="宋体"/>
            <family val="3"/>
            <charset val="134"/>
          </rPr>
          <t>-4</t>
        </r>
        <r>
          <rPr>
            <sz val="9"/>
            <color indexed="81"/>
            <rFont val="宋体"/>
            <family val="3"/>
            <charset val="134"/>
          </rPr>
          <t xml:space="preserve"> 、1×10</t>
        </r>
        <r>
          <rPr>
            <vertAlign val="superscript"/>
            <sz val="9"/>
            <color indexed="81"/>
            <rFont val="宋体"/>
            <family val="3"/>
            <charset val="134"/>
          </rPr>
          <t>-6</t>
        </r>
        <r>
          <rPr>
            <sz val="9"/>
            <color indexed="81"/>
            <rFont val="宋体"/>
            <family val="3"/>
            <charset val="134"/>
          </rPr>
          <t xml:space="preserve"> </t>
        </r>
      </text>
    </comment>
    <comment ref="M41" authorId="0">
      <text>
        <r>
          <rPr>
            <b/>
            <sz val="9"/>
            <color indexed="81"/>
            <rFont val="宋体"/>
            <family val="3"/>
            <charset val="134"/>
          </rPr>
          <t>good:</t>
        </r>
        <r>
          <rPr>
            <sz val="9"/>
            <color indexed="81"/>
            <rFont val="宋体"/>
            <family val="3"/>
            <charset val="134"/>
          </rPr>
          <t xml:space="preserve">
单位固定</t>
        </r>
      </text>
    </comment>
    <comment ref="B46" authorId="1">
      <text>
        <r>
          <rPr>
            <b/>
            <sz val="9"/>
            <color indexed="81"/>
            <rFont val="宋体"/>
            <family val="3"/>
            <charset val="134"/>
          </rPr>
          <t>作者:</t>
        </r>
        <r>
          <rPr>
            <sz val="9"/>
            <color indexed="81"/>
            <rFont val="宋体"/>
            <family val="3"/>
            <charset val="134"/>
          </rPr>
          <t xml:space="preserve">
下拉选择
电流、电压</t>
        </r>
      </text>
    </comment>
    <comment ref="F46" authorId="1">
      <text>
        <r>
          <rPr>
            <b/>
            <sz val="9"/>
            <color indexed="81"/>
            <rFont val="宋体"/>
            <family val="3"/>
            <charset val="134"/>
          </rPr>
          <t>作者:</t>
        </r>
        <r>
          <rPr>
            <sz val="9"/>
            <color indexed="81"/>
            <rFont val="宋体"/>
            <family val="3"/>
            <charset val="134"/>
          </rPr>
          <t xml:space="preserve">
下拉选择，自动、手动</t>
        </r>
      </text>
    </comment>
    <comment ref="M46" authorId="1">
      <text>
        <r>
          <rPr>
            <b/>
            <sz val="9"/>
            <color indexed="81"/>
            <rFont val="宋体"/>
            <family val="3"/>
            <charset val="134"/>
          </rPr>
          <t>作者:</t>
        </r>
        <r>
          <rPr>
            <sz val="9"/>
            <color indexed="81"/>
            <rFont val="宋体"/>
            <family val="3"/>
            <charset val="134"/>
          </rPr>
          <t xml:space="preserve">
下拉选择
1A 5A
100V 100/根3</t>
        </r>
      </text>
    </comment>
    <comment ref="E47" authorId="0">
      <text>
        <r>
          <rPr>
            <b/>
            <sz val="9"/>
            <color indexed="81"/>
            <rFont val="宋体"/>
            <family val="3"/>
            <charset val="134"/>
          </rPr>
          <t>good:</t>
        </r>
        <r>
          <rPr>
            <sz val="9"/>
            <color indexed="81"/>
            <rFont val="宋体"/>
            <family val="3"/>
            <charset val="134"/>
          </rPr>
          <t xml:space="preserve">
下拉选择
合格、不合格、/</t>
        </r>
      </text>
    </comment>
    <comment ref="E49" authorId="1">
      <text>
        <r>
          <rPr>
            <b/>
            <sz val="9"/>
            <color indexed="81"/>
            <rFont val="宋体"/>
            <family val="3"/>
            <charset val="134"/>
          </rPr>
          <t>作者:</t>
        </r>
        <r>
          <rPr>
            <sz val="9"/>
            <color indexed="81"/>
            <rFont val="宋体"/>
            <family val="3"/>
            <charset val="134"/>
          </rPr>
          <t xml:space="preserve">
下拉选择</t>
        </r>
      </text>
    </comment>
    <comment ref="A55" authorId="2">
      <text>
        <r>
          <rPr>
            <b/>
            <sz val="9"/>
            <color indexed="81"/>
            <rFont val="宋体"/>
            <family val="3"/>
            <charset val="134"/>
          </rPr>
          <t>stone:</t>
        </r>
        <r>
          <rPr>
            <sz val="9"/>
            <color indexed="81"/>
            <rFont val="宋体"/>
            <family val="3"/>
            <charset val="134"/>
          </rPr>
          <t xml:space="preserve">
电流、电压，在用一个表格中</t>
        </r>
      </text>
    </comment>
    <comment ref="A56" authorId="0">
      <text>
        <r>
          <rPr>
            <b/>
            <sz val="9"/>
            <color indexed="81"/>
            <rFont val="宋体"/>
            <family val="3"/>
            <charset val="134"/>
          </rPr>
          <t>good:</t>
        </r>
        <r>
          <rPr>
            <sz val="9"/>
            <color indexed="81"/>
            <rFont val="宋体"/>
            <family val="3"/>
            <charset val="134"/>
          </rPr>
          <t xml:space="preserve">
电压下拉列表，
100/根3V、100V
电流下拉列表
1A 、5A</t>
        </r>
      </text>
    </comment>
    <comment ref="D56" authorId="1">
      <text>
        <r>
          <rPr>
            <b/>
            <sz val="9"/>
            <color indexed="81"/>
            <rFont val="宋体"/>
            <family val="3"/>
            <charset val="134"/>
          </rPr>
          <t>作者:</t>
        </r>
        <r>
          <rPr>
            <sz val="9"/>
            <color indexed="81"/>
            <rFont val="宋体"/>
            <family val="3"/>
            <charset val="134"/>
          </rPr>
          <t xml:space="preserve">
原始记录隐藏列</t>
        </r>
      </text>
    </comment>
    <comment ref="E56" authorId="1">
      <text>
        <r>
          <rPr>
            <b/>
            <sz val="9"/>
            <color indexed="81"/>
            <rFont val="宋体"/>
            <family val="3"/>
            <charset val="134"/>
          </rPr>
          <t>作者:</t>
        </r>
        <r>
          <rPr>
            <sz val="9"/>
            <color indexed="81"/>
            <rFont val="宋体"/>
            <family val="3"/>
            <charset val="134"/>
          </rPr>
          <t xml:space="preserve">
原始记录隐藏列</t>
        </r>
      </text>
    </comment>
    <comment ref="H56" authorId="0">
      <text>
        <r>
          <rPr>
            <b/>
            <sz val="9"/>
            <color indexed="81"/>
            <rFont val="宋体"/>
            <family val="3"/>
            <charset val="134"/>
          </rPr>
          <t>good:</t>
        </r>
        <r>
          <rPr>
            <sz val="9"/>
            <color indexed="81"/>
            <rFont val="宋体"/>
            <family val="3"/>
            <charset val="134"/>
          </rPr>
          <t xml:space="preserve">
误差中
1、同相小数位数与被检仪器示值-同相分量小数位数保持一致。
2、正交分量小数位数与被检仪器示值-正交分量保持一致
</t>
        </r>
      </text>
    </comment>
    <comment ref="J56" authorId="0">
      <text>
        <r>
          <rPr>
            <b/>
            <sz val="9"/>
            <color indexed="81"/>
            <rFont val="宋体"/>
            <family val="3"/>
            <charset val="134"/>
          </rPr>
          <t>good:</t>
        </r>
        <r>
          <rPr>
            <sz val="9"/>
            <color indexed="81"/>
            <rFont val="宋体"/>
            <family val="3"/>
            <charset val="134"/>
          </rPr>
          <t xml:space="preserve">
原始记录隐藏</t>
        </r>
      </text>
    </comment>
    <comment ref="D57" authorId="0">
      <text>
        <r>
          <rPr>
            <b/>
            <sz val="9"/>
            <color indexed="81"/>
            <rFont val="宋体"/>
            <family val="3"/>
            <charset val="134"/>
          </rPr>
          <t>good:</t>
        </r>
        <r>
          <rPr>
            <sz val="9"/>
            <color indexed="81"/>
            <rFont val="宋体"/>
            <family val="3"/>
            <charset val="134"/>
          </rPr>
          <t xml:space="preserve">
比差下拉列表：比差与角差存在对应关系。
比差1对应角差1，以此类推。
比差三大范围段：
1、0.01-0.1 间隔为0.01
2、0.1-1 间隔为0.1
3、1-10 间隔为1
角差三大范围段：
1、0.05-0.5  间隔0.05
2、0.5-5  间隔0.5
3、5-50 间隔为5
</t>
        </r>
      </text>
    </comment>
    <comment ref="A65" authorId="2">
      <text>
        <r>
          <rPr>
            <b/>
            <sz val="9"/>
            <color indexed="81"/>
            <rFont val="宋体"/>
            <family val="3"/>
            <charset val="134"/>
          </rPr>
          <t>stone:</t>
        </r>
        <r>
          <rPr>
            <sz val="9"/>
            <color indexed="81"/>
            <rFont val="宋体"/>
            <family val="3"/>
            <charset val="134"/>
          </rPr>
          <t xml:space="preserve">
下拉框选择△</t>
        </r>
        <r>
          <rPr>
            <i/>
            <sz val="9"/>
            <color indexed="81"/>
            <rFont val="宋体"/>
            <family val="3"/>
            <charset val="134"/>
          </rPr>
          <t>U/U</t>
        </r>
        <r>
          <rPr>
            <sz val="9"/>
            <color indexed="81"/>
            <rFont val="宋体"/>
            <family val="3"/>
            <charset val="134"/>
          </rPr>
          <t>,△</t>
        </r>
        <r>
          <rPr>
            <i/>
            <sz val="9"/>
            <color indexed="81"/>
            <rFont val="宋体"/>
            <family val="3"/>
            <charset val="134"/>
          </rPr>
          <t>I/I,</t>
        </r>
        <r>
          <rPr>
            <sz val="9"/>
            <color indexed="81"/>
            <rFont val="宋体"/>
            <family val="3"/>
            <charset val="134"/>
          </rPr>
          <t xml:space="preserve"> PT</t>
        </r>
      </text>
    </comment>
    <comment ref="A96" authorId="0">
      <text>
        <r>
          <rPr>
            <b/>
            <sz val="9"/>
            <color indexed="81"/>
            <rFont val="宋体"/>
            <family val="3"/>
            <charset val="134"/>
          </rPr>
          <t>good:</t>
        </r>
        <r>
          <rPr>
            <sz val="9"/>
            <color indexed="81"/>
            <rFont val="宋体"/>
            <family val="3"/>
            <charset val="134"/>
          </rPr>
          <t xml:space="preserve">
100V、 100/√3 V</t>
        </r>
      </text>
    </comment>
    <comment ref="J96" authorId="0">
      <text>
        <r>
          <rPr>
            <b/>
            <sz val="9"/>
            <color indexed="81"/>
            <rFont val="宋体"/>
            <family val="3"/>
            <charset val="134"/>
          </rPr>
          <t>good:</t>
        </r>
        <r>
          <rPr>
            <sz val="9"/>
            <color indexed="81"/>
            <rFont val="宋体"/>
            <family val="3"/>
            <charset val="134"/>
          </rPr>
          <t xml:space="preserve">
100V、 100/√3 V</t>
        </r>
      </text>
    </comment>
    <comment ref="O96" authorId="0">
      <text>
        <r>
          <rPr>
            <b/>
            <sz val="9"/>
            <color indexed="81"/>
            <rFont val="宋体"/>
            <family val="3"/>
            <charset val="134"/>
          </rPr>
          <t>good:</t>
        </r>
        <r>
          <rPr>
            <sz val="9"/>
            <color indexed="81"/>
            <rFont val="宋体"/>
            <family val="3"/>
            <charset val="134"/>
          </rPr>
          <t xml:space="preserve">
100V、 100/√3 V</t>
        </r>
      </text>
    </comment>
    <comment ref="A118" authorId="0">
      <text>
        <r>
          <rPr>
            <b/>
            <sz val="9"/>
            <color indexed="81"/>
            <rFont val="宋体"/>
            <family val="3"/>
            <charset val="134"/>
          </rPr>
          <t>good:</t>
        </r>
        <r>
          <rPr>
            <sz val="9"/>
            <color indexed="81"/>
            <rFont val="宋体"/>
            <family val="3"/>
            <charset val="134"/>
          </rPr>
          <t xml:space="preserve">
下拉列表：1A、5A</t>
        </r>
      </text>
    </comment>
    <comment ref="J118" authorId="0">
      <text>
        <r>
          <rPr>
            <b/>
            <sz val="9"/>
            <color indexed="81"/>
            <rFont val="宋体"/>
            <family val="3"/>
            <charset val="134"/>
          </rPr>
          <t>good:</t>
        </r>
        <r>
          <rPr>
            <sz val="9"/>
            <color indexed="81"/>
            <rFont val="宋体"/>
            <family val="3"/>
            <charset val="134"/>
          </rPr>
          <t xml:space="preserve">
下拉列表：1A、5A</t>
        </r>
      </text>
    </comment>
    <comment ref="O118" authorId="0">
      <text>
        <r>
          <rPr>
            <b/>
            <sz val="9"/>
            <color indexed="81"/>
            <rFont val="宋体"/>
            <family val="3"/>
            <charset val="134"/>
          </rPr>
          <t>good:</t>
        </r>
        <r>
          <rPr>
            <sz val="9"/>
            <color indexed="81"/>
            <rFont val="宋体"/>
            <family val="3"/>
            <charset val="134"/>
          </rPr>
          <t xml:space="preserve">
下拉列表：1A、5A</t>
        </r>
      </text>
    </comment>
  </commentList>
</comments>
</file>

<file path=xl/comments62.xml><?xml version="1.0" encoding="utf-8"?>
<comments xmlns="http://schemas.openxmlformats.org/spreadsheetml/2006/main">
  <authors>
    <author>good</author>
  </authors>
  <commentList>
    <comment ref="C2" authorId="0">
      <text>
        <r>
          <rPr>
            <b/>
            <sz val="9"/>
            <color indexed="81"/>
            <rFont val="宋体"/>
            <family val="3"/>
            <charset val="134"/>
          </rPr>
          <t>good:</t>
        </r>
        <r>
          <rPr>
            <sz val="9"/>
            <color indexed="81"/>
            <rFont val="宋体"/>
            <family val="3"/>
            <charset val="134"/>
          </rPr>
          <t xml:space="preserve">
负荷仪</t>
        </r>
      </text>
    </comment>
    <comment ref="B8" authorId="0">
      <text>
        <r>
          <rPr>
            <b/>
            <sz val="9"/>
            <color indexed="81"/>
            <rFont val="宋体"/>
            <family val="3"/>
            <charset val="134"/>
          </rPr>
          <t>good:
小数位数</t>
        </r>
        <r>
          <rPr>
            <b/>
            <sz val="9"/>
            <color indexed="81"/>
            <rFont val="宋体"/>
            <family val="3"/>
            <charset val="134"/>
          </rPr>
          <t>4</t>
        </r>
        <r>
          <rPr>
            <b/>
            <sz val="9"/>
            <color indexed="81"/>
            <rFont val="宋体"/>
            <family val="3"/>
            <charset val="134"/>
          </rPr>
          <t>位</t>
        </r>
      </text>
    </comment>
    <comment ref="G12" authorId="0">
      <text>
        <r>
          <rPr>
            <b/>
            <sz val="9"/>
            <color indexed="81"/>
            <rFont val="宋体"/>
            <family val="3"/>
            <charset val="134"/>
          </rPr>
          <t>good:</t>
        </r>
        <r>
          <rPr>
            <sz val="9"/>
            <color indexed="81"/>
            <rFont val="宋体"/>
            <family val="3"/>
            <charset val="134"/>
          </rPr>
          <t xml:space="preserve">
小数位数</t>
        </r>
        <r>
          <rPr>
            <sz val="9"/>
            <color indexed="81"/>
            <rFont val="宋体"/>
            <family val="3"/>
            <charset val="134"/>
          </rPr>
          <t>4</t>
        </r>
      </text>
    </comment>
    <comment ref="B15" authorId="0">
      <text>
        <r>
          <rPr>
            <b/>
            <sz val="9"/>
            <color indexed="81"/>
            <rFont val="宋体"/>
            <family val="3"/>
            <charset val="134"/>
          </rPr>
          <t>good:</t>
        </r>
        <r>
          <rPr>
            <sz val="9"/>
            <color indexed="81"/>
            <rFont val="宋体"/>
            <family val="3"/>
            <charset val="134"/>
          </rPr>
          <t xml:space="preserve">
小数</t>
        </r>
        <r>
          <rPr>
            <sz val="9"/>
            <color indexed="81"/>
            <rFont val="宋体"/>
            <family val="3"/>
            <charset val="134"/>
          </rPr>
          <t>4</t>
        </r>
        <r>
          <rPr>
            <sz val="9"/>
            <color indexed="81"/>
            <rFont val="宋体"/>
            <family val="3"/>
            <charset val="134"/>
          </rPr>
          <t>位小数</t>
        </r>
      </text>
    </comment>
    <comment ref="B17" authorId="0">
      <text>
        <r>
          <rPr>
            <b/>
            <sz val="9"/>
            <color indexed="81"/>
            <rFont val="宋体"/>
            <family val="3"/>
            <charset val="134"/>
          </rPr>
          <t>good:</t>
        </r>
        <r>
          <rPr>
            <sz val="9"/>
            <color indexed="81"/>
            <rFont val="宋体"/>
            <family val="3"/>
            <charset val="134"/>
          </rPr>
          <t xml:space="preserve">
</t>
        </r>
        <r>
          <rPr>
            <sz val="9"/>
            <color indexed="81"/>
            <rFont val="宋体"/>
            <family val="3"/>
            <charset val="134"/>
          </rPr>
          <t>4</t>
        </r>
        <r>
          <rPr>
            <sz val="9"/>
            <color indexed="81"/>
            <rFont val="宋体"/>
            <family val="3"/>
            <charset val="134"/>
          </rPr>
          <t>位小数</t>
        </r>
      </text>
    </comment>
    <comment ref="B19" authorId="0">
      <text>
        <r>
          <rPr>
            <b/>
            <sz val="9"/>
            <color indexed="81"/>
            <rFont val="宋体"/>
            <family val="3"/>
            <charset val="134"/>
          </rPr>
          <t>good:</t>
        </r>
        <r>
          <rPr>
            <sz val="9"/>
            <color indexed="81"/>
            <rFont val="宋体"/>
            <family val="3"/>
            <charset val="134"/>
          </rPr>
          <t xml:space="preserve">
</t>
        </r>
        <r>
          <rPr>
            <sz val="9"/>
            <color indexed="81"/>
            <rFont val="宋体"/>
            <family val="3"/>
            <charset val="134"/>
          </rPr>
          <t>3</t>
        </r>
        <r>
          <rPr>
            <sz val="9"/>
            <color indexed="81"/>
            <rFont val="宋体"/>
            <family val="3"/>
            <charset val="134"/>
          </rPr>
          <t>位小数</t>
        </r>
      </text>
    </comment>
    <comment ref="D21" authorId="0">
      <text>
        <r>
          <rPr>
            <b/>
            <sz val="9"/>
            <color indexed="81"/>
            <rFont val="宋体"/>
            <family val="3"/>
            <charset val="134"/>
          </rPr>
          <t xml:space="preserve">good:
</t>
        </r>
        <r>
          <rPr>
            <b/>
            <sz val="9"/>
            <color indexed="81"/>
            <rFont val="宋体"/>
            <family val="3"/>
            <charset val="134"/>
          </rPr>
          <t>3位</t>
        </r>
      </text>
    </comment>
    <comment ref="C24" authorId="0">
      <text>
        <r>
          <rPr>
            <b/>
            <sz val="9"/>
            <color indexed="81"/>
            <rFont val="宋体"/>
            <family val="3"/>
            <charset val="134"/>
          </rPr>
          <t>good:</t>
        </r>
        <r>
          <rPr>
            <sz val="9"/>
            <color indexed="81"/>
            <rFont val="宋体"/>
            <family val="3"/>
            <charset val="134"/>
          </rPr>
          <t xml:space="preserve">
负荷仪</t>
        </r>
      </text>
    </comment>
    <comment ref="B30" authorId="0">
      <text>
        <r>
          <rPr>
            <b/>
            <sz val="9"/>
            <color indexed="81"/>
            <rFont val="宋体"/>
            <family val="3"/>
            <charset val="134"/>
          </rPr>
          <t>good:
小数位数</t>
        </r>
        <r>
          <rPr>
            <b/>
            <sz val="9"/>
            <color indexed="81"/>
            <rFont val="宋体"/>
            <family val="3"/>
            <charset val="134"/>
          </rPr>
          <t>4</t>
        </r>
        <r>
          <rPr>
            <b/>
            <sz val="9"/>
            <color indexed="81"/>
            <rFont val="宋体"/>
            <family val="3"/>
            <charset val="134"/>
          </rPr>
          <t>位</t>
        </r>
      </text>
    </comment>
    <comment ref="H34" authorId="0">
      <text>
        <r>
          <rPr>
            <b/>
            <sz val="9"/>
            <color indexed="81"/>
            <rFont val="宋体"/>
            <family val="3"/>
            <charset val="134"/>
          </rPr>
          <t>good:</t>
        </r>
        <r>
          <rPr>
            <sz val="9"/>
            <color indexed="81"/>
            <rFont val="宋体"/>
            <family val="3"/>
            <charset val="134"/>
          </rPr>
          <t xml:space="preserve">
小数位数</t>
        </r>
        <r>
          <rPr>
            <sz val="9"/>
            <color indexed="81"/>
            <rFont val="宋体"/>
            <family val="3"/>
            <charset val="134"/>
          </rPr>
          <t>4</t>
        </r>
      </text>
    </comment>
    <comment ref="B37" authorId="0">
      <text>
        <r>
          <rPr>
            <b/>
            <sz val="9"/>
            <color indexed="81"/>
            <rFont val="宋体"/>
            <family val="3"/>
            <charset val="134"/>
          </rPr>
          <t>good:</t>
        </r>
        <r>
          <rPr>
            <sz val="9"/>
            <color indexed="81"/>
            <rFont val="宋体"/>
            <family val="3"/>
            <charset val="134"/>
          </rPr>
          <t xml:space="preserve">
小数</t>
        </r>
        <r>
          <rPr>
            <sz val="9"/>
            <color indexed="81"/>
            <rFont val="宋体"/>
            <family val="3"/>
            <charset val="134"/>
          </rPr>
          <t>4</t>
        </r>
        <r>
          <rPr>
            <sz val="9"/>
            <color indexed="81"/>
            <rFont val="宋体"/>
            <family val="3"/>
            <charset val="134"/>
          </rPr>
          <t>位小数</t>
        </r>
      </text>
    </comment>
    <comment ref="B39" authorId="0">
      <text>
        <r>
          <rPr>
            <b/>
            <sz val="9"/>
            <color indexed="81"/>
            <rFont val="宋体"/>
            <family val="3"/>
            <charset val="134"/>
          </rPr>
          <t>good:</t>
        </r>
        <r>
          <rPr>
            <sz val="9"/>
            <color indexed="81"/>
            <rFont val="宋体"/>
            <family val="3"/>
            <charset val="134"/>
          </rPr>
          <t xml:space="preserve">
</t>
        </r>
        <r>
          <rPr>
            <sz val="9"/>
            <color indexed="81"/>
            <rFont val="宋体"/>
            <family val="3"/>
            <charset val="134"/>
          </rPr>
          <t>4</t>
        </r>
        <r>
          <rPr>
            <sz val="9"/>
            <color indexed="81"/>
            <rFont val="宋体"/>
            <family val="3"/>
            <charset val="134"/>
          </rPr>
          <t>位小数</t>
        </r>
      </text>
    </comment>
    <comment ref="B41" authorId="0">
      <text>
        <r>
          <rPr>
            <b/>
            <sz val="9"/>
            <color indexed="81"/>
            <rFont val="宋体"/>
            <family val="3"/>
            <charset val="134"/>
          </rPr>
          <t>good:</t>
        </r>
        <r>
          <rPr>
            <sz val="9"/>
            <color indexed="81"/>
            <rFont val="宋体"/>
            <family val="3"/>
            <charset val="134"/>
          </rPr>
          <t xml:space="preserve">
</t>
        </r>
        <r>
          <rPr>
            <sz val="9"/>
            <color indexed="81"/>
            <rFont val="宋体"/>
            <family val="3"/>
            <charset val="134"/>
          </rPr>
          <t>3</t>
        </r>
        <r>
          <rPr>
            <sz val="9"/>
            <color indexed="81"/>
            <rFont val="宋体"/>
            <family val="3"/>
            <charset val="134"/>
          </rPr>
          <t>位小数</t>
        </r>
      </text>
    </comment>
    <comment ref="D43" authorId="0">
      <text>
        <r>
          <rPr>
            <b/>
            <sz val="9"/>
            <color indexed="81"/>
            <rFont val="宋体"/>
            <family val="3"/>
            <charset val="134"/>
          </rPr>
          <t xml:space="preserve">good:
</t>
        </r>
        <r>
          <rPr>
            <b/>
            <sz val="9"/>
            <color indexed="81"/>
            <rFont val="宋体"/>
            <family val="3"/>
            <charset val="134"/>
          </rPr>
          <t>3位</t>
        </r>
      </text>
    </comment>
  </commentList>
</comments>
</file>

<file path=xl/comments63.xml><?xml version="1.0" encoding="utf-8"?>
<comments xmlns="http://schemas.openxmlformats.org/spreadsheetml/2006/main">
  <authors>
    <author>good</author>
    <author>cui</author>
  </authors>
  <commentList>
    <comment ref="A17" authorId="0">
      <text>
        <r>
          <rPr>
            <b/>
            <sz val="9"/>
            <color indexed="81"/>
            <rFont val="宋体"/>
            <family val="3"/>
            <charset val="134"/>
          </rPr>
          <t>good:</t>
        </r>
        <r>
          <rPr>
            <sz val="9"/>
            <color indexed="81"/>
            <rFont val="宋体"/>
            <family val="3"/>
            <charset val="134"/>
          </rPr>
          <t xml:space="preserve">
自己输入</t>
        </r>
      </text>
    </comment>
    <comment ref="B17" authorId="0">
      <text>
        <r>
          <rPr>
            <b/>
            <sz val="9"/>
            <color indexed="81"/>
            <rFont val="宋体"/>
            <family val="3"/>
            <charset val="134"/>
          </rPr>
          <t>good:</t>
        </r>
        <r>
          <rPr>
            <sz val="9"/>
            <color indexed="81"/>
            <rFont val="宋体"/>
            <family val="3"/>
            <charset val="134"/>
          </rPr>
          <t xml:space="preserve">
下拉 20 100 120</t>
        </r>
      </text>
    </comment>
    <comment ref="I17" authorId="0">
      <text>
        <r>
          <rPr>
            <b/>
            <sz val="9"/>
            <color indexed="81"/>
            <rFont val="宋体"/>
            <family val="3"/>
            <charset val="134"/>
          </rPr>
          <t>good:</t>
        </r>
        <r>
          <rPr>
            <sz val="9"/>
            <color indexed="81"/>
            <rFont val="宋体"/>
            <family val="3"/>
            <charset val="134"/>
          </rPr>
          <t xml:space="preserve">
下拉选择 0.8 1</t>
        </r>
      </text>
    </comment>
    <comment ref="J17" authorId="0">
      <text>
        <r>
          <rPr>
            <b/>
            <sz val="9"/>
            <color indexed="81"/>
            <rFont val="宋体"/>
            <family val="3"/>
            <charset val="134"/>
          </rPr>
          <t>good:</t>
        </r>
        <r>
          <rPr>
            <sz val="9"/>
            <color indexed="81"/>
            <rFont val="宋体"/>
            <family val="3"/>
            <charset val="134"/>
          </rPr>
          <t xml:space="preserve">
下拉 100 57.7</t>
        </r>
      </text>
    </comment>
    <comment ref="D18" authorId="0">
      <text>
        <r>
          <rPr>
            <b/>
            <sz val="9"/>
            <color indexed="81"/>
            <rFont val="宋体"/>
            <family val="3"/>
            <charset val="134"/>
          </rPr>
          <t>good:有功分量和无功分量的算法相同</t>
        </r>
        <r>
          <rPr>
            <sz val="9"/>
            <color indexed="81"/>
            <rFont val="宋体"/>
            <family val="3"/>
            <charset val="134"/>
          </rPr>
          <t xml:space="preserve">
算法：实测值、标称值、额定电压、0.8取cosφ
误差：小数点后2位</t>
        </r>
      </text>
    </comment>
    <comment ref="E18" authorId="0">
      <text>
        <r>
          <rPr>
            <b/>
            <sz val="9"/>
            <color indexed="81"/>
            <rFont val="宋体"/>
            <family val="3"/>
            <charset val="134"/>
          </rPr>
          <t>good:</t>
        </r>
        <r>
          <rPr>
            <sz val="9"/>
            <color indexed="81"/>
            <rFont val="宋体"/>
            <family val="3"/>
            <charset val="134"/>
          </rPr>
          <t xml:space="preserve">
比误差少一位小数
是误差的四舍五入</t>
        </r>
      </text>
    </comment>
    <comment ref="G18" authorId="0">
      <text>
        <r>
          <rPr>
            <b/>
            <sz val="9"/>
            <color indexed="81"/>
            <rFont val="宋体"/>
            <family val="3"/>
            <charset val="134"/>
          </rPr>
          <t>good:</t>
        </r>
        <r>
          <rPr>
            <sz val="9"/>
            <color indexed="81"/>
            <rFont val="宋体"/>
            <family val="3"/>
            <charset val="134"/>
          </rPr>
          <t xml:space="preserve">
同有功分量</t>
        </r>
      </text>
    </comment>
    <comment ref="H18" authorId="0">
      <text>
        <r>
          <rPr>
            <b/>
            <sz val="9"/>
            <color indexed="81"/>
            <rFont val="宋体"/>
            <family val="3"/>
            <charset val="134"/>
          </rPr>
          <t>good:</t>
        </r>
        <r>
          <rPr>
            <sz val="9"/>
            <color indexed="81"/>
            <rFont val="宋体"/>
            <family val="3"/>
            <charset val="134"/>
          </rPr>
          <t xml:space="preserve">
比误差少一位小数
是误差的四舍五入</t>
        </r>
      </text>
    </comment>
    <comment ref="K19" authorId="1">
      <text>
        <r>
          <rPr>
            <b/>
            <sz val="9"/>
            <color indexed="81"/>
            <rFont val="宋体"/>
            <family val="3"/>
            <charset val="134"/>
          </rPr>
          <t>cui:</t>
        </r>
        <r>
          <rPr>
            <sz val="9"/>
            <color indexed="81"/>
            <rFont val="宋体"/>
            <family val="3"/>
            <charset val="134"/>
          </rPr>
          <t xml:space="preserve">
两个不确定度怎么计算</t>
        </r>
      </text>
    </comment>
    <comment ref="AB20" authorId="1">
      <text>
        <r>
          <rPr>
            <b/>
            <sz val="9"/>
            <color indexed="81"/>
            <rFont val="宋体"/>
            <family val="3"/>
            <charset val="134"/>
          </rPr>
          <t>cui:</t>
        </r>
        <r>
          <rPr>
            <sz val="9"/>
            <color indexed="81"/>
            <rFont val="宋体"/>
            <family val="3"/>
            <charset val="134"/>
          </rPr>
          <t xml:space="preserve">
两个不确定度怎么计算</t>
        </r>
      </text>
    </comment>
    <comment ref="B92" authorId="0">
      <text>
        <r>
          <rPr>
            <b/>
            <sz val="9"/>
            <color indexed="81"/>
            <rFont val="宋体"/>
            <family val="3"/>
            <charset val="134"/>
          </rPr>
          <t>good:</t>
        </r>
        <r>
          <rPr>
            <sz val="9"/>
            <color indexed="81"/>
            <rFont val="宋体"/>
            <family val="3"/>
            <charset val="134"/>
          </rPr>
          <t xml:space="preserve">
下拉列表 5 100 120</t>
        </r>
      </text>
    </comment>
    <comment ref="C92" authorId="0">
      <text>
        <r>
          <rPr>
            <b/>
            <sz val="9"/>
            <color indexed="81"/>
            <rFont val="宋体"/>
            <family val="3"/>
            <charset val="134"/>
          </rPr>
          <t>good:</t>
        </r>
        <r>
          <rPr>
            <sz val="9"/>
            <color indexed="81"/>
            <rFont val="宋体"/>
            <family val="3"/>
            <charset val="134"/>
          </rPr>
          <t xml:space="preserve">
大多数0.06，极少数0.05,0</t>
        </r>
      </text>
    </comment>
    <comment ref="J92" authorId="0">
      <text>
        <r>
          <rPr>
            <b/>
            <sz val="9"/>
            <color indexed="81"/>
            <rFont val="宋体"/>
            <family val="3"/>
            <charset val="134"/>
          </rPr>
          <t>good:</t>
        </r>
        <r>
          <rPr>
            <sz val="9"/>
            <color indexed="81"/>
            <rFont val="宋体"/>
            <family val="3"/>
            <charset val="134"/>
          </rPr>
          <t xml:space="preserve">
0.8 1</t>
        </r>
      </text>
    </comment>
    <comment ref="K92" authorId="0">
      <text>
        <r>
          <rPr>
            <b/>
            <sz val="9"/>
            <color indexed="81"/>
            <rFont val="宋体"/>
            <family val="3"/>
            <charset val="134"/>
          </rPr>
          <t>good:</t>
        </r>
        <r>
          <rPr>
            <sz val="9"/>
            <color indexed="81"/>
            <rFont val="宋体"/>
            <family val="3"/>
            <charset val="134"/>
          </rPr>
          <t xml:space="preserve">
1 5 </t>
        </r>
      </text>
    </comment>
    <comment ref="E93" authorId="0">
      <text>
        <r>
          <rPr>
            <b/>
            <sz val="9"/>
            <color indexed="81"/>
            <rFont val="宋体"/>
            <family val="3"/>
            <charset val="134"/>
          </rPr>
          <t>good:</t>
        </r>
        <r>
          <rPr>
            <sz val="9"/>
            <color indexed="81"/>
            <rFont val="宋体"/>
            <family val="3"/>
            <charset val="134"/>
          </rPr>
          <t xml:space="preserve">
小数点后两位</t>
        </r>
      </text>
    </comment>
    <comment ref="F93" authorId="0">
      <text>
        <r>
          <rPr>
            <b/>
            <sz val="9"/>
            <color indexed="81"/>
            <rFont val="宋体"/>
            <family val="3"/>
            <charset val="134"/>
          </rPr>
          <t>good:</t>
        </r>
        <r>
          <rPr>
            <sz val="9"/>
            <color indexed="81"/>
            <rFont val="宋体"/>
            <family val="3"/>
            <charset val="134"/>
          </rPr>
          <t xml:space="preserve">
误差的四舍五入，小数点后1位</t>
        </r>
      </text>
    </comment>
    <comment ref="H93" authorId="0">
      <text>
        <r>
          <rPr>
            <b/>
            <sz val="9"/>
            <color indexed="81"/>
            <rFont val="宋体"/>
            <family val="3"/>
            <charset val="134"/>
          </rPr>
          <t>good:</t>
        </r>
        <r>
          <rPr>
            <sz val="9"/>
            <color indexed="81"/>
            <rFont val="宋体"/>
            <family val="3"/>
            <charset val="134"/>
          </rPr>
          <t xml:space="preserve">
小数点后两位</t>
        </r>
      </text>
    </comment>
    <comment ref="I93" authorId="0">
      <text>
        <r>
          <rPr>
            <b/>
            <sz val="9"/>
            <color indexed="81"/>
            <rFont val="宋体"/>
            <family val="3"/>
            <charset val="134"/>
          </rPr>
          <t>good:</t>
        </r>
        <r>
          <rPr>
            <sz val="9"/>
            <color indexed="81"/>
            <rFont val="宋体"/>
            <family val="3"/>
            <charset val="134"/>
          </rPr>
          <t xml:space="preserve">
误差的四舍五入，小数点后1位</t>
        </r>
      </text>
    </comment>
    <comment ref="K137" authorId="0">
      <text>
        <r>
          <rPr>
            <b/>
            <sz val="9"/>
            <color indexed="81"/>
            <rFont val="宋体"/>
            <family val="3"/>
            <charset val="134"/>
          </rPr>
          <t>good:</t>
        </r>
        <r>
          <rPr>
            <sz val="9"/>
            <color indexed="81"/>
            <rFont val="宋体"/>
            <family val="3"/>
            <charset val="134"/>
          </rPr>
          <t xml:space="preserve">
5 1</t>
        </r>
      </text>
    </comment>
  </commentList>
</comments>
</file>

<file path=xl/comments64.xml><?xml version="1.0" encoding="utf-8"?>
<comments xmlns="http://schemas.openxmlformats.org/spreadsheetml/2006/main">
  <authors>
    <author>good</author>
  </authors>
  <commentList>
    <comment ref="C2" authorId="0">
      <text>
        <r>
          <rPr>
            <b/>
            <sz val="9"/>
            <color indexed="81"/>
            <rFont val="宋体"/>
            <family val="3"/>
            <charset val="134"/>
          </rPr>
          <t>good:</t>
        </r>
        <r>
          <rPr>
            <sz val="9"/>
            <color indexed="81"/>
            <rFont val="宋体"/>
            <family val="3"/>
            <charset val="134"/>
          </rPr>
          <t xml:space="preserve">
算有功或者无功的不确定度</t>
        </r>
      </text>
    </comment>
    <comment ref="B8" authorId="0">
      <text>
        <r>
          <rPr>
            <b/>
            <sz val="9"/>
            <color indexed="81"/>
            <rFont val="宋体"/>
            <family val="3"/>
            <charset val="134"/>
          </rPr>
          <t>good:
根据项目小数位数不同</t>
        </r>
      </text>
    </comment>
    <comment ref="G12" authorId="0">
      <text>
        <r>
          <rPr>
            <b/>
            <sz val="9"/>
            <color indexed="81"/>
            <rFont val="宋体"/>
            <family val="3"/>
            <charset val="134"/>
          </rPr>
          <t>good:</t>
        </r>
        <r>
          <rPr>
            <sz val="9"/>
            <color indexed="81"/>
            <rFont val="宋体"/>
            <family val="3"/>
            <charset val="134"/>
          </rPr>
          <t xml:space="preserve">
小数位数根据实际情况，不同</t>
        </r>
      </text>
    </comment>
    <comment ref="B16" authorId="0">
      <text>
        <r>
          <rPr>
            <b/>
            <sz val="9"/>
            <color indexed="81"/>
            <rFont val="宋体"/>
            <family val="3"/>
            <charset val="134"/>
          </rPr>
          <t>good:</t>
        </r>
        <r>
          <rPr>
            <sz val="9"/>
            <color indexed="81"/>
            <rFont val="宋体"/>
            <family val="3"/>
            <charset val="134"/>
          </rPr>
          <t xml:space="preserve">
根据项目小数位数不同</t>
        </r>
      </text>
    </comment>
    <comment ref="B18" authorId="0">
      <text>
        <r>
          <rPr>
            <b/>
            <sz val="9"/>
            <color indexed="81"/>
            <rFont val="宋体"/>
            <family val="3"/>
            <charset val="134"/>
          </rPr>
          <t>good:</t>
        </r>
        <r>
          <rPr>
            <sz val="9"/>
            <color indexed="81"/>
            <rFont val="宋体"/>
            <family val="3"/>
            <charset val="134"/>
          </rPr>
          <t xml:space="preserve">
根据项目小数位数不同</t>
        </r>
      </text>
    </comment>
    <comment ref="B20" authorId="0">
      <text>
        <r>
          <rPr>
            <b/>
            <sz val="9"/>
            <color indexed="81"/>
            <rFont val="宋体"/>
            <family val="3"/>
            <charset val="134"/>
          </rPr>
          <t>good:</t>
        </r>
        <r>
          <rPr>
            <sz val="9"/>
            <color indexed="81"/>
            <rFont val="宋体"/>
            <family val="3"/>
            <charset val="134"/>
          </rPr>
          <t xml:space="preserve">
根据项目小数位数不同</t>
        </r>
      </text>
    </comment>
    <comment ref="D22" authorId="0">
      <text>
        <r>
          <rPr>
            <b/>
            <sz val="9"/>
            <color indexed="81"/>
            <rFont val="宋体"/>
            <family val="3"/>
            <charset val="134"/>
          </rPr>
          <t>good:</t>
        </r>
        <r>
          <rPr>
            <sz val="9"/>
            <color indexed="81"/>
            <rFont val="宋体"/>
            <family val="3"/>
            <charset val="134"/>
          </rPr>
          <t xml:space="preserve">
默认等于上面的扩展不确定度，但是可以修改</t>
        </r>
      </text>
    </comment>
    <comment ref="C24" authorId="0">
      <text>
        <r>
          <rPr>
            <b/>
            <sz val="9"/>
            <color indexed="81"/>
            <rFont val="宋体"/>
            <family val="3"/>
            <charset val="134"/>
          </rPr>
          <t>good:</t>
        </r>
        <r>
          <rPr>
            <sz val="9"/>
            <color indexed="81"/>
            <rFont val="宋体"/>
            <family val="3"/>
            <charset val="134"/>
          </rPr>
          <t xml:space="preserve">
算有功或者无功的不确定度</t>
        </r>
      </text>
    </comment>
    <comment ref="B30" authorId="0">
      <text>
        <r>
          <rPr>
            <b/>
            <sz val="9"/>
            <color indexed="81"/>
            <rFont val="宋体"/>
            <family val="3"/>
            <charset val="134"/>
          </rPr>
          <t>good:
根据项目小数位数不同</t>
        </r>
      </text>
    </comment>
    <comment ref="G34" authorId="0">
      <text>
        <r>
          <rPr>
            <b/>
            <sz val="9"/>
            <color indexed="81"/>
            <rFont val="宋体"/>
            <family val="3"/>
            <charset val="134"/>
          </rPr>
          <t>good:</t>
        </r>
        <r>
          <rPr>
            <sz val="9"/>
            <color indexed="81"/>
            <rFont val="宋体"/>
            <family val="3"/>
            <charset val="134"/>
          </rPr>
          <t xml:space="preserve">
小数位数根据实际情况，不同</t>
        </r>
      </text>
    </comment>
    <comment ref="B38" authorId="0">
      <text>
        <r>
          <rPr>
            <b/>
            <sz val="9"/>
            <color indexed="81"/>
            <rFont val="宋体"/>
            <family val="3"/>
            <charset val="134"/>
          </rPr>
          <t>good:</t>
        </r>
        <r>
          <rPr>
            <sz val="9"/>
            <color indexed="81"/>
            <rFont val="宋体"/>
            <family val="3"/>
            <charset val="134"/>
          </rPr>
          <t xml:space="preserve">
根据项目小数位数不同</t>
        </r>
      </text>
    </comment>
    <comment ref="B40" authorId="0">
      <text>
        <r>
          <rPr>
            <b/>
            <sz val="9"/>
            <color indexed="81"/>
            <rFont val="宋体"/>
            <family val="3"/>
            <charset val="134"/>
          </rPr>
          <t>good:</t>
        </r>
        <r>
          <rPr>
            <sz val="9"/>
            <color indexed="81"/>
            <rFont val="宋体"/>
            <family val="3"/>
            <charset val="134"/>
          </rPr>
          <t xml:space="preserve">
根据项目小数位数不同</t>
        </r>
      </text>
    </comment>
    <comment ref="B42" authorId="0">
      <text>
        <r>
          <rPr>
            <b/>
            <sz val="9"/>
            <color indexed="81"/>
            <rFont val="宋体"/>
            <family val="3"/>
            <charset val="134"/>
          </rPr>
          <t>good:</t>
        </r>
        <r>
          <rPr>
            <sz val="9"/>
            <color indexed="81"/>
            <rFont val="宋体"/>
            <family val="3"/>
            <charset val="134"/>
          </rPr>
          <t xml:space="preserve">
根据项目小数位数不同</t>
        </r>
      </text>
    </comment>
    <comment ref="D44" authorId="0">
      <text>
        <r>
          <rPr>
            <b/>
            <sz val="9"/>
            <color indexed="81"/>
            <rFont val="宋体"/>
            <family val="3"/>
            <charset val="134"/>
          </rPr>
          <t>good:</t>
        </r>
        <r>
          <rPr>
            <sz val="9"/>
            <color indexed="81"/>
            <rFont val="宋体"/>
            <family val="3"/>
            <charset val="134"/>
          </rPr>
          <t xml:space="preserve">
默认等于上面的扩展不确定度，但是可以修改</t>
        </r>
      </text>
    </comment>
    <comment ref="C47" authorId="0">
      <text>
        <r>
          <rPr>
            <b/>
            <sz val="9"/>
            <color indexed="81"/>
            <rFont val="宋体"/>
            <family val="3"/>
            <charset val="134"/>
          </rPr>
          <t>good:</t>
        </r>
        <r>
          <rPr>
            <sz val="9"/>
            <color indexed="81"/>
            <rFont val="宋体"/>
            <family val="3"/>
            <charset val="134"/>
          </rPr>
          <t xml:space="preserve">
算有功或者无功的不确定度</t>
        </r>
      </text>
    </comment>
    <comment ref="B53" authorId="0">
      <text>
        <r>
          <rPr>
            <b/>
            <sz val="9"/>
            <color indexed="81"/>
            <rFont val="宋体"/>
            <family val="3"/>
            <charset val="134"/>
          </rPr>
          <t>good:
根据项目小数位数不同</t>
        </r>
      </text>
    </comment>
    <comment ref="G57" authorId="0">
      <text>
        <r>
          <rPr>
            <b/>
            <sz val="9"/>
            <color indexed="81"/>
            <rFont val="宋体"/>
            <family val="3"/>
            <charset val="134"/>
          </rPr>
          <t>good:</t>
        </r>
        <r>
          <rPr>
            <sz val="9"/>
            <color indexed="81"/>
            <rFont val="宋体"/>
            <family val="3"/>
            <charset val="134"/>
          </rPr>
          <t xml:space="preserve">
小数位数根据实际情况，不同</t>
        </r>
      </text>
    </comment>
    <comment ref="B61" authorId="0">
      <text>
        <r>
          <rPr>
            <b/>
            <sz val="9"/>
            <color indexed="81"/>
            <rFont val="宋体"/>
            <family val="3"/>
            <charset val="134"/>
          </rPr>
          <t>good:</t>
        </r>
        <r>
          <rPr>
            <sz val="9"/>
            <color indexed="81"/>
            <rFont val="宋体"/>
            <family val="3"/>
            <charset val="134"/>
          </rPr>
          <t xml:space="preserve">
根据项目小数位数不同</t>
        </r>
      </text>
    </comment>
    <comment ref="B63" authorId="0">
      <text>
        <r>
          <rPr>
            <b/>
            <sz val="9"/>
            <color indexed="81"/>
            <rFont val="宋体"/>
            <family val="3"/>
            <charset val="134"/>
          </rPr>
          <t>good:</t>
        </r>
        <r>
          <rPr>
            <sz val="9"/>
            <color indexed="81"/>
            <rFont val="宋体"/>
            <family val="3"/>
            <charset val="134"/>
          </rPr>
          <t xml:space="preserve">
根据项目小数位数不同</t>
        </r>
      </text>
    </comment>
    <comment ref="B65" authorId="0">
      <text>
        <r>
          <rPr>
            <b/>
            <sz val="9"/>
            <color indexed="81"/>
            <rFont val="宋体"/>
            <family val="3"/>
            <charset val="134"/>
          </rPr>
          <t>good:</t>
        </r>
        <r>
          <rPr>
            <sz val="9"/>
            <color indexed="81"/>
            <rFont val="宋体"/>
            <family val="3"/>
            <charset val="134"/>
          </rPr>
          <t xml:space="preserve">
根据项目小数位数不同</t>
        </r>
      </text>
    </comment>
    <comment ref="D67" authorId="0">
      <text>
        <r>
          <rPr>
            <b/>
            <sz val="9"/>
            <color indexed="81"/>
            <rFont val="宋体"/>
            <family val="3"/>
            <charset val="134"/>
          </rPr>
          <t>good:</t>
        </r>
        <r>
          <rPr>
            <sz val="9"/>
            <color indexed="81"/>
            <rFont val="宋体"/>
            <family val="3"/>
            <charset val="134"/>
          </rPr>
          <t xml:space="preserve">
默认等于上面的扩展不确定度，但是可以修改</t>
        </r>
      </text>
    </comment>
    <comment ref="C69" authorId="0">
      <text>
        <r>
          <rPr>
            <b/>
            <sz val="9"/>
            <color indexed="81"/>
            <rFont val="宋体"/>
            <family val="3"/>
            <charset val="134"/>
          </rPr>
          <t>good:</t>
        </r>
        <r>
          <rPr>
            <sz val="9"/>
            <color indexed="81"/>
            <rFont val="宋体"/>
            <family val="3"/>
            <charset val="134"/>
          </rPr>
          <t xml:space="preserve">
算有功或者无功的不确定度</t>
        </r>
      </text>
    </comment>
    <comment ref="B75" authorId="0">
      <text>
        <r>
          <rPr>
            <b/>
            <sz val="9"/>
            <color indexed="81"/>
            <rFont val="宋体"/>
            <family val="3"/>
            <charset val="134"/>
          </rPr>
          <t>good:
根据项目小数位数不同</t>
        </r>
      </text>
    </comment>
    <comment ref="G79" authorId="0">
      <text>
        <r>
          <rPr>
            <b/>
            <sz val="9"/>
            <color indexed="81"/>
            <rFont val="宋体"/>
            <family val="3"/>
            <charset val="134"/>
          </rPr>
          <t>good:</t>
        </r>
        <r>
          <rPr>
            <sz val="9"/>
            <color indexed="81"/>
            <rFont val="宋体"/>
            <family val="3"/>
            <charset val="134"/>
          </rPr>
          <t xml:space="preserve">
小数位数根据实际情况，不同</t>
        </r>
      </text>
    </comment>
    <comment ref="B83" authorId="0">
      <text>
        <r>
          <rPr>
            <b/>
            <sz val="9"/>
            <color indexed="81"/>
            <rFont val="宋体"/>
            <family val="3"/>
            <charset val="134"/>
          </rPr>
          <t>good:</t>
        </r>
        <r>
          <rPr>
            <sz val="9"/>
            <color indexed="81"/>
            <rFont val="宋体"/>
            <family val="3"/>
            <charset val="134"/>
          </rPr>
          <t xml:space="preserve">
根据项目小数位数不同</t>
        </r>
      </text>
    </comment>
    <comment ref="B85" authorId="0">
      <text>
        <r>
          <rPr>
            <b/>
            <sz val="9"/>
            <color indexed="81"/>
            <rFont val="宋体"/>
            <family val="3"/>
            <charset val="134"/>
          </rPr>
          <t>good:</t>
        </r>
        <r>
          <rPr>
            <sz val="9"/>
            <color indexed="81"/>
            <rFont val="宋体"/>
            <family val="3"/>
            <charset val="134"/>
          </rPr>
          <t xml:space="preserve">
根据项目小数位数不同</t>
        </r>
      </text>
    </comment>
    <comment ref="B87" authorId="0">
      <text>
        <r>
          <rPr>
            <b/>
            <sz val="9"/>
            <color indexed="81"/>
            <rFont val="宋体"/>
            <family val="3"/>
            <charset val="134"/>
          </rPr>
          <t>good:</t>
        </r>
        <r>
          <rPr>
            <sz val="9"/>
            <color indexed="81"/>
            <rFont val="宋体"/>
            <family val="3"/>
            <charset val="134"/>
          </rPr>
          <t xml:space="preserve">
根据项目小数位数不同</t>
        </r>
      </text>
    </comment>
    <comment ref="D89" authorId="0">
      <text>
        <r>
          <rPr>
            <b/>
            <sz val="9"/>
            <color indexed="81"/>
            <rFont val="宋体"/>
            <family val="3"/>
            <charset val="134"/>
          </rPr>
          <t>good:</t>
        </r>
        <r>
          <rPr>
            <sz val="9"/>
            <color indexed="81"/>
            <rFont val="宋体"/>
            <family val="3"/>
            <charset val="134"/>
          </rPr>
          <t xml:space="preserve">
默认等于上面的扩展不确定度，但是可以修改</t>
        </r>
      </text>
    </comment>
    <comment ref="C93" authorId="0">
      <text>
        <r>
          <rPr>
            <b/>
            <sz val="9"/>
            <color indexed="81"/>
            <rFont val="宋体"/>
            <family val="3"/>
            <charset val="134"/>
          </rPr>
          <t>good:</t>
        </r>
        <r>
          <rPr>
            <sz val="9"/>
            <color indexed="81"/>
            <rFont val="宋体"/>
            <family val="3"/>
            <charset val="134"/>
          </rPr>
          <t xml:space="preserve">
此为</t>
        </r>
        <r>
          <rPr>
            <sz val="9"/>
            <color indexed="81"/>
            <rFont val="宋体"/>
            <family val="3"/>
            <charset val="134"/>
          </rPr>
          <t>5A中的欧
和1A算法相同，采用的UB参数一致
与下面5A中的VA算法不同</t>
        </r>
      </text>
    </comment>
    <comment ref="B99" authorId="0">
      <text>
        <r>
          <rPr>
            <b/>
            <sz val="9"/>
            <color indexed="81"/>
            <rFont val="宋体"/>
            <family val="3"/>
            <charset val="134"/>
          </rPr>
          <t>good:
根据项目小数位数不同</t>
        </r>
      </text>
    </comment>
    <comment ref="G103" authorId="0">
      <text>
        <r>
          <rPr>
            <b/>
            <sz val="9"/>
            <color indexed="81"/>
            <rFont val="宋体"/>
            <family val="3"/>
            <charset val="134"/>
          </rPr>
          <t>good:</t>
        </r>
        <r>
          <rPr>
            <sz val="9"/>
            <color indexed="81"/>
            <rFont val="宋体"/>
            <family val="3"/>
            <charset val="134"/>
          </rPr>
          <t xml:space="preserve">
小数位数根据实际情况，不同</t>
        </r>
      </text>
    </comment>
    <comment ref="B107" authorId="0">
      <text>
        <r>
          <rPr>
            <b/>
            <sz val="9"/>
            <color indexed="81"/>
            <rFont val="宋体"/>
            <family val="3"/>
            <charset val="134"/>
          </rPr>
          <t>good:</t>
        </r>
        <r>
          <rPr>
            <sz val="9"/>
            <color indexed="81"/>
            <rFont val="宋体"/>
            <family val="3"/>
            <charset val="134"/>
          </rPr>
          <t xml:space="preserve">
根据项目小数位数不同</t>
        </r>
      </text>
    </comment>
    <comment ref="B109" authorId="0">
      <text>
        <r>
          <rPr>
            <b/>
            <sz val="9"/>
            <color indexed="81"/>
            <rFont val="宋体"/>
            <family val="3"/>
            <charset val="134"/>
          </rPr>
          <t>good:</t>
        </r>
        <r>
          <rPr>
            <sz val="9"/>
            <color indexed="81"/>
            <rFont val="宋体"/>
            <family val="3"/>
            <charset val="134"/>
          </rPr>
          <t xml:space="preserve">
根据项目小数位数不同</t>
        </r>
      </text>
    </comment>
    <comment ref="B111" authorId="0">
      <text>
        <r>
          <rPr>
            <b/>
            <sz val="9"/>
            <color indexed="81"/>
            <rFont val="宋体"/>
            <family val="3"/>
            <charset val="134"/>
          </rPr>
          <t>good:</t>
        </r>
        <r>
          <rPr>
            <sz val="9"/>
            <color indexed="81"/>
            <rFont val="宋体"/>
            <family val="3"/>
            <charset val="134"/>
          </rPr>
          <t xml:space="preserve">
根据项目小数位数不同</t>
        </r>
      </text>
    </comment>
    <comment ref="D113" authorId="0">
      <text>
        <r>
          <rPr>
            <b/>
            <sz val="9"/>
            <color indexed="81"/>
            <rFont val="宋体"/>
            <family val="3"/>
            <charset val="134"/>
          </rPr>
          <t>good:</t>
        </r>
        <r>
          <rPr>
            <sz val="9"/>
            <color indexed="81"/>
            <rFont val="宋体"/>
            <family val="3"/>
            <charset val="134"/>
          </rPr>
          <t xml:space="preserve">
默认等于上面的扩展不确定度，但是可以修改</t>
        </r>
      </text>
    </comment>
    <comment ref="C115" authorId="0">
      <text>
        <r>
          <rPr>
            <b/>
            <sz val="9"/>
            <color indexed="81"/>
            <rFont val="宋体"/>
            <family val="3"/>
            <charset val="134"/>
          </rPr>
          <t>good:</t>
        </r>
        <r>
          <rPr>
            <sz val="9"/>
            <color indexed="81"/>
            <rFont val="宋体"/>
            <family val="3"/>
            <charset val="134"/>
          </rPr>
          <t xml:space="preserve">
算有功或者无功的不确定度</t>
        </r>
      </text>
    </comment>
    <comment ref="B121" authorId="0">
      <text>
        <r>
          <rPr>
            <b/>
            <sz val="9"/>
            <color indexed="81"/>
            <rFont val="宋体"/>
            <family val="3"/>
            <charset val="134"/>
          </rPr>
          <t>good:
根据项目小数位数不同</t>
        </r>
      </text>
    </comment>
    <comment ref="G125" authorId="0">
      <text>
        <r>
          <rPr>
            <b/>
            <sz val="9"/>
            <color indexed="81"/>
            <rFont val="宋体"/>
            <family val="3"/>
            <charset val="134"/>
          </rPr>
          <t>good:</t>
        </r>
        <r>
          <rPr>
            <sz val="9"/>
            <color indexed="81"/>
            <rFont val="宋体"/>
            <family val="3"/>
            <charset val="134"/>
          </rPr>
          <t xml:space="preserve">
小数位数根据实际情况，不同</t>
        </r>
      </text>
    </comment>
    <comment ref="B129" authorId="0">
      <text>
        <r>
          <rPr>
            <b/>
            <sz val="9"/>
            <color indexed="81"/>
            <rFont val="宋体"/>
            <family val="3"/>
            <charset val="134"/>
          </rPr>
          <t>good:</t>
        </r>
        <r>
          <rPr>
            <sz val="9"/>
            <color indexed="81"/>
            <rFont val="宋体"/>
            <family val="3"/>
            <charset val="134"/>
          </rPr>
          <t xml:space="preserve">
根据项目小数位数不同</t>
        </r>
      </text>
    </comment>
    <comment ref="B131" authorId="0">
      <text>
        <r>
          <rPr>
            <b/>
            <sz val="9"/>
            <color indexed="81"/>
            <rFont val="宋体"/>
            <family val="3"/>
            <charset val="134"/>
          </rPr>
          <t>good:</t>
        </r>
        <r>
          <rPr>
            <sz val="9"/>
            <color indexed="81"/>
            <rFont val="宋体"/>
            <family val="3"/>
            <charset val="134"/>
          </rPr>
          <t xml:space="preserve">
根据项目小数位数不同</t>
        </r>
      </text>
    </comment>
    <comment ref="B133" authorId="0">
      <text>
        <r>
          <rPr>
            <b/>
            <sz val="9"/>
            <color indexed="81"/>
            <rFont val="宋体"/>
            <family val="3"/>
            <charset val="134"/>
          </rPr>
          <t>good:</t>
        </r>
        <r>
          <rPr>
            <sz val="9"/>
            <color indexed="81"/>
            <rFont val="宋体"/>
            <family val="3"/>
            <charset val="134"/>
          </rPr>
          <t xml:space="preserve">
根据项目小数位数不同</t>
        </r>
      </text>
    </comment>
    <comment ref="D135" authorId="0">
      <text>
        <r>
          <rPr>
            <b/>
            <sz val="9"/>
            <color indexed="81"/>
            <rFont val="宋体"/>
            <family val="3"/>
            <charset val="134"/>
          </rPr>
          <t>good:</t>
        </r>
        <r>
          <rPr>
            <sz val="9"/>
            <color indexed="81"/>
            <rFont val="宋体"/>
            <family val="3"/>
            <charset val="134"/>
          </rPr>
          <t xml:space="preserve">
默认等于上面的扩展不确定度，但是可以修改</t>
        </r>
      </text>
    </comment>
    <comment ref="C139" authorId="0">
      <text>
        <r>
          <rPr>
            <b/>
            <sz val="9"/>
            <color indexed="81"/>
            <rFont val="宋体"/>
            <family val="3"/>
            <charset val="134"/>
          </rPr>
          <t>good:</t>
        </r>
        <r>
          <rPr>
            <sz val="9"/>
            <color indexed="81"/>
            <rFont val="宋体"/>
            <family val="3"/>
            <charset val="134"/>
          </rPr>
          <t xml:space="preserve">
此为</t>
        </r>
        <r>
          <rPr>
            <sz val="9"/>
            <color indexed="81"/>
            <rFont val="宋体"/>
            <family val="3"/>
            <charset val="134"/>
          </rPr>
          <t>5A中的VA</t>
        </r>
      </text>
    </comment>
    <comment ref="B145" authorId="0">
      <text>
        <r>
          <rPr>
            <b/>
            <sz val="9"/>
            <color indexed="81"/>
            <rFont val="宋体"/>
            <family val="3"/>
            <charset val="134"/>
          </rPr>
          <t>good:
根据项目小数位数不同</t>
        </r>
      </text>
    </comment>
    <comment ref="G149" authorId="0">
      <text>
        <r>
          <rPr>
            <b/>
            <sz val="9"/>
            <color indexed="81"/>
            <rFont val="宋体"/>
            <family val="3"/>
            <charset val="134"/>
          </rPr>
          <t>good:</t>
        </r>
        <r>
          <rPr>
            <sz val="9"/>
            <color indexed="81"/>
            <rFont val="宋体"/>
            <family val="3"/>
            <charset val="134"/>
          </rPr>
          <t xml:space="preserve">
小数位数根据实际情况，不同</t>
        </r>
      </text>
    </comment>
    <comment ref="B153" authorId="0">
      <text>
        <r>
          <rPr>
            <b/>
            <sz val="9"/>
            <color indexed="81"/>
            <rFont val="宋体"/>
            <family val="3"/>
            <charset val="134"/>
          </rPr>
          <t>good:</t>
        </r>
        <r>
          <rPr>
            <sz val="9"/>
            <color indexed="81"/>
            <rFont val="宋体"/>
            <family val="3"/>
            <charset val="134"/>
          </rPr>
          <t xml:space="preserve">
根据项目小数位数不同</t>
        </r>
      </text>
    </comment>
    <comment ref="B155" authorId="0">
      <text>
        <r>
          <rPr>
            <b/>
            <sz val="9"/>
            <color indexed="81"/>
            <rFont val="宋体"/>
            <family val="3"/>
            <charset val="134"/>
          </rPr>
          <t>good:</t>
        </r>
        <r>
          <rPr>
            <sz val="9"/>
            <color indexed="81"/>
            <rFont val="宋体"/>
            <family val="3"/>
            <charset val="134"/>
          </rPr>
          <t xml:space="preserve">
根据项目小数位数不同</t>
        </r>
      </text>
    </comment>
    <comment ref="B157" authorId="0">
      <text>
        <r>
          <rPr>
            <b/>
            <sz val="9"/>
            <color indexed="81"/>
            <rFont val="宋体"/>
            <family val="3"/>
            <charset val="134"/>
          </rPr>
          <t>good:</t>
        </r>
        <r>
          <rPr>
            <sz val="9"/>
            <color indexed="81"/>
            <rFont val="宋体"/>
            <family val="3"/>
            <charset val="134"/>
          </rPr>
          <t xml:space="preserve">
根据项目小数位数不同</t>
        </r>
      </text>
    </comment>
    <comment ref="D159" authorId="0">
      <text>
        <r>
          <rPr>
            <b/>
            <sz val="9"/>
            <color indexed="81"/>
            <rFont val="宋体"/>
            <family val="3"/>
            <charset val="134"/>
          </rPr>
          <t>good:</t>
        </r>
        <r>
          <rPr>
            <sz val="9"/>
            <color indexed="81"/>
            <rFont val="宋体"/>
            <family val="3"/>
            <charset val="134"/>
          </rPr>
          <t xml:space="preserve">
默认等于上面的扩展不确定度，但是可以修改</t>
        </r>
      </text>
    </comment>
    <comment ref="C161" authorId="0">
      <text>
        <r>
          <rPr>
            <b/>
            <sz val="9"/>
            <color indexed="81"/>
            <rFont val="宋体"/>
            <family val="3"/>
            <charset val="134"/>
          </rPr>
          <t>good:</t>
        </r>
        <r>
          <rPr>
            <sz val="9"/>
            <color indexed="81"/>
            <rFont val="宋体"/>
            <family val="3"/>
            <charset val="134"/>
          </rPr>
          <t xml:space="preserve">
算有功或者无功的不确定度</t>
        </r>
      </text>
    </comment>
    <comment ref="B167" authorId="0">
      <text>
        <r>
          <rPr>
            <b/>
            <sz val="9"/>
            <color indexed="81"/>
            <rFont val="宋体"/>
            <family val="3"/>
            <charset val="134"/>
          </rPr>
          <t>good:
根据项目小数位数不同</t>
        </r>
      </text>
    </comment>
    <comment ref="G171" authorId="0">
      <text>
        <r>
          <rPr>
            <b/>
            <sz val="9"/>
            <color indexed="81"/>
            <rFont val="宋体"/>
            <family val="3"/>
            <charset val="134"/>
          </rPr>
          <t>good:</t>
        </r>
        <r>
          <rPr>
            <sz val="9"/>
            <color indexed="81"/>
            <rFont val="宋体"/>
            <family val="3"/>
            <charset val="134"/>
          </rPr>
          <t xml:space="preserve">
小数位数根据实际情况，不同</t>
        </r>
      </text>
    </comment>
    <comment ref="B175" authorId="0">
      <text>
        <r>
          <rPr>
            <b/>
            <sz val="9"/>
            <color indexed="81"/>
            <rFont val="宋体"/>
            <family val="3"/>
            <charset val="134"/>
          </rPr>
          <t>good:</t>
        </r>
        <r>
          <rPr>
            <sz val="9"/>
            <color indexed="81"/>
            <rFont val="宋体"/>
            <family val="3"/>
            <charset val="134"/>
          </rPr>
          <t xml:space="preserve">
根据项目小数位数不同</t>
        </r>
      </text>
    </comment>
    <comment ref="B177" authorId="0">
      <text>
        <r>
          <rPr>
            <b/>
            <sz val="9"/>
            <color indexed="81"/>
            <rFont val="宋体"/>
            <family val="3"/>
            <charset val="134"/>
          </rPr>
          <t>good:</t>
        </r>
        <r>
          <rPr>
            <sz val="9"/>
            <color indexed="81"/>
            <rFont val="宋体"/>
            <family val="3"/>
            <charset val="134"/>
          </rPr>
          <t xml:space="preserve">
根据项目小数位数不同</t>
        </r>
      </text>
    </comment>
    <comment ref="B179" authorId="0">
      <text>
        <r>
          <rPr>
            <b/>
            <sz val="9"/>
            <color indexed="81"/>
            <rFont val="宋体"/>
            <family val="3"/>
            <charset val="134"/>
          </rPr>
          <t>good:</t>
        </r>
        <r>
          <rPr>
            <sz val="9"/>
            <color indexed="81"/>
            <rFont val="宋体"/>
            <family val="3"/>
            <charset val="134"/>
          </rPr>
          <t xml:space="preserve">
根据项目小数位数不同</t>
        </r>
      </text>
    </comment>
    <comment ref="D181" authorId="0">
      <text>
        <r>
          <rPr>
            <b/>
            <sz val="9"/>
            <color indexed="81"/>
            <rFont val="宋体"/>
            <family val="3"/>
            <charset val="134"/>
          </rPr>
          <t>good:</t>
        </r>
        <r>
          <rPr>
            <sz val="9"/>
            <color indexed="81"/>
            <rFont val="宋体"/>
            <family val="3"/>
            <charset val="134"/>
          </rPr>
          <t xml:space="preserve">
默认等于上面的扩展不确定度，但是可以修改</t>
        </r>
      </text>
    </comment>
  </commentList>
</comments>
</file>

<file path=xl/comments65.xml><?xml version="1.0" encoding="utf-8"?>
<comments xmlns="http://schemas.openxmlformats.org/spreadsheetml/2006/main">
  <authors>
    <author>good</author>
  </authors>
  <commentList>
    <comment ref="A1" authorId="0">
      <text>
        <r>
          <rPr>
            <b/>
            <sz val="9"/>
            <color indexed="81"/>
            <rFont val="宋体"/>
            <family val="3"/>
            <charset val="134"/>
          </rPr>
          <t>good:</t>
        </r>
        <r>
          <rPr>
            <sz val="9"/>
            <color indexed="81"/>
            <rFont val="宋体"/>
            <family val="3"/>
            <charset val="134"/>
          </rPr>
          <t xml:space="preserve">
后期做校准</t>
        </r>
      </text>
    </comment>
    <comment ref="P29" authorId="0">
      <text>
        <r>
          <rPr>
            <b/>
            <sz val="9"/>
            <color indexed="81"/>
            <rFont val="宋体"/>
            <family val="3"/>
            <charset val="134"/>
          </rPr>
          <t>good:</t>
        </r>
        <r>
          <rPr>
            <sz val="9"/>
            <color indexed="81"/>
            <rFont val="宋体"/>
            <family val="3"/>
            <charset val="134"/>
          </rPr>
          <t xml:space="preserve">
手动输入，电压、电流、频率</t>
        </r>
      </text>
    </comment>
    <comment ref="N30" authorId="0">
      <text>
        <r>
          <rPr>
            <b/>
            <sz val="9"/>
            <color indexed="81"/>
            <rFont val="宋体"/>
            <family val="3"/>
            <charset val="134"/>
          </rPr>
          <t>good:</t>
        </r>
        <r>
          <rPr>
            <sz val="9"/>
            <color indexed="81"/>
            <rFont val="宋体"/>
            <family val="3"/>
            <charset val="134"/>
          </rPr>
          <t xml:space="preserve">
手工输入</t>
        </r>
      </text>
    </comment>
    <comment ref="N31" authorId="0">
      <text>
        <r>
          <rPr>
            <b/>
            <sz val="9"/>
            <color indexed="81"/>
            <rFont val="宋体"/>
            <family val="3"/>
            <charset val="134"/>
          </rPr>
          <t>good:</t>
        </r>
        <r>
          <rPr>
            <sz val="9"/>
            <color indexed="81"/>
            <rFont val="宋体"/>
            <family val="3"/>
            <charset val="134"/>
          </rPr>
          <t xml:space="preserve">
手工输入</t>
        </r>
      </text>
    </comment>
    <comment ref="AF32" authorId="0">
      <text>
        <r>
          <rPr>
            <b/>
            <sz val="9"/>
            <color indexed="81"/>
            <rFont val="宋体"/>
            <family val="3"/>
            <charset val="134"/>
          </rPr>
          <t>good:</t>
        </r>
        <r>
          <rPr>
            <sz val="9"/>
            <color indexed="81"/>
            <rFont val="宋体"/>
            <family val="3"/>
            <charset val="134"/>
          </rPr>
          <t xml:space="preserve">
手工输入</t>
        </r>
      </text>
    </comment>
    <comment ref="AC35" authorId="0">
      <text>
        <r>
          <rPr>
            <b/>
            <sz val="9"/>
            <color indexed="81"/>
            <rFont val="宋体"/>
            <family val="3"/>
            <charset val="134"/>
          </rPr>
          <t>good:</t>
        </r>
        <r>
          <rPr>
            <sz val="9"/>
            <color indexed="81"/>
            <rFont val="宋体"/>
            <family val="3"/>
            <charset val="134"/>
          </rPr>
          <t xml:space="preserve">
输入通道值  1 2</t>
        </r>
      </text>
    </comment>
    <comment ref="I36" authorId="0">
      <text>
        <r>
          <rPr>
            <b/>
            <sz val="9"/>
            <color indexed="81"/>
            <rFont val="宋体"/>
            <family val="3"/>
            <charset val="134"/>
          </rPr>
          <t>good:</t>
        </r>
        <r>
          <rPr>
            <sz val="9"/>
            <color indexed="81"/>
            <rFont val="宋体"/>
            <family val="3"/>
            <charset val="134"/>
          </rPr>
          <t xml:space="preserve">
程序写死</t>
        </r>
      </text>
    </comment>
    <comment ref="A37" authorId="0">
      <text>
        <r>
          <rPr>
            <b/>
            <sz val="9"/>
            <color indexed="81"/>
            <rFont val="宋体"/>
            <family val="3"/>
            <charset val="134"/>
          </rPr>
          <t>good:</t>
        </r>
        <r>
          <rPr>
            <sz val="9"/>
            <color indexed="81"/>
            <rFont val="宋体"/>
            <family val="3"/>
            <charset val="134"/>
          </rPr>
          <t xml:space="preserve">
程序写死</t>
        </r>
      </text>
    </comment>
    <comment ref="N37" authorId="0">
      <text>
        <r>
          <rPr>
            <b/>
            <sz val="9"/>
            <color indexed="81"/>
            <rFont val="宋体"/>
            <family val="3"/>
            <charset val="134"/>
          </rPr>
          <t>good:</t>
        </r>
        <r>
          <rPr>
            <sz val="9"/>
            <color indexed="81"/>
            <rFont val="宋体"/>
            <family val="3"/>
            <charset val="134"/>
          </rPr>
          <t xml:space="preserve">
程序写死</t>
        </r>
      </text>
    </comment>
    <comment ref="AC44" authorId="0">
      <text>
        <r>
          <rPr>
            <b/>
            <sz val="9"/>
            <color indexed="81"/>
            <rFont val="宋体"/>
            <family val="3"/>
            <charset val="134"/>
          </rPr>
          <t>good:</t>
        </r>
        <r>
          <rPr>
            <sz val="9"/>
            <color indexed="81"/>
            <rFont val="宋体"/>
            <family val="3"/>
            <charset val="134"/>
          </rPr>
          <t xml:space="preserve">
输入通道值  1 2</t>
        </r>
      </text>
    </comment>
    <comment ref="AC53" authorId="0">
      <text>
        <r>
          <rPr>
            <b/>
            <sz val="9"/>
            <color indexed="81"/>
            <rFont val="宋体"/>
            <family val="3"/>
            <charset val="134"/>
          </rPr>
          <t>good:</t>
        </r>
        <r>
          <rPr>
            <sz val="9"/>
            <color indexed="81"/>
            <rFont val="宋体"/>
            <family val="3"/>
            <charset val="134"/>
          </rPr>
          <t xml:space="preserve">
输入通道值  1 2</t>
        </r>
      </text>
    </comment>
    <comment ref="A55" authorId="0">
      <text>
        <r>
          <rPr>
            <b/>
            <sz val="9"/>
            <color indexed="81"/>
            <rFont val="宋体"/>
            <family val="3"/>
            <charset val="134"/>
          </rPr>
          <t>good:</t>
        </r>
        <r>
          <rPr>
            <sz val="9"/>
            <color indexed="81"/>
            <rFont val="宋体"/>
            <family val="3"/>
            <charset val="134"/>
          </rPr>
          <t xml:space="preserve">
程序写死</t>
        </r>
      </text>
    </comment>
    <comment ref="E55" authorId="0">
      <text>
        <r>
          <rPr>
            <b/>
            <sz val="9"/>
            <color indexed="81"/>
            <rFont val="宋体"/>
            <family val="3"/>
            <charset val="134"/>
          </rPr>
          <t>good:</t>
        </r>
        <r>
          <rPr>
            <sz val="9"/>
            <color indexed="81"/>
            <rFont val="宋体"/>
            <family val="3"/>
            <charset val="134"/>
          </rPr>
          <t xml:space="preserve">
自己输入</t>
        </r>
      </text>
    </comment>
    <comment ref="I55" authorId="0">
      <text>
        <r>
          <rPr>
            <b/>
            <sz val="9"/>
            <color indexed="81"/>
            <rFont val="宋体"/>
            <family val="3"/>
            <charset val="134"/>
          </rPr>
          <t>good:</t>
        </r>
        <r>
          <rPr>
            <sz val="9"/>
            <color indexed="81"/>
            <rFont val="宋体"/>
            <family val="3"/>
            <charset val="134"/>
          </rPr>
          <t xml:space="preserve">
程序写死</t>
        </r>
      </text>
    </comment>
    <comment ref="N55" authorId="0">
      <text>
        <r>
          <rPr>
            <b/>
            <sz val="9"/>
            <color indexed="81"/>
            <rFont val="宋体"/>
            <family val="3"/>
            <charset val="134"/>
          </rPr>
          <t>good:</t>
        </r>
        <r>
          <rPr>
            <sz val="9"/>
            <color indexed="81"/>
            <rFont val="宋体"/>
            <family val="3"/>
            <charset val="134"/>
          </rPr>
          <t xml:space="preserve">
程序写死</t>
        </r>
      </text>
    </comment>
    <comment ref="AC66" authorId="0">
      <text>
        <r>
          <rPr>
            <b/>
            <sz val="9"/>
            <color indexed="81"/>
            <rFont val="宋体"/>
            <family val="3"/>
            <charset val="134"/>
          </rPr>
          <t>good:</t>
        </r>
        <r>
          <rPr>
            <sz val="9"/>
            <color indexed="81"/>
            <rFont val="宋体"/>
            <family val="3"/>
            <charset val="134"/>
          </rPr>
          <t xml:space="preserve">
输入通道值  1 2</t>
        </r>
      </text>
    </comment>
    <comment ref="A68" authorId="0">
      <text>
        <r>
          <rPr>
            <b/>
            <sz val="9"/>
            <color indexed="81"/>
            <rFont val="宋体"/>
            <family val="3"/>
            <charset val="134"/>
          </rPr>
          <t>good:</t>
        </r>
        <r>
          <rPr>
            <sz val="9"/>
            <color indexed="81"/>
            <rFont val="宋体"/>
            <family val="3"/>
            <charset val="134"/>
          </rPr>
          <t xml:space="preserve">
程序写死</t>
        </r>
      </text>
    </comment>
    <comment ref="E68" authorId="0">
      <text>
        <r>
          <rPr>
            <b/>
            <sz val="9"/>
            <color indexed="81"/>
            <rFont val="宋体"/>
            <family val="3"/>
            <charset val="134"/>
          </rPr>
          <t>good:</t>
        </r>
        <r>
          <rPr>
            <sz val="9"/>
            <color indexed="81"/>
            <rFont val="宋体"/>
            <family val="3"/>
            <charset val="134"/>
          </rPr>
          <t xml:space="preserve">
自己输入</t>
        </r>
      </text>
    </comment>
    <comment ref="I68" authorId="0">
      <text>
        <r>
          <rPr>
            <b/>
            <sz val="9"/>
            <color indexed="81"/>
            <rFont val="宋体"/>
            <family val="3"/>
            <charset val="134"/>
          </rPr>
          <t>good:</t>
        </r>
        <r>
          <rPr>
            <sz val="9"/>
            <color indexed="81"/>
            <rFont val="宋体"/>
            <family val="3"/>
            <charset val="134"/>
          </rPr>
          <t xml:space="preserve">
程序写死</t>
        </r>
      </text>
    </comment>
    <comment ref="N68" authorId="0">
      <text>
        <r>
          <rPr>
            <b/>
            <sz val="9"/>
            <color indexed="81"/>
            <rFont val="宋体"/>
            <family val="3"/>
            <charset val="134"/>
          </rPr>
          <t>good:</t>
        </r>
        <r>
          <rPr>
            <sz val="9"/>
            <color indexed="81"/>
            <rFont val="宋体"/>
            <family val="3"/>
            <charset val="134"/>
          </rPr>
          <t xml:space="preserve">
程序写死</t>
        </r>
      </text>
    </comment>
    <comment ref="T79" authorId="0">
      <text>
        <r>
          <rPr>
            <b/>
            <sz val="9"/>
            <color indexed="81"/>
            <rFont val="宋体"/>
            <family val="3"/>
            <charset val="134"/>
          </rPr>
          <t>good:</t>
        </r>
        <r>
          <rPr>
            <sz val="9"/>
            <color indexed="81"/>
            <rFont val="宋体"/>
            <family val="3"/>
            <charset val="134"/>
          </rPr>
          <t xml:space="preserve">
自己输入</t>
        </r>
      </text>
    </comment>
    <comment ref="Y79" authorId="0">
      <text>
        <r>
          <rPr>
            <b/>
            <sz val="9"/>
            <color indexed="81"/>
            <rFont val="宋体"/>
            <family val="3"/>
            <charset val="134"/>
          </rPr>
          <t>good:</t>
        </r>
        <r>
          <rPr>
            <sz val="9"/>
            <color indexed="81"/>
            <rFont val="宋体"/>
            <family val="3"/>
            <charset val="134"/>
          </rPr>
          <t xml:space="preserve">
输入通道值  1 2</t>
        </r>
      </text>
    </comment>
    <comment ref="AP79" authorId="0">
      <text>
        <r>
          <rPr>
            <b/>
            <sz val="9"/>
            <color indexed="81"/>
            <rFont val="宋体"/>
            <family val="3"/>
            <charset val="134"/>
          </rPr>
          <t>good:</t>
        </r>
        <r>
          <rPr>
            <sz val="9"/>
            <color indexed="81"/>
            <rFont val="宋体"/>
            <family val="3"/>
            <charset val="134"/>
          </rPr>
          <t xml:space="preserve">
手工输入</t>
        </r>
      </text>
    </comment>
    <comment ref="AO80" authorId="0">
      <text>
        <r>
          <rPr>
            <b/>
            <sz val="9"/>
            <color indexed="81"/>
            <rFont val="宋体"/>
            <family val="3"/>
            <charset val="134"/>
          </rPr>
          <t>good:</t>
        </r>
        <r>
          <rPr>
            <sz val="9"/>
            <color indexed="81"/>
            <rFont val="宋体"/>
            <family val="3"/>
            <charset val="134"/>
          </rPr>
          <t xml:space="preserve">
（实际输出值-标准输出值）/标准输出值*100%
并与等级，修约化整。小数点比等级一位</t>
        </r>
      </text>
    </comment>
    <comment ref="AX80" authorId="0">
      <text>
        <r>
          <rPr>
            <b/>
            <sz val="9"/>
            <color indexed="81"/>
            <rFont val="宋体"/>
            <family val="3"/>
            <charset val="134"/>
          </rPr>
          <t>good:</t>
        </r>
        <r>
          <rPr>
            <sz val="9"/>
            <color indexed="81"/>
            <rFont val="宋体"/>
            <family val="3"/>
            <charset val="134"/>
          </rPr>
          <t xml:space="preserve">
其他类似</t>
        </r>
      </text>
    </comment>
    <comment ref="E81" authorId="0">
      <text>
        <r>
          <rPr>
            <b/>
            <sz val="9"/>
            <color indexed="81"/>
            <rFont val="宋体"/>
            <family val="3"/>
            <charset val="134"/>
          </rPr>
          <t>good:</t>
        </r>
        <r>
          <rPr>
            <sz val="9"/>
            <color indexed="81"/>
            <rFont val="宋体"/>
            <family val="3"/>
            <charset val="134"/>
          </rPr>
          <t xml:space="preserve">
选 0.1 0.2 0.5 1.0</t>
        </r>
      </text>
    </comment>
    <comment ref="I81" authorId="0">
      <text>
        <r>
          <rPr>
            <b/>
            <sz val="9"/>
            <color indexed="81"/>
            <rFont val="宋体"/>
            <family val="3"/>
            <charset val="134"/>
          </rPr>
          <t>good:</t>
        </r>
        <r>
          <rPr>
            <sz val="9"/>
            <color indexed="81"/>
            <rFont val="宋体"/>
            <family val="3"/>
            <charset val="134"/>
          </rPr>
          <t xml:space="preserve">
自己输入</t>
        </r>
      </text>
    </comment>
    <comment ref="AC89" authorId="0">
      <text>
        <r>
          <rPr>
            <b/>
            <sz val="9"/>
            <color indexed="81"/>
            <rFont val="宋体"/>
            <family val="3"/>
            <charset val="134"/>
          </rPr>
          <t>good:</t>
        </r>
        <r>
          <rPr>
            <sz val="9"/>
            <color indexed="81"/>
            <rFont val="宋体"/>
            <family val="3"/>
            <charset val="134"/>
          </rPr>
          <t xml:space="preserve">
输入通道值  1 2</t>
        </r>
      </text>
    </comment>
    <comment ref="E90" authorId="0">
      <text>
        <r>
          <rPr>
            <b/>
            <sz val="9"/>
            <color indexed="81"/>
            <rFont val="宋体"/>
            <family val="3"/>
            <charset val="134"/>
          </rPr>
          <t>good:</t>
        </r>
        <r>
          <rPr>
            <sz val="9"/>
            <color indexed="81"/>
            <rFont val="宋体"/>
            <family val="3"/>
            <charset val="134"/>
          </rPr>
          <t xml:space="preserve">
自己输入</t>
        </r>
      </text>
    </comment>
    <comment ref="I90" authorId="0">
      <text>
        <r>
          <rPr>
            <b/>
            <sz val="9"/>
            <color indexed="81"/>
            <rFont val="宋体"/>
            <family val="3"/>
            <charset val="134"/>
          </rPr>
          <t>good:</t>
        </r>
        <r>
          <rPr>
            <sz val="9"/>
            <color indexed="81"/>
            <rFont val="宋体"/>
            <family val="3"/>
            <charset val="134"/>
          </rPr>
          <t xml:space="preserve">
程序写死</t>
        </r>
      </text>
    </comment>
    <comment ref="R90" authorId="0">
      <text>
        <r>
          <rPr>
            <b/>
            <sz val="9"/>
            <color indexed="81"/>
            <rFont val="宋体"/>
            <family val="3"/>
            <charset val="134"/>
          </rPr>
          <t>good:</t>
        </r>
        <r>
          <rPr>
            <sz val="9"/>
            <color indexed="81"/>
            <rFont val="宋体"/>
            <family val="3"/>
            <charset val="134"/>
          </rPr>
          <t xml:space="preserve">
程序写死</t>
        </r>
      </text>
    </comment>
    <comment ref="A91" authorId="0">
      <text>
        <r>
          <rPr>
            <b/>
            <sz val="9"/>
            <color indexed="81"/>
            <rFont val="宋体"/>
            <family val="3"/>
            <charset val="134"/>
          </rPr>
          <t>good:</t>
        </r>
        <r>
          <rPr>
            <sz val="9"/>
            <color indexed="81"/>
            <rFont val="宋体"/>
            <family val="3"/>
            <charset val="134"/>
          </rPr>
          <t xml:space="preserve">
程序写死</t>
        </r>
      </text>
    </comment>
    <comment ref="P97" authorId="0">
      <text>
        <r>
          <rPr>
            <b/>
            <sz val="9"/>
            <color indexed="81"/>
            <rFont val="宋体"/>
            <family val="3"/>
            <charset val="134"/>
          </rPr>
          <t>good:</t>
        </r>
        <r>
          <rPr>
            <sz val="9"/>
            <color indexed="81"/>
            <rFont val="宋体"/>
            <family val="3"/>
            <charset val="134"/>
          </rPr>
          <t xml:space="preserve">
输入，默认单位度</t>
        </r>
      </text>
    </comment>
    <comment ref="AC97" authorId="0">
      <text>
        <r>
          <rPr>
            <b/>
            <sz val="9"/>
            <color indexed="81"/>
            <rFont val="宋体"/>
            <family val="3"/>
            <charset val="134"/>
          </rPr>
          <t>good:</t>
        </r>
        <r>
          <rPr>
            <sz val="9"/>
            <color indexed="81"/>
            <rFont val="宋体"/>
            <family val="3"/>
            <charset val="134"/>
          </rPr>
          <t xml:space="preserve">
输入通道值  1 2</t>
        </r>
      </text>
    </comment>
    <comment ref="I98" authorId="0">
      <text>
        <r>
          <rPr>
            <b/>
            <sz val="9"/>
            <color indexed="81"/>
            <rFont val="宋体"/>
            <family val="3"/>
            <charset val="134"/>
          </rPr>
          <t>good:</t>
        </r>
        <r>
          <rPr>
            <sz val="9"/>
            <color indexed="81"/>
            <rFont val="宋体"/>
            <family val="3"/>
            <charset val="134"/>
          </rPr>
          <t xml:space="preserve">
自己输入，加行</t>
        </r>
      </text>
    </comment>
    <comment ref="N98" authorId="0">
      <text>
        <r>
          <rPr>
            <b/>
            <sz val="9"/>
            <color indexed="81"/>
            <rFont val="宋体"/>
            <family val="3"/>
            <charset val="134"/>
          </rPr>
          <t>good:</t>
        </r>
        <r>
          <rPr>
            <sz val="9"/>
            <color indexed="81"/>
            <rFont val="宋体"/>
            <family val="3"/>
            <charset val="134"/>
          </rPr>
          <t xml:space="preserve">
单位系统固化</t>
        </r>
      </text>
    </comment>
    <comment ref="L99" authorId="0">
      <text>
        <r>
          <rPr>
            <b/>
            <sz val="9"/>
            <color indexed="81"/>
            <rFont val="宋体"/>
            <family val="3"/>
            <charset val="134"/>
          </rPr>
          <t>good:</t>
        </r>
        <r>
          <rPr>
            <sz val="9"/>
            <color indexed="81"/>
            <rFont val="宋体"/>
            <family val="3"/>
            <charset val="134"/>
          </rPr>
          <t xml:space="preserve">
单位默认度</t>
        </r>
      </text>
    </comment>
  </commentList>
</comments>
</file>

<file path=xl/comments66.xml><?xml version="1.0" encoding="utf-8"?>
<comments xmlns="http://schemas.openxmlformats.org/spreadsheetml/2006/main">
  <authors>
    <author>作者</author>
  </authors>
  <commentList>
    <comment ref="A8" authorId="0">
      <text>
        <r>
          <rPr>
            <b/>
            <sz val="9"/>
            <color indexed="81"/>
            <rFont val="宋体"/>
            <family val="3"/>
            <charset val="134"/>
          </rPr>
          <t>作者:</t>
        </r>
        <r>
          <rPr>
            <b/>
            <sz val="9"/>
            <color indexed="81"/>
            <rFont val="宋体"/>
            <family val="3"/>
            <charset val="134"/>
          </rPr>
          <t xml:space="preserve">
根据项目小数位数不同</t>
        </r>
      </text>
    </comment>
  </commentList>
</comments>
</file>

<file path=xl/sharedStrings.xml><?xml version="1.0" encoding="utf-8"?>
<sst xmlns="http://schemas.openxmlformats.org/spreadsheetml/2006/main" count="13231" uniqueCount="4432">
  <si>
    <t>规程名称</t>
    <phoneticPr fontId="2" type="noConversion"/>
  </si>
  <si>
    <t>实验室名称</t>
    <phoneticPr fontId="2" type="noConversion"/>
  </si>
  <si>
    <t>指示仪表实验室</t>
    <phoneticPr fontId="2" type="noConversion"/>
  </si>
  <si>
    <t>JJG(航天)34-1999 交流数字电压表检定规程</t>
    <phoneticPr fontId="2" type="noConversion"/>
  </si>
  <si>
    <t>数表实验室（单相）</t>
    <phoneticPr fontId="2" type="noConversion"/>
  </si>
  <si>
    <t>所有单相规程只做基本误差，少部分做稳定误差，其他默认合格不合格。</t>
    <phoneticPr fontId="2" type="noConversion"/>
  </si>
  <si>
    <t>直流仪器实验室</t>
    <phoneticPr fontId="2" type="noConversion"/>
  </si>
  <si>
    <t>校准证书</t>
    <phoneticPr fontId="2" type="noConversion"/>
  </si>
  <si>
    <t>校准证书</t>
    <phoneticPr fontId="2" type="noConversion"/>
  </si>
  <si>
    <t>检定证书</t>
    <phoneticPr fontId="2" type="noConversion"/>
  </si>
  <si>
    <t>JJG 1052-2009 回路电阻测试仪、直阻仪检定</t>
    <phoneticPr fontId="2" type="noConversion"/>
  </si>
  <si>
    <t>JJG 984-2004 接地导通电阻测试仪检定规程</t>
    <phoneticPr fontId="2" type="noConversion"/>
  </si>
  <si>
    <t>JJG 597-2005 交流电能表检定装置</t>
    <phoneticPr fontId="2" type="noConversion"/>
  </si>
  <si>
    <t xml:space="preserve">JJG 596-2012 电子式交流电能表检定规程  </t>
    <phoneticPr fontId="4" type="noConversion"/>
  </si>
  <si>
    <t>电能实验室</t>
    <phoneticPr fontId="2" type="noConversion"/>
  </si>
  <si>
    <t>电能实验室</t>
    <phoneticPr fontId="2" type="noConversion"/>
  </si>
  <si>
    <t>接口厂家为广州，</t>
    <phoneticPr fontId="2" type="noConversion"/>
  </si>
  <si>
    <t>JJG 1085-2013 标准电能表检定规程</t>
    <phoneticPr fontId="4" type="noConversion"/>
  </si>
  <si>
    <t>系统支持文件上传即可，不需要</t>
    <phoneticPr fontId="2" type="noConversion"/>
  </si>
  <si>
    <t>检定证书、校准证书（CNAS）</t>
    <phoneticPr fontId="2" type="noConversion"/>
  </si>
  <si>
    <t>互感器实验室</t>
    <phoneticPr fontId="2" type="noConversion"/>
  </si>
  <si>
    <t>JJG-313-2010 测量用电流互感器检定规程</t>
    <phoneticPr fontId="2" type="noConversion"/>
  </si>
  <si>
    <t>检定证书、校准证书（CNAS）</t>
    <phoneticPr fontId="2" type="noConversion"/>
  </si>
  <si>
    <t>校准证书</t>
  </si>
  <si>
    <t>数表实验室（三相）</t>
    <phoneticPr fontId="2" type="noConversion"/>
  </si>
  <si>
    <t>检定证书</t>
    <phoneticPr fontId="2" type="noConversion"/>
  </si>
  <si>
    <t>Q/GDW 1899-2013 国家电网交流采样测量装置校验规范</t>
    <phoneticPr fontId="2" type="noConversion"/>
  </si>
  <si>
    <t>JJG 126-1995 交流电量变换为直流电量电工测量变送器</t>
    <phoneticPr fontId="2" type="noConversion"/>
  </si>
  <si>
    <t>校准证书</t>
    <phoneticPr fontId="2" type="noConversion"/>
  </si>
  <si>
    <t>检定证书</t>
    <phoneticPr fontId="2" type="noConversion"/>
  </si>
  <si>
    <t>指示仪表实验室</t>
    <phoneticPr fontId="2" type="noConversion"/>
  </si>
  <si>
    <t>JJG 124-2005 电流表、电压表、功率表及电阻表</t>
    <phoneticPr fontId="2" type="noConversion"/>
  </si>
  <si>
    <t>检定项目</t>
  </si>
  <si>
    <r>
      <t>检定项目</t>
    </r>
    <r>
      <rPr>
        <sz val="12"/>
        <rFont val="宋体"/>
        <family val="3"/>
        <charset val="134"/>
      </rPr>
      <t xml:space="preserve">   </t>
    </r>
    <r>
      <rPr>
        <vertAlign val="superscript"/>
        <sz val="12"/>
        <rFont val="宋体"/>
        <family val="3"/>
        <charset val="134"/>
      </rPr>
      <t xml:space="preserve"> 检定类别</t>
    </r>
  </si>
  <si>
    <t>备注</t>
    <phoneticPr fontId="2" type="noConversion"/>
  </si>
  <si>
    <t>外观检查</t>
  </si>
  <si>
    <t>基本误差</t>
  </si>
  <si>
    <t>位置影响</t>
  </si>
  <si>
    <t>删除</t>
    <phoneticPr fontId="2" type="noConversion"/>
  </si>
  <si>
    <t>功率因数影响</t>
  </si>
  <si>
    <t>阻尼</t>
  </si>
  <si>
    <t>绝缘强度测量</t>
  </si>
  <si>
    <t>介电强度试验</t>
  </si>
  <si>
    <t>规程名称：JJG 124-2005 电流表、电压表、功率表及电阻表</t>
    <phoneticPr fontId="2" type="noConversion"/>
  </si>
  <si>
    <t>mm</t>
    <phoneticPr fontId="8" type="noConversion"/>
  </si>
  <si>
    <t>/</t>
    <phoneticPr fontId="8" type="noConversion"/>
  </si>
  <si>
    <t>量程、指示值、等级指数设置方式是：下拉列表还是文本框录入，如果下拉列表需要提供出选项？</t>
    <phoneticPr fontId="2" type="noConversion"/>
  </si>
  <si>
    <t>平均值、修正值、升降变差、基本误差的算法规则需告知？</t>
    <phoneticPr fontId="2" type="noConversion"/>
  </si>
  <si>
    <t>问题：</t>
    <phoneticPr fontId="2" type="noConversion"/>
  </si>
  <si>
    <t>标准表读数、平均值等的总长度、小数位数？</t>
    <phoneticPr fontId="2" type="noConversion"/>
  </si>
  <si>
    <t>JJG 622-1997 绝缘电阻表</t>
    <phoneticPr fontId="2" type="noConversion"/>
  </si>
  <si>
    <t>规程名称：</t>
  </si>
  <si>
    <r>
      <t>检定项目</t>
    </r>
    <r>
      <rPr>
        <sz val="12"/>
        <rFont val="宋体"/>
        <family val="3"/>
        <charset val="134"/>
      </rPr>
      <t xml:space="preserve">   </t>
    </r>
    <r>
      <rPr>
        <vertAlign val="superscript"/>
        <sz val="12"/>
        <rFont val="宋体"/>
        <family val="3"/>
        <charset val="134"/>
      </rPr>
      <t xml:space="preserve"> 检定类别</t>
    </r>
  </si>
  <si>
    <t>备注</t>
    <phoneticPr fontId="17" type="noConversion"/>
  </si>
  <si>
    <t>合格、不合格</t>
    <phoneticPr fontId="17" type="noConversion"/>
  </si>
  <si>
    <t>初步试验</t>
  </si>
  <si>
    <t>数据录入模板</t>
    <phoneticPr fontId="17" type="noConversion"/>
  </si>
  <si>
    <t>倾斜影响检验</t>
  </si>
  <si>
    <t>绝缘电阻测量</t>
  </si>
  <si>
    <t>绝缘强度检验</t>
  </si>
  <si>
    <t>屏蔽装置作用检查</t>
  </si>
  <si>
    <t>MΩ</t>
  </si>
  <si>
    <t>外观</t>
  </si>
  <si>
    <t>显示能力</t>
  </si>
  <si>
    <t>绝缘电阻</t>
  </si>
  <si>
    <t>2、偏离零位：</t>
    <phoneticPr fontId="2" type="noConversion"/>
  </si>
  <si>
    <t>JJG 366-2004 接地电阻表</t>
    <phoneticPr fontId="2" type="noConversion"/>
  </si>
  <si>
    <t>介电强度</t>
  </si>
  <si>
    <t>示值误差</t>
  </si>
  <si>
    <t>首次检定</t>
  </si>
  <si>
    <t>周期检定</t>
  </si>
  <si>
    <t>外观检查</t>
    <phoneticPr fontId="2" type="noConversion"/>
  </si>
  <si>
    <t> +</t>
  </si>
  <si>
    <t>注：符号“+”表示必须检定，“-”表示可不检定。</t>
  </si>
  <si>
    <t>V</t>
  </si>
  <si>
    <t>mV</t>
  </si>
  <si>
    <t>/</t>
  </si>
  <si>
    <t>µA</t>
  </si>
  <si>
    <t>mA</t>
  </si>
  <si>
    <t>A</t>
  </si>
  <si>
    <t xml:space="preserve">    /</t>
  </si>
  <si>
    <t>检测项目在原始记录和证书中的名称？</t>
    <phoneticPr fontId="2" type="noConversion"/>
  </si>
  <si>
    <t>直阻仪检定项目</t>
  </si>
  <si>
    <t>电阻示值误差</t>
  </si>
  <si>
    <t>-</t>
  </si>
  <si>
    <t>泄漏电流</t>
  </si>
  <si>
    <t>外观及线路检查</t>
  </si>
  <si>
    <t>绝缘电阻检测</t>
  </si>
  <si>
    <t>二等标准电阻的上级检定结果</t>
  </si>
  <si>
    <t>被测电阻的实际值</t>
  </si>
  <si>
    <t>×</t>
  </si>
  <si>
    <t>Ω</t>
  </si>
  <si>
    <t>±0.01</t>
  </si>
  <si>
    <t>JJG 125-2004 直流电桥检定规程</t>
    <phoneticPr fontId="2" type="noConversion"/>
  </si>
  <si>
    <t>外观级线路检查</t>
  </si>
  <si>
    <t>绝缘电阻对整体误差影响</t>
  </si>
  <si>
    <t>内附指零仪灵敏度</t>
  </si>
  <si>
    <t>内附指零仪阻尼时间</t>
  </si>
  <si>
    <t>内附指零仪漂移</t>
  </si>
  <si>
    <t>内附指零仪抖动</t>
  </si>
  <si>
    <t>误差(%)</t>
  </si>
  <si>
    <t>实际值(Ω)</t>
  </si>
  <si>
    <t>标称值(Ω)</t>
  </si>
  <si>
    <t>JJG 982-2003 直流电阻箱检定规程</t>
    <phoneticPr fontId="2" type="noConversion"/>
  </si>
  <si>
    <t>工频耐压试验</t>
  </si>
  <si>
    <t>残余电阻</t>
  </si>
  <si>
    <t>开关变差</t>
  </si>
  <si>
    <t>～</t>
  </si>
  <si>
    <t>2、比例臂</t>
  </si>
  <si>
    <t>JJG 984-2004 接地导通电阻测试仪检定规程</t>
  </si>
  <si>
    <t>外观结构</t>
  </si>
  <si>
    <t>试验电流设置（调节）误差</t>
  </si>
  <si>
    <t> 试验电流波动</t>
  </si>
  <si>
    <t>报警预置误差</t>
  </si>
  <si>
    <t>试验电流源空载电压</t>
  </si>
  <si>
    <t>JJG 837-2003 直流低电阻表检定规程</t>
    <phoneticPr fontId="2" type="noConversion"/>
  </si>
  <si>
    <t>残余电阻的检定</t>
  </si>
  <si>
    <r>
      <t>检定项目</t>
    </r>
    <r>
      <rPr>
        <sz val="12"/>
        <rFont val="宋体"/>
        <family val="3"/>
        <charset val="134"/>
      </rPr>
      <t xml:space="preserve">   </t>
    </r>
    <r>
      <rPr>
        <vertAlign val="superscript"/>
        <sz val="12"/>
        <rFont val="宋体"/>
        <family val="3"/>
        <charset val="134"/>
      </rPr>
      <t xml:space="preserve"> 检定类别</t>
    </r>
  </si>
  <si>
    <t>基本误差</t>
    <phoneticPr fontId="31" type="noConversion"/>
  </si>
  <si>
    <t>交流电压输出</t>
  </si>
  <si>
    <t>交流电压测量（50Hz）</t>
  </si>
  <si>
    <t>交流电流测量（50Hz）</t>
  </si>
  <si>
    <t>注：显示值、标准值的单位与量程单位一致。</t>
  </si>
  <si>
    <t>0.5L</t>
    <phoneticPr fontId="31" type="noConversion"/>
  </si>
  <si>
    <t>一、</t>
  </si>
  <si>
    <t>电压</t>
  </si>
  <si>
    <t>(</t>
  </si>
  <si>
    <t>U</t>
  </si>
  <si>
    <t>n</t>
  </si>
  <si>
    <t>=</t>
  </si>
  <si>
    <t>,</t>
  </si>
  <si>
    <t>等级：</t>
  </si>
  <si>
    <t>级</t>
  </si>
  <si>
    <t>)</t>
  </si>
  <si>
    <t>测量点</t>
  </si>
  <si>
    <t>A相</t>
  </si>
  <si>
    <t>B相</t>
  </si>
  <si>
    <t>C相</t>
  </si>
  <si>
    <t>二、</t>
  </si>
  <si>
    <t>电流</t>
  </si>
  <si>
    <t>I</t>
  </si>
  <si>
    <t>标准值(A)</t>
  </si>
  <si>
    <t>显示值(A)</t>
  </si>
  <si>
    <t>三、</t>
  </si>
  <si>
    <t>有功功率</t>
  </si>
  <si>
    <t>cos</t>
  </si>
  <si>
    <t>φ</t>
  </si>
  <si>
    <t>标准值(W)</t>
  </si>
  <si>
    <t>显示值(W)</t>
  </si>
  <si>
    <t>四、</t>
  </si>
  <si>
    <t>无功功率</t>
  </si>
  <si>
    <t>sin</t>
  </si>
  <si>
    <t>标准值(var)</t>
  </si>
  <si>
    <t>显示值(var)</t>
  </si>
  <si>
    <t>备注</t>
    <phoneticPr fontId="31" type="noConversion"/>
  </si>
  <si>
    <t>直观检查</t>
    <phoneticPr fontId="31" type="noConversion"/>
  </si>
  <si>
    <t>合格、不合格、/</t>
    <phoneticPr fontId="31" type="noConversion"/>
  </si>
  <si>
    <t>通电检查</t>
    <phoneticPr fontId="31" type="noConversion"/>
  </si>
  <si>
    <t>绝缘电阻试验</t>
    <phoneticPr fontId="31" type="noConversion"/>
  </si>
  <si>
    <t>工频耐压</t>
    <phoneticPr fontId="31" type="noConversion"/>
  </si>
  <si>
    <t>动和停止试验</t>
    <phoneticPr fontId="31" type="noConversion"/>
  </si>
  <si>
    <t>电能基本误差</t>
    <phoneticPr fontId="31" type="noConversion"/>
  </si>
  <si>
    <t>数据录入</t>
    <phoneticPr fontId="31" type="noConversion"/>
  </si>
  <si>
    <t>标准偏差估计值</t>
  </si>
  <si>
    <t>8h连续工作基本误差改变量</t>
    <phoneticPr fontId="31" type="noConversion"/>
  </si>
  <si>
    <t>在必要时做</t>
    <phoneticPr fontId="31" type="noConversion"/>
  </si>
  <si>
    <t>24h变差</t>
  </si>
  <si>
    <r>
      <t>γ</t>
    </r>
    <r>
      <rPr>
        <vertAlign val="subscript"/>
        <sz val="12"/>
        <rFont val="宋体"/>
        <family val="3"/>
        <charset val="134"/>
      </rPr>
      <t>化整</t>
    </r>
    <r>
      <rPr>
        <sz val="12"/>
        <rFont val="Times New Roman"/>
        <family val="1"/>
      </rPr>
      <t>(%)</t>
    </r>
    <phoneticPr fontId="31" type="noConversion"/>
  </si>
  <si>
    <t>三相三线</t>
    <phoneticPr fontId="31" type="noConversion"/>
  </si>
  <si>
    <r>
      <t>10</t>
    </r>
    <r>
      <rPr>
        <sz val="12"/>
        <rFont val="宋体"/>
        <family val="3"/>
        <charset val="134"/>
      </rPr>
      <t>0V</t>
    </r>
    <phoneticPr fontId="31" type="noConversion"/>
  </si>
  <si>
    <t>5A</t>
    <phoneticPr fontId="31" type="noConversion"/>
  </si>
  <si>
    <t>50</t>
    <phoneticPr fontId="31" type="noConversion"/>
  </si>
  <si>
    <t>10</t>
    <phoneticPr fontId="31" type="noConversion"/>
  </si>
  <si>
    <t>0.5L</t>
    <phoneticPr fontId="31" type="noConversion"/>
  </si>
  <si>
    <t>100</t>
    <phoneticPr fontId="31" type="noConversion"/>
  </si>
  <si>
    <t>20</t>
    <phoneticPr fontId="31" type="noConversion"/>
  </si>
  <si>
    <t>0.8C</t>
    <phoneticPr fontId="31" type="noConversion"/>
  </si>
  <si>
    <t>100</t>
    <phoneticPr fontId="31" type="noConversion"/>
  </si>
  <si>
    <t>50</t>
    <phoneticPr fontId="31" type="noConversion"/>
  </si>
  <si>
    <t>三相四线</t>
    <phoneticPr fontId="31" type="noConversion"/>
  </si>
  <si>
    <r>
      <t>60</t>
    </r>
    <r>
      <rPr>
        <sz val="12"/>
        <rFont val="宋体"/>
        <family val="3"/>
        <charset val="134"/>
      </rPr>
      <t>V</t>
    </r>
    <phoneticPr fontId="31" type="noConversion"/>
  </si>
  <si>
    <r>
      <t>1</t>
    </r>
    <r>
      <rPr>
        <sz val="12"/>
        <rFont val="宋体"/>
        <family val="3"/>
        <charset val="134"/>
      </rPr>
      <t>A</t>
    </r>
    <phoneticPr fontId="31" type="noConversion"/>
  </si>
  <si>
    <t>0.5L</t>
    <phoneticPr fontId="31" type="noConversion"/>
  </si>
  <si>
    <r>
      <t>22</t>
    </r>
    <r>
      <rPr>
        <sz val="12"/>
        <rFont val="宋体"/>
        <family val="3"/>
        <charset val="134"/>
      </rPr>
      <t>0</t>
    </r>
    <r>
      <rPr>
        <sz val="12"/>
        <rFont val="宋体"/>
        <family val="3"/>
        <charset val="134"/>
      </rPr>
      <t>V</t>
    </r>
    <phoneticPr fontId="31" type="noConversion"/>
  </si>
  <si>
    <r>
      <rPr>
        <sz val="12"/>
        <rFont val="宋体"/>
        <family val="3"/>
        <charset val="134"/>
      </rPr>
      <t>5</t>
    </r>
    <r>
      <rPr>
        <sz val="12"/>
        <rFont val="宋体"/>
        <family val="3"/>
        <charset val="134"/>
      </rPr>
      <t>A</t>
    </r>
    <phoneticPr fontId="31" type="noConversion"/>
  </si>
  <si>
    <r>
      <rPr>
        <i/>
        <sz val="12"/>
        <rFont val="Times New Roman"/>
        <family val="1"/>
      </rPr>
      <t>γ</t>
    </r>
    <r>
      <rPr>
        <vertAlign val="subscript"/>
        <sz val="12"/>
        <rFont val="宋体"/>
        <family val="3"/>
        <charset val="134"/>
      </rPr>
      <t>1</t>
    </r>
    <r>
      <rPr>
        <sz val="12"/>
        <rFont val="Times New Roman"/>
        <family val="1"/>
      </rPr>
      <t>(%)</t>
    </r>
    <phoneticPr fontId="31" type="noConversion"/>
  </si>
  <si>
    <r>
      <rPr>
        <i/>
        <sz val="12"/>
        <rFont val="Times New Roman"/>
        <family val="1"/>
      </rPr>
      <t>γ</t>
    </r>
    <r>
      <rPr>
        <vertAlign val="subscript"/>
        <sz val="12"/>
        <rFont val="宋体"/>
        <family val="3"/>
        <charset val="134"/>
      </rPr>
      <t>2</t>
    </r>
    <r>
      <rPr>
        <sz val="12"/>
        <rFont val="Times New Roman"/>
        <family val="1"/>
      </rPr>
      <t>(%)</t>
    </r>
    <phoneticPr fontId="31" type="noConversion"/>
  </si>
  <si>
    <r>
      <t xml:space="preserve">  </t>
    </r>
    <r>
      <rPr>
        <sz val="12"/>
        <rFont val="Times New Roman"/>
        <family val="1"/>
      </rPr>
      <t>(%)</t>
    </r>
    <phoneticPr fontId="31" type="noConversion"/>
  </si>
  <si>
    <r>
      <t>γ</t>
    </r>
    <r>
      <rPr>
        <vertAlign val="subscript"/>
        <sz val="12"/>
        <rFont val="宋体"/>
        <family val="3"/>
        <charset val="134"/>
      </rPr>
      <t>化整</t>
    </r>
    <r>
      <rPr>
        <sz val="12"/>
        <rFont val="Times New Roman"/>
        <family val="1"/>
      </rPr>
      <t>(%)</t>
    </r>
    <phoneticPr fontId="31" type="noConversion"/>
  </si>
  <si>
    <r>
      <rPr>
        <sz val="12"/>
        <rFont val="宋体"/>
        <family val="3"/>
        <charset val="134"/>
      </rPr>
      <t>60</t>
    </r>
    <r>
      <rPr>
        <sz val="12"/>
        <rFont val="宋体"/>
        <family val="3"/>
        <charset val="134"/>
      </rPr>
      <t>V</t>
    </r>
    <phoneticPr fontId="31" type="noConversion"/>
  </si>
  <si>
    <t>5A</t>
    <phoneticPr fontId="31" type="noConversion"/>
  </si>
  <si>
    <t>A相</t>
    <phoneticPr fontId="31" type="noConversion"/>
  </si>
  <si>
    <t>B相</t>
    <phoneticPr fontId="31" type="noConversion"/>
  </si>
  <si>
    <t>C相</t>
    <phoneticPr fontId="31" type="noConversion"/>
  </si>
  <si>
    <r>
      <rPr>
        <sz val="12"/>
        <rFont val="宋体"/>
        <family val="3"/>
        <charset val="134"/>
      </rPr>
      <t>相线及测量模式</t>
    </r>
    <phoneticPr fontId="31" type="noConversion"/>
  </si>
  <si>
    <r>
      <rPr>
        <sz val="12"/>
        <rFont val="宋体"/>
        <family val="3"/>
        <charset val="134"/>
      </rPr>
      <t>量程</t>
    </r>
    <r>
      <rPr>
        <sz val="12"/>
        <rFont val="Times New Roman"/>
        <family val="1"/>
      </rPr>
      <t xml:space="preserve">      </t>
    </r>
    <r>
      <rPr>
        <sz val="12"/>
        <rFont val="宋体"/>
        <family val="3"/>
        <charset val="134"/>
      </rPr>
      <t>（</t>
    </r>
    <r>
      <rPr>
        <i/>
        <sz val="12"/>
        <rFont val="Times New Roman"/>
        <family val="1"/>
      </rPr>
      <t>U</t>
    </r>
    <r>
      <rPr>
        <vertAlign val="subscript"/>
        <sz val="12"/>
        <rFont val="Times New Roman"/>
        <family val="1"/>
      </rPr>
      <t>n</t>
    </r>
    <r>
      <rPr>
        <sz val="12"/>
        <rFont val="宋体"/>
        <family val="3"/>
        <charset val="134"/>
      </rPr>
      <t>、</t>
    </r>
    <r>
      <rPr>
        <i/>
        <sz val="12"/>
        <rFont val="Times New Roman"/>
        <family val="1"/>
      </rPr>
      <t>I</t>
    </r>
    <r>
      <rPr>
        <vertAlign val="subscript"/>
        <sz val="12"/>
        <rFont val="Times New Roman"/>
        <family val="1"/>
      </rPr>
      <t>b</t>
    </r>
    <r>
      <rPr>
        <vertAlign val="subscript"/>
        <sz val="12"/>
        <rFont val="宋体"/>
        <family val="3"/>
        <charset val="134"/>
      </rPr>
      <t>）</t>
    </r>
    <phoneticPr fontId="31" type="noConversion"/>
  </si>
  <si>
    <r>
      <rPr>
        <sz val="12"/>
        <rFont val="宋体"/>
        <family val="3"/>
        <charset val="134"/>
      </rPr>
      <t>功率因数</t>
    </r>
    <r>
      <rPr>
        <sz val="12"/>
        <rFont val="Times New Roman"/>
        <family val="1"/>
      </rPr>
      <t>cos</t>
    </r>
    <r>
      <rPr>
        <i/>
        <sz val="12"/>
        <rFont val="Times New Roman"/>
        <family val="1"/>
      </rPr>
      <t>φ</t>
    </r>
    <phoneticPr fontId="31" type="noConversion"/>
  </si>
  <si>
    <r>
      <t>I</t>
    </r>
    <r>
      <rPr>
        <vertAlign val="subscript"/>
        <sz val="12"/>
        <rFont val="Times New Roman"/>
        <family val="1"/>
      </rPr>
      <t>b</t>
    </r>
    <r>
      <rPr>
        <sz val="12"/>
        <rFont val="Times New Roman"/>
        <family val="1"/>
      </rPr>
      <t>(%)</t>
    </r>
    <phoneticPr fontId="31" type="noConversion"/>
  </si>
  <si>
    <r>
      <t>γ</t>
    </r>
    <r>
      <rPr>
        <vertAlign val="subscript"/>
        <sz val="12"/>
        <rFont val="Times New Roman"/>
        <family val="1"/>
      </rPr>
      <t>1</t>
    </r>
    <r>
      <rPr>
        <sz val="12"/>
        <rFont val="Times New Roman"/>
        <family val="1"/>
      </rPr>
      <t>(%)</t>
    </r>
    <phoneticPr fontId="31" type="noConversion"/>
  </si>
  <si>
    <r>
      <t>γ</t>
    </r>
    <r>
      <rPr>
        <vertAlign val="subscript"/>
        <sz val="12"/>
        <rFont val="Times New Roman"/>
        <family val="1"/>
      </rPr>
      <t>2</t>
    </r>
    <r>
      <rPr>
        <sz val="12"/>
        <rFont val="Times New Roman"/>
        <family val="1"/>
      </rPr>
      <t>(%)</t>
    </r>
    <phoneticPr fontId="31" type="noConversion"/>
  </si>
  <si>
    <t xml:space="preserve">  (%)</t>
    <phoneticPr fontId="31" type="noConversion"/>
  </si>
  <si>
    <r>
      <rPr>
        <sz val="12"/>
        <rFont val="宋体"/>
        <family val="3"/>
        <charset val="134"/>
      </rPr>
      <t>单相</t>
    </r>
    <phoneticPr fontId="31" type="noConversion"/>
  </si>
  <si>
    <t>220V</t>
    <phoneticPr fontId="31" type="noConversion"/>
  </si>
  <si>
    <t>10</t>
    <phoneticPr fontId="31" type="noConversion"/>
  </si>
  <si>
    <t>1A</t>
    <phoneticPr fontId="31" type="noConversion"/>
  </si>
  <si>
    <t>50</t>
    <phoneticPr fontId="31" type="noConversion"/>
  </si>
  <si>
    <t>220V</t>
    <phoneticPr fontId="31" type="noConversion"/>
  </si>
  <si>
    <t>20A</t>
    <phoneticPr fontId="31" type="noConversion"/>
  </si>
  <si>
    <t>100A</t>
    <phoneticPr fontId="31" type="noConversion"/>
  </si>
  <si>
    <r>
      <rPr>
        <i/>
        <sz val="12"/>
        <rFont val="Times New Roman"/>
        <family val="1"/>
      </rPr>
      <t>γ</t>
    </r>
    <r>
      <rPr>
        <vertAlign val="subscript"/>
        <sz val="12"/>
        <rFont val="宋体"/>
        <family val="3"/>
        <charset val="134"/>
      </rPr>
      <t>2</t>
    </r>
    <r>
      <rPr>
        <sz val="12"/>
        <rFont val="Times New Roman"/>
        <family val="1"/>
      </rPr>
      <t>(%)</t>
    </r>
    <phoneticPr fontId="31" type="noConversion"/>
  </si>
  <si>
    <r>
      <rPr>
        <i/>
        <sz val="12"/>
        <rFont val="Times New Roman"/>
        <family val="1"/>
      </rPr>
      <t>γ</t>
    </r>
    <r>
      <rPr>
        <vertAlign val="subscript"/>
        <sz val="12"/>
        <rFont val="宋体"/>
        <family val="3"/>
        <charset val="134"/>
      </rPr>
      <t>3</t>
    </r>
    <r>
      <rPr>
        <sz val="12"/>
        <rFont val="Times New Roman"/>
        <family val="1"/>
      </rPr>
      <t>(%)</t>
    </r>
    <phoneticPr fontId="31" type="noConversion"/>
  </si>
  <si>
    <r>
      <rPr>
        <i/>
        <sz val="12"/>
        <rFont val="Times New Roman"/>
        <family val="1"/>
      </rPr>
      <t>γ</t>
    </r>
    <r>
      <rPr>
        <vertAlign val="subscript"/>
        <sz val="12"/>
        <rFont val="宋体"/>
        <family val="3"/>
        <charset val="134"/>
      </rPr>
      <t>4</t>
    </r>
    <r>
      <rPr>
        <sz val="12"/>
        <rFont val="Times New Roman"/>
        <family val="1"/>
      </rPr>
      <t>(%)</t>
    </r>
    <phoneticPr fontId="31" type="noConversion"/>
  </si>
  <si>
    <r>
      <rPr>
        <i/>
        <sz val="12"/>
        <rFont val="Times New Roman"/>
        <family val="1"/>
      </rPr>
      <t>γ</t>
    </r>
    <r>
      <rPr>
        <vertAlign val="subscript"/>
        <sz val="12"/>
        <rFont val="宋体"/>
        <family val="3"/>
        <charset val="134"/>
      </rPr>
      <t>5</t>
    </r>
    <r>
      <rPr>
        <sz val="12"/>
        <rFont val="Times New Roman"/>
        <family val="1"/>
      </rPr>
      <t>(%)</t>
    </r>
    <phoneticPr fontId="31" type="noConversion"/>
  </si>
  <si>
    <t>/</t>
    <phoneticPr fontId="31" type="noConversion"/>
  </si>
  <si>
    <r>
      <t>cos</t>
    </r>
    <r>
      <rPr>
        <i/>
        <sz val="12"/>
        <rFont val="Symbol"/>
        <family val="1"/>
        <charset val="2"/>
      </rPr>
      <t>f</t>
    </r>
    <phoneticPr fontId="31" type="noConversion"/>
  </si>
  <si>
    <r>
      <t>I</t>
    </r>
    <r>
      <rPr>
        <vertAlign val="subscript"/>
        <sz val="12"/>
        <rFont val="宋体"/>
        <family val="3"/>
        <charset val="134"/>
      </rPr>
      <t>b</t>
    </r>
    <r>
      <rPr>
        <sz val="12"/>
        <rFont val="宋体"/>
        <family val="3"/>
        <charset val="134"/>
      </rPr>
      <t>(%)</t>
    </r>
    <phoneticPr fontId="31" type="noConversion"/>
  </si>
  <si>
    <t>/</t>
    <phoneticPr fontId="31" type="noConversion"/>
  </si>
  <si>
    <t xml:space="preserve"> JJG 1085-2013《标准电能表检定规程》</t>
    <phoneticPr fontId="31" type="noConversion"/>
  </si>
  <si>
    <t>规程名称：</t>
    <phoneticPr fontId="31" type="noConversion"/>
  </si>
  <si>
    <t>备注</t>
    <phoneticPr fontId="31" type="noConversion"/>
  </si>
  <si>
    <t>合格、不合格、/</t>
    <phoneticPr fontId="31" type="noConversion"/>
  </si>
  <si>
    <t>交流电压试验</t>
    <phoneticPr fontId="31" type="noConversion"/>
  </si>
  <si>
    <t>数据录入</t>
    <phoneticPr fontId="31" type="noConversion"/>
  </si>
  <si>
    <r>
      <t>5</t>
    </r>
    <r>
      <rPr>
        <sz val="12"/>
        <rFont val="宋体"/>
        <family val="3"/>
        <charset val="134"/>
      </rPr>
      <t>、基本误差：</t>
    </r>
    <phoneticPr fontId="31" type="noConversion"/>
  </si>
  <si>
    <t>经互感器接入</t>
    <phoneticPr fontId="31" type="noConversion"/>
  </si>
  <si>
    <r>
      <t>单相</t>
    </r>
    <r>
      <rPr>
        <sz val="11"/>
        <rFont val="Times New Roman"/>
        <family val="1"/>
      </rPr>
      <t>/</t>
    </r>
    <r>
      <rPr>
        <sz val="11"/>
        <rFont val="宋体"/>
        <family val="3"/>
        <charset val="134"/>
      </rPr>
      <t>三相平衡负载</t>
    </r>
    <r>
      <rPr>
        <sz val="11"/>
        <rFont val="Times New Roman"/>
        <family val="1"/>
      </rPr>
      <t xml:space="preserve"> </t>
    </r>
    <r>
      <rPr>
        <sz val="11"/>
        <rFont val="宋体"/>
        <family val="3"/>
        <charset val="134"/>
      </rPr>
      <t>基本误差</t>
    </r>
    <r>
      <rPr>
        <sz val="11"/>
        <rFont val="Times New Roman"/>
        <family val="1"/>
      </rPr>
      <t>/%</t>
    </r>
    <phoneticPr fontId="31" type="noConversion"/>
  </si>
  <si>
    <t>负载
电流</t>
    <phoneticPr fontId="31" type="noConversion"/>
  </si>
  <si>
    <r>
      <t>cos</t>
    </r>
    <r>
      <rPr>
        <i/>
        <sz val="11"/>
        <rFont val="Times New Roman"/>
        <family val="1"/>
      </rPr>
      <t>φ</t>
    </r>
    <r>
      <rPr>
        <sz val="11"/>
        <rFont val="Times New Roman"/>
        <family val="1"/>
      </rPr>
      <t>=1</t>
    </r>
    <phoneticPr fontId="31" type="noConversion"/>
  </si>
  <si>
    <r>
      <t>cos</t>
    </r>
    <r>
      <rPr>
        <i/>
        <sz val="11"/>
        <rFont val="Times New Roman"/>
        <family val="1"/>
      </rPr>
      <t>φ</t>
    </r>
    <r>
      <rPr>
        <sz val="11"/>
        <rFont val="Times New Roman"/>
        <family val="1"/>
      </rPr>
      <t>=0.5L</t>
    </r>
    <phoneticPr fontId="31" type="noConversion"/>
  </si>
  <si>
    <r>
      <t>cos</t>
    </r>
    <r>
      <rPr>
        <i/>
        <sz val="11"/>
        <rFont val="Times New Roman"/>
        <family val="1"/>
      </rPr>
      <t>φ</t>
    </r>
    <r>
      <rPr>
        <sz val="11"/>
        <rFont val="Times New Roman"/>
        <family val="1"/>
      </rPr>
      <t>=0.8C</t>
    </r>
    <phoneticPr fontId="31" type="noConversion"/>
  </si>
  <si>
    <t>平均值</t>
    <phoneticPr fontId="31" type="noConversion"/>
  </si>
  <si>
    <r>
      <t>I</t>
    </r>
    <r>
      <rPr>
        <vertAlign val="subscript"/>
        <sz val="11"/>
        <rFont val="Times New Roman"/>
        <family val="1"/>
      </rPr>
      <t>max</t>
    </r>
    <phoneticPr fontId="31" type="noConversion"/>
  </si>
  <si>
    <t>-0.0294</t>
    <phoneticPr fontId="31" type="noConversion"/>
  </si>
  <si>
    <t>-0.0323</t>
    <phoneticPr fontId="31" type="noConversion"/>
  </si>
  <si>
    <t>-0.0309</t>
    <phoneticPr fontId="31" type="noConversion"/>
  </si>
  <si>
    <t>0.0148</t>
    <phoneticPr fontId="31" type="noConversion"/>
  </si>
  <si>
    <t>0.0130</t>
    <phoneticPr fontId="31" type="noConversion"/>
  </si>
  <si>
    <t>0.0139</t>
    <phoneticPr fontId="31" type="noConversion"/>
  </si>
  <si>
    <r>
      <t>I</t>
    </r>
    <r>
      <rPr>
        <vertAlign val="subscript"/>
        <sz val="11"/>
        <rFont val="Times New Roman"/>
        <family val="1"/>
      </rPr>
      <t>n</t>
    </r>
    <phoneticPr fontId="31" type="noConversion"/>
  </si>
  <si>
    <t>-0.0029</t>
    <phoneticPr fontId="31" type="noConversion"/>
  </si>
  <si>
    <t>0.0029</t>
    <phoneticPr fontId="31" type="noConversion"/>
  </si>
  <si>
    <t>0.0000</t>
    <phoneticPr fontId="31" type="noConversion"/>
  </si>
  <si>
    <t>-0.0412</t>
    <phoneticPr fontId="31" type="noConversion"/>
  </si>
  <si>
    <t>-0.0353</t>
    <phoneticPr fontId="31" type="noConversion"/>
  </si>
  <si>
    <t>-0.0383</t>
    <phoneticPr fontId="31" type="noConversion"/>
  </si>
  <si>
    <t>0.0185</t>
    <phoneticPr fontId="31" type="noConversion"/>
  </si>
  <si>
    <t>0.0111</t>
    <phoneticPr fontId="31" type="noConversion"/>
  </si>
  <si>
    <t>0.0148</t>
    <phoneticPr fontId="31" type="noConversion"/>
  </si>
  <si>
    <r>
      <t>0.1</t>
    </r>
    <r>
      <rPr>
        <i/>
        <sz val="11"/>
        <rFont val="Times New Roman"/>
        <family val="1"/>
      </rPr>
      <t>I</t>
    </r>
    <r>
      <rPr>
        <vertAlign val="subscript"/>
        <sz val="11"/>
        <rFont val="Times New Roman"/>
        <family val="1"/>
      </rPr>
      <t>n</t>
    </r>
    <phoneticPr fontId="31" type="noConversion"/>
  </si>
  <si>
    <t>--</t>
    <phoneticPr fontId="31" type="noConversion"/>
  </si>
  <si>
    <t>-0.0500</t>
    <phoneticPr fontId="31" type="noConversion"/>
  </si>
  <si>
    <t>0.0333</t>
    <phoneticPr fontId="31" type="noConversion"/>
  </si>
  <si>
    <t>0.0167</t>
    <phoneticPr fontId="31" type="noConversion"/>
  </si>
  <si>
    <r>
      <t>0.05</t>
    </r>
    <r>
      <rPr>
        <i/>
        <sz val="11"/>
        <rFont val="Times New Roman"/>
        <family val="1"/>
      </rPr>
      <t>I</t>
    </r>
    <r>
      <rPr>
        <vertAlign val="subscript"/>
        <sz val="11"/>
        <rFont val="Times New Roman"/>
        <family val="1"/>
      </rPr>
      <t>n</t>
    </r>
    <phoneticPr fontId="31" type="noConversion"/>
  </si>
  <si>
    <t>0.1001</t>
    <phoneticPr fontId="31" type="noConversion"/>
  </si>
  <si>
    <t>0.0501</t>
    <phoneticPr fontId="31" type="noConversion"/>
  </si>
  <si>
    <r>
      <t>0.02</t>
    </r>
    <r>
      <rPr>
        <i/>
        <sz val="11"/>
        <rFont val="Times New Roman"/>
        <family val="1"/>
      </rPr>
      <t>I</t>
    </r>
    <r>
      <rPr>
        <i/>
        <vertAlign val="subscript"/>
        <sz val="11"/>
        <rFont val="Times New Roman"/>
        <family val="1"/>
      </rPr>
      <t>n</t>
    </r>
    <phoneticPr fontId="31" type="noConversion"/>
  </si>
  <si>
    <t>0.0000</t>
    <phoneticPr fontId="52" type="noConversion"/>
  </si>
  <si>
    <t>-0.0999</t>
    <phoneticPr fontId="52" type="noConversion"/>
  </si>
  <si>
    <t>-0.0500</t>
    <phoneticPr fontId="52" type="noConversion"/>
  </si>
  <si>
    <r>
      <t>不平衡负载</t>
    </r>
    <r>
      <rPr>
        <sz val="11"/>
        <rFont val="Times New Roman"/>
        <family val="1"/>
      </rPr>
      <t xml:space="preserve"> </t>
    </r>
    <r>
      <rPr>
        <sz val="11"/>
        <rFont val="宋体"/>
        <family val="3"/>
        <charset val="134"/>
      </rPr>
      <t>基本误差</t>
    </r>
    <r>
      <rPr>
        <sz val="11"/>
        <rFont val="Times New Roman"/>
        <family val="1"/>
      </rPr>
      <t>/%</t>
    </r>
    <phoneticPr fontId="31" type="noConversion"/>
  </si>
  <si>
    <t>负载
电流</t>
    <phoneticPr fontId="31" type="noConversion"/>
  </si>
  <si>
    <r>
      <t>A</t>
    </r>
    <r>
      <rPr>
        <sz val="11"/>
        <rFont val="宋体"/>
        <family val="3"/>
        <charset val="134"/>
      </rPr>
      <t>相</t>
    </r>
    <phoneticPr fontId="31" type="noConversion"/>
  </si>
  <si>
    <r>
      <t>B</t>
    </r>
    <r>
      <rPr>
        <sz val="11"/>
        <rFont val="宋体"/>
        <family val="3"/>
        <charset val="134"/>
      </rPr>
      <t>相</t>
    </r>
    <phoneticPr fontId="31" type="noConversion"/>
  </si>
  <si>
    <r>
      <t>C</t>
    </r>
    <r>
      <rPr>
        <sz val="11"/>
        <rFont val="宋体"/>
        <family val="3"/>
        <charset val="134"/>
      </rPr>
      <t>相</t>
    </r>
    <phoneticPr fontId="31" type="noConversion"/>
  </si>
  <si>
    <t>平均值</t>
    <phoneticPr fontId="31" type="noConversion"/>
  </si>
  <si>
    <r>
      <t>cos</t>
    </r>
    <r>
      <rPr>
        <i/>
        <sz val="11"/>
        <rFont val="Times New Roman"/>
        <family val="1"/>
      </rPr>
      <t>θ</t>
    </r>
    <r>
      <rPr>
        <sz val="11"/>
        <rFont val="Times New Roman"/>
        <family val="1"/>
      </rPr>
      <t>=1</t>
    </r>
    <phoneticPr fontId="31" type="noConversion"/>
  </si>
  <si>
    <r>
      <t>I</t>
    </r>
    <r>
      <rPr>
        <vertAlign val="subscript"/>
        <sz val="11"/>
        <rFont val="Times New Roman"/>
        <family val="1"/>
      </rPr>
      <t>max</t>
    </r>
    <phoneticPr fontId="31" type="noConversion"/>
  </si>
  <si>
    <t>0.0261</t>
    <phoneticPr fontId="31" type="noConversion"/>
  </si>
  <si>
    <t>-0.0435</t>
    <phoneticPr fontId="31" type="noConversion"/>
  </si>
  <si>
    <t>-0.0087</t>
    <phoneticPr fontId="31" type="noConversion"/>
  </si>
  <si>
    <t>-0.0043</t>
    <phoneticPr fontId="31" type="noConversion"/>
  </si>
  <si>
    <t>0.0391</t>
    <phoneticPr fontId="31" type="noConversion"/>
  </si>
  <si>
    <t>0.0174</t>
    <phoneticPr fontId="31" type="noConversion"/>
  </si>
  <si>
    <t>0.0348</t>
    <phoneticPr fontId="31" type="noConversion"/>
  </si>
  <si>
    <t>-0.0304</t>
    <phoneticPr fontId="31" type="noConversion"/>
  </si>
  <si>
    <t>0.0022</t>
    <phoneticPr fontId="31" type="noConversion"/>
  </si>
  <si>
    <r>
      <t>I</t>
    </r>
    <r>
      <rPr>
        <vertAlign val="subscript"/>
        <sz val="11"/>
        <rFont val="Times New Roman"/>
        <family val="1"/>
      </rPr>
      <t>n</t>
    </r>
    <phoneticPr fontId="31" type="noConversion"/>
  </si>
  <si>
    <t>-0.0333</t>
    <phoneticPr fontId="31" type="noConversion"/>
  </si>
  <si>
    <t>-0.0250</t>
    <phoneticPr fontId="31" type="noConversion"/>
  </si>
  <si>
    <t>-0.0292</t>
    <phoneticPr fontId="31" type="noConversion"/>
  </si>
  <si>
    <t>-0.0167</t>
    <phoneticPr fontId="31" type="noConversion"/>
  </si>
  <si>
    <t>-0.0084</t>
    <phoneticPr fontId="31" type="noConversion"/>
  </si>
  <si>
    <t>0.0417</t>
    <phoneticPr fontId="31" type="noConversion"/>
  </si>
  <si>
    <t>0.1669</t>
    <phoneticPr fontId="31" type="noConversion"/>
  </si>
  <si>
    <t>0.1043</t>
    <phoneticPr fontId="31" type="noConversion"/>
  </si>
  <si>
    <t>-0.0999</t>
    <phoneticPr fontId="31" type="noConversion"/>
  </si>
  <si>
    <r>
      <t>cos</t>
    </r>
    <r>
      <rPr>
        <i/>
        <sz val="11"/>
        <rFont val="Times New Roman"/>
        <family val="1"/>
      </rPr>
      <t>θ</t>
    </r>
    <r>
      <rPr>
        <sz val="11"/>
        <rFont val="Times New Roman"/>
        <family val="1"/>
      </rPr>
      <t>=0.5L</t>
    </r>
    <phoneticPr fontId="31" type="noConversion"/>
  </si>
  <si>
    <t>-0.0416</t>
    <phoneticPr fontId="31" type="noConversion"/>
  </si>
  <si>
    <t>-0.0583</t>
    <phoneticPr fontId="31" type="noConversion"/>
  </si>
  <si>
    <t>-0.0666</t>
    <phoneticPr fontId="31" type="noConversion"/>
  </si>
  <si>
    <t>-0.0625</t>
    <phoneticPr fontId="31" type="noConversion"/>
  </si>
  <si>
    <t>-0.1165</t>
    <phoneticPr fontId="31" type="noConversion"/>
  </si>
  <si>
    <t>-0.0833</t>
    <phoneticPr fontId="31" type="noConversion"/>
  </si>
  <si>
    <r>
      <t>单相</t>
    </r>
    <r>
      <rPr>
        <sz val="11"/>
        <rFont val="Times New Roman"/>
        <family val="1"/>
      </rPr>
      <t>/</t>
    </r>
    <r>
      <rPr>
        <sz val="11"/>
        <rFont val="宋体"/>
        <family val="3"/>
        <charset val="134"/>
      </rPr>
      <t>三相平衡负载</t>
    </r>
    <r>
      <rPr>
        <sz val="11"/>
        <rFont val="Times New Roman"/>
        <family val="1"/>
      </rPr>
      <t xml:space="preserve"> </t>
    </r>
    <r>
      <rPr>
        <sz val="11"/>
        <rFont val="宋体"/>
        <family val="3"/>
        <charset val="134"/>
      </rPr>
      <t>基本误差</t>
    </r>
    <r>
      <rPr>
        <sz val="11"/>
        <rFont val="Times New Roman"/>
        <family val="1"/>
      </rPr>
      <t>/%</t>
    </r>
    <phoneticPr fontId="31" type="noConversion"/>
  </si>
  <si>
    <t>负载
电流</t>
    <phoneticPr fontId="31" type="noConversion"/>
  </si>
  <si>
    <r>
      <t>cos</t>
    </r>
    <r>
      <rPr>
        <i/>
        <sz val="11"/>
        <rFont val="Times New Roman"/>
        <family val="1"/>
      </rPr>
      <t>φ</t>
    </r>
    <r>
      <rPr>
        <sz val="11"/>
        <rFont val="Times New Roman"/>
        <family val="1"/>
      </rPr>
      <t>=1</t>
    </r>
    <phoneticPr fontId="31" type="noConversion"/>
  </si>
  <si>
    <r>
      <t>cos</t>
    </r>
    <r>
      <rPr>
        <i/>
        <sz val="11"/>
        <rFont val="Times New Roman"/>
        <family val="1"/>
      </rPr>
      <t>φ</t>
    </r>
    <r>
      <rPr>
        <sz val="11"/>
        <rFont val="Times New Roman"/>
        <family val="1"/>
      </rPr>
      <t>=0.5L</t>
    </r>
    <phoneticPr fontId="31" type="noConversion"/>
  </si>
  <si>
    <r>
      <t>cos</t>
    </r>
    <r>
      <rPr>
        <i/>
        <sz val="11"/>
        <rFont val="Times New Roman"/>
        <family val="1"/>
      </rPr>
      <t>φ</t>
    </r>
    <r>
      <rPr>
        <sz val="11"/>
        <rFont val="Times New Roman"/>
        <family val="1"/>
      </rPr>
      <t>=0.8C</t>
    </r>
    <phoneticPr fontId="31" type="noConversion"/>
  </si>
  <si>
    <t>平均值</t>
    <phoneticPr fontId="31" type="noConversion"/>
  </si>
  <si>
    <r>
      <t>I</t>
    </r>
    <r>
      <rPr>
        <vertAlign val="subscript"/>
        <sz val="11"/>
        <rFont val="Times New Roman"/>
        <family val="1"/>
      </rPr>
      <t>max</t>
    </r>
    <phoneticPr fontId="31" type="noConversion"/>
  </si>
  <si>
    <t>-0.0091</t>
    <phoneticPr fontId="31" type="noConversion"/>
  </si>
  <si>
    <t>-0.0104</t>
    <phoneticPr fontId="31" type="noConversion"/>
  </si>
  <si>
    <t>-0.0098</t>
    <phoneticPr fontId="31" type="noConversion"/>
  </si>
  <si>
    <t>-0.0513</t>
    <phoneticPr fontId="31" type="noConversion"/>
  </si>
  <si>
    <t>-0.0461</t>
    <phoneticPr fontId="31" type="noConversion"/>
  </si>
  <si>
    <t>-0.0487</t>
    <phoneticPr fontId="31" type="noConversion"/>
  </si>
  <si>
    <t>0.0097</t>
    <phoneticPr fontId="31" type="noConversion"/>
  </si>
  <si>
    <r>
      <t>I</t>
    </r>
    <r>
      <rPr>
        <vertAlign val="subscript"/>
        <sz val="11"/>
        <rFont val="Times New Roman"/>
        <family val="1"/>
      </rPr>
      <t>n</t>
    </r>
    <phoneticPr fontId="31" type="noConversion"/>
  </si>
  <si>
    <t>-0.0103</t>
    <phoneticPr fontId="31" type="noConversion"/>
  </si>
  <si>
    <t>-0.0077</t>
    <phoneticPr fontId="31" type="noConversion"/>
  </si>
  <si>
    <t>-0.0090</t>
    <phoneticPr fontId="31" type="noConversion"/>
  </si>
  <si>
    <t>-0.0470</t>
    <phoneticPr fontId="31" type="noConversion"/>
  </si>
  <si>
    <t>-0.0412</t>
    <phoneticPr fontId="31" type="noConversion"/>
  </si>
  <si>
    <t>-0.0441</t>
    <phoneticPr fontId="31" type="noConversion"/>
  </si>
  <si>
    <t>0.0074</t>
    <phoneticPr fontId="31" type="noConversion"/>
  </si>
  <si>
    <r>
      <t>0.1</t>
    </r>
    <r>
      <rPr>
        <i/>
        <sz val="11"/>
        <rFont val="Times New Roman"/>
        <family val="1"/>
      </rPr>
      <t>I</t>
    </r>
    <r>
      <rPr>
        <vertAlign val="subscript"/>
        <sz val="11"/>
        <rFont val="Times New Roman"/>
        <family val="1"/>
      </rPr>
      <t>n</t>
    </r>
    <phoneticPr fontId="31" type="noConversion"/>
  </si>
  <si>
    <t>--</t>
    <phoneticPr fontId="31" type="noConversion"/>
  </si>
  <si>
    <t>-0.0500</t>
    <phoneticPr fontId="31" type="noConversion"/>
  </si>
  <si>
    <t>0.0000</t>
    <phoneticPr fontId="31" type="noConversion"/>
  </si>
  <si>
    <t>-0.0250</t>
    <phoneticPr fontId="31" type="noConversion"/>
  </si>
  <si>
    <t>0.0333</t>
    <phoneticPr fontId="31" type="noConversion"/>
  </si>
  <si>
    <t>0.0167</t>
    <phoneticPr fontId="31" type="noConversion"/>
  </si>
  <si>
    <r>
      <t>0.05</t>
    </r>
    <r>
      <rPr>
        <i/>
        <sz val="11"/>
        <rFont val="Times New Roman"/>
        <family val="1"/>
      </rPr>
      <t>I</t>
    </r>
    <r>
      <rPr>
        <vertAlign val="subscript"/>
        <sz val="11"/>
        <rFont val="Times New Roman"/>
        <family val="1"/>
      </rPr>
      <t>n</t>
    </r>
    <phoneticPr fontId="31" type="noConversion"/>
  </si>
  <si>
    <r>
      <t>0.02</t>
    </r>
    <r>
      <rPr>
        <i/>
        <sz val="11"/>
        <rFont val="Times New Roman"/>
        <family val="1"/>
      </rPr>
      <t>I</t>
    </r>
    <r>
      <rPr>
        <i/>
        <vertAlign val="subscript"/>
        <sz val="11"/>
        <rFont val="Times New Roman"/>
        <family val="1"/>
      </rPr>
      <t>n</t>
    </r>
    <phoneticPr fontId="31" type="noConversion"/>
  </si>
  <si>
    <t>-0.0999</t>
    <phoneticPr fontId="52" type="noConversion"/>
  </si>
  <si>
    <t>0.0000</t>
    <phoneticPr fontId="52" type="noConversion"/>
  </si>
  <si>
    <t>-0.0500</t>
    <phoneticPr fontId="52" type="noConversion"/>
  </si>
  <si>
    <r>
      <t>0.01</t>
    </r>
    <r>
      <rPr>
        <i/>
        <sz val="11"/>
        <rFont val="Times New Roman"/>
        <family val="1"/>
      </rPr>
      <t>I</t>
    </r>
    <r>
      <rPr>
        <vertAlign val="subscript"/>
        <sz val="11"/>
        <rFont val="Times New Roman"/>
        <family val="1"/>
      </rPr>
      <t>n</t>
    </r>
    <phoneticPr fontId="31" type="noConversion"/>
  </si>
  <si>
    <r>
      <t>不平衡负载</t>
    </r>
    <r>
      <rPr>
        <sz val="11"/>
        <rFont val="Times New Roman"/>
        <family val="1"/>
      </rPr>
      <t xml:space="preserve"> </t>
    </r>
    <r>
      <rPr>
        <sz val="11"/>
        <rFont val="宋体"/>
        <family val="3"/>
        <charset val="134"/>
      </rPr>
      <t>基本误差</t>
    </r>
    <r>
      <rPr>
        <sz val="11"/>
        <rFont val="Times New Roman"/>
        <family val="1"/>
      </rPr>
      <t>/%</t>
    </r>
    <phoneticPr fontId="31" type="noConversion"/>
  </si>
  <si>
    <t>负载
电流</t>
    <phoneticPr fontId="31" type="noConversion"/>
  </si>
  <si>
    <r>
      <t>A</t>
    </r>
    <r>
      <rPr>
        <sz val="11"/>
        <rFont val="宋体"/>
        <family val="3"/>
        <charset val="134"/>
      </rPr>
      <t>相</t>
    </r>
    <phoneticPr fontId="31" type="noConversion"/>
  </si>
  <si>
    <r>
      <t>B</t>
    </r>
    <r>
      <rPr>
        <sz val="11"/>
        <rFont val="宋体"/>
        <family val="3"/>
        <charset val="134"/>
      </rPr>
      <t>相</t>
    </r>
    <phoneticPr fontId="31" type="noConversion"/>
  </si>
  <si>
    <r>
      <t>C</t>
    </r>
    <r>
      <rPr>
        <sz val="11"/>
        <rFont val="宋体"/>
        <family val="3"/>
        <charset val="134"/>
      </rPr>
      <t>相</t>
    </r>
    <phoneticPr fontId="31" type="noConversion"/>
  </si>
  <si>
    <t>平均值</t>
    <phoneticPr fontId="31" type="noConversion"/>
  </si>
  <si>
    <r>
      <t>cos</t>
    </r>
    <r>
      <rPr>
        <i/>
        <sz val="11"/>
        <rFont val="Times New Roman"/>
        <family val="1"/>
      </rPr>
      <t>θ</t>
    </r>
    <r>
      <rPr>
        <sz val="11"/>
        <rFont val="Times New Roman"/>
        <family val="1"/>
      </rPr>
      <t>=1</t>
    </r>
    <phoneticPr fontId="31" type="noConversion"/>
  </si>
  <si>
    <r>
      <t>I</t>
    </r>
    <r>
      <rPr>
        <vertAlign val="subscript"/>
        <sz val="11"/>
        <rFont val="Times New Roman"/>
        <family val="1"/>
      </rPr>
      <t>max</t>
    </r>
    <phoneticPr fontId="31" type="noConversion"/>
  </si>
  <si>
    <t>-0.0174</t>
    <phoneticPr fontId="31" type="noConversion"/>
  </si>
  <si>
    <t>-0.0087</t>
    <phoneticPr fontId="31" type="noConversion"/>
  </si>
  <si>
    <t>-0.0217</t>
    <phoneticPr fontId="31" type="noConversion"/>
  </si>
  <si>
    <t>-0.0304</t>
    <phoneticPr fontId="31" type="noConversion"/>
  </si>
  <si>
    <t>-0.0239</t>
    <phoneticPr fontId="31" type="noConversion"/>
  </si>
  <si>
    <t>-0.0083</t>
    <phoneticPr fontId="31" type="noConversion"/>
  </si>
  <si>
    <t>-0.0167</t>
    <phoneticPr fontId="31" type="noConversion"/>
  </si>
  <si>
    <t>-0.0999</t>
    <phoneticPr fontId="31" type="noConversion"/>
  </si>
  <si>
    <r>
      <t>cos</t>
    </r>
    <r>
      <rPr>
        <i/>
        <sz val="11"/>
        <rFont val="Times New Roman"/>
        <family val="1"/>
      </rPr>
      <t>θ</t>
    </r>
    <r>
      <rPr>
        <sz val="11"/>
        <rFont val="Times New Roman"/>
        <family val="1"/>
      </rPr>
      <t>=0.5L</t>
    </r>
    <phoneticPr fontId="31" type="noConversion"/>
  </si>
  <si>
    <t>-0.0416</t>
    <phoneticPr fontId="31" type="noConversion"/>
  </si>
  <si>
    <t>0.0417</t>
    <phoneticPr fontId="31" type="noConversion"/>
  </si>
  <si>
    <t>0.0001</t>
    <phoneticPr fontId="31" type="noConversion"/>
  </si>
  <si>
    <t>-0.1165</t>
    <phoneticPr fontId="31" type="noConversion"/>
  </si>
  <si>
    <t>-0.0333</t>
    <phoneticPr fontId="31" type="noConversion"/>
  </si>
  <si>
    <t>-0.0749</t>
    <phoneticPr fontId="31" type="noConversion"/>
  </si>
  <si>
    <t>-0.0583</t>
    <phoneticPr fontId="31" type="noConversion"/>
  </si>
  <si>
    <t>-0.0666</t>
    <phoneticPr fontId="31" type="noConversion"/>
  </si>
  <si>
    <r>
      <t>I</t>
    </r>
    <r>
      <rPr>
        <vertAlign val="subscript"/>
        <sz val="11"/>
        <rFont val="Times New Roman"/>
        <family val="1"/>
      </rPr>
      <t>n</t>
    </r>
    <phoneticPr fontId="31" type="noConversion"/>
  </si>
  <si>
    <t>-0.0500</t>
    <phoneticPr fontId="31" type="noConversion"/>
  </si>
  <si>
    <t>-0.0417</t>
    <phoneticPr fontId="31" type="noConversion"/>
  </si>
  <si>
    <r>
      <t>0.1</t>
    </r>
    <r>
      <rPr>
        <i/>
        <sz val="11"/>
        <rFont val="Times New Roman"/>
        <family val="1"/>
      </rPr>
      <t>I</t>
    </r>
    <r>
      <rPr>
        <vertAlign val="subscript"/>
        <sz val="11"/>
        <rFont val="Times New Roman"/>
        <family val="1"/>
      </rPr>
      <t>n</t>
    </r>
    <phoneticPr fontId="31" type="noConversion"/>
  </si>
  <si>
    <t>0.0000</t>
    <phoneticPr fontId="31" type="noConversion"/>
  </si>
  <si>
    <t>-0.0999</t>
    <phoneticPr fontId="31" type="noConversion"/>
  </si>
  <si>
    <r>
      <t>负载电流</t>
    </r>
    <r>
      <rPr>
        <sz val="11"/>
        <rFont val="Times New Roman"/>
        <family val="1"/>
      </rPr>
      <t xml:space="preserve"> </t>
    </r>
    <r>
      <rPr>
        <i/>
        <sz val="11"/>
        <rFont val="Times New Roman"/>
        <family val="1"/>
      </rPr>
      <t>I</t>
    </r>
    <r>
      <rPr>
        <vertAlign val="subscript"/>
        <sz val="11"/>
        <rFont val="Times New Roman"/>
        <family val="1"/>
      </rPr>
      <t>n</t>
    </r>
    <r>
      <rPr>
        <sz val="11"/>
        <rFont val="Times New Roman"/>
        <family val="1"/>
      </rPr>
      <t xml:space="preserve"> cos</t>
    </r>
    <r>
      <rPr>
        <i/>
        <sz val="11"/>
        <rFont val="Times New Roman"/>
        <family val="1"/>
      </rPr>
      <t>φ</t>
    </r>
    <r>
      <rPr>
        <sz val="11"/>
        <rFont val="Times New Roman"/>
        <family val="1"/>
      </rPr>
      <t>/cos</t>
    </r>
    <r>
      <rPr>
        <i/>
        <sz val="11"/>
        <rFont val="Times New Roman"/>
        <family val="1"/>
      </rPr>
      <t>θ</t>
    </r>
    <r>
      <rPr>
        <sz val="11"/>
        <rFont val="Times New Roman"/>
        <family val="1"/>
      </rPr>
      <t xml:space="preserve">=1 </t>
    </r>
    <r>
      <rPr>
        <sz val="11"/>
        <rFont val="宋体"/>
        <family val="3"/>
        <charset val="134"/>
      </rPr>
      <t>不平衡负载与平衡负载时误差之差</t>
    </r>
    <r>
      <rPr>
        <sz val="11"/>
        <rFont val="Times New Roman"/>
        <family val="1"/>
      </rPr>
      <t>/%</t>
    </r>
    <phoneticPr fontId="31" type="noConversion"/>
  </si>
  <si>
    <r>
      <t>A</t>
    </r>
    <r>
      <rPr>
        <sz val="11"/>
        <rFont val="宋体"/>
        <family val="3"/>
        <charset val="134"/>
      </rPr>
      <t>相</t>
    </r>
    <phoneticPr fontId="31" type="noConversion"/>
  </si>
  <si>
    <t>-0.0077</t>
    <phoneticPr fontId="52" type="noConversion"/>
  </si>
  <si>
    <r>
      <t>B</t>
    </r>
    <r>
      <rPr>
        <sz val="11"/>
        <rFont val="宋体"/>
        <family val="3"/>
        <charset val="134"/>
      </rPr>
      <t>相</t>
    </r>
    <phoneticPr fontId="31" type="noConversion"/>
  </si>
  <si>
    <t>+0.0007</t>
    <phoneticPr fontId="31" type="noConversion"/>
  </si>
  <si>
    <r>
      <t>C</t>
    </r>
    <r>
      <rPr>
        <sz val="11"/>
        <rFont val="宋体"/>
        <family val="3"/>
        <charset val="134"/>
      </rPr>
      <t>相</t>
    </r>
    <phoneticPr fontId="31" type="noConversion"/>
  </si>
  <si>
    <r>
      <t>sin</t>
    </r>
    <r>
      <rPr>
        <i/>
        <sz val="11"/>
        <rFont val="Times New Roman"/>
        <family val="1"/>
      </rPr>
      <t>φ</t>
    </r>
    <r>
      <rPr>
        <sz val="11"/>
        <rFont val="Times New Roman"/>
        <family val="1"/>
      </rPr>
      <t>=1</t>
    </r>
    <phoneticPr fontId="31" type="noConversion"/>
  </si>
  <si>
    <r>
      <t>sin</t>
    </r>
    <r>
      <rPr>
        <i/>
        <sz val="11"/>
        <rFont val="Times New Roman"/>
        <family val="1"/>
      </rPr>
      <t>φ</t>
    </r>
    <r>
      <rPr>
        <sz val="11"/>
        <rFont val="Times New Roman"/>
        <family val="1"/>
      </rPr>
      <t>=0.5L</t>
    </r>
    <phoneticPr fontId="31" type="noConversion"/>
  </si>
  <si>
    <r>
      <t>sin</t>
    </r>
    <r>
      <rPr>
        <i/>
        <sz val="11"/>
        <rFont val="Times New Roman"/>
        <family val="1"/>
      </rPr>
      <t>φ</t>
    </r>
    <r>
      <rPr>
        <sz val="11"/>
        <rFont val="Times New Roman"/>
        <family val="1"/>
      </rPr>
      <t>=0.5C</t>
    </r>
    <phoneticPr fontId="31" type="noConversion"/>
  </si>
  <si>
    <t>0.0221</t>
    <phoneticPr fontId="31" type="noConversion"/>
  </si>
  <si>
    <t>-0.0182</t>
    <phoneticPr fontId="31" type="noConversion"/>
  </si>
  <si>
    <t>0.0020</t>
    <phoneticPr fontId="31" type="noConversion"/>
  </si>
  <si>
    <t>0.0667</t>
    <phoneticPr fontId="31" type="noConversion"/>
  </si>
  <si>
    <t>0.0282</t>
    <phoneticPr fontId="31" type="noConversion"/>
  </si>
  <si>
    <t>0.0475</t>
    <phoneticPr fontId="31" type="noConversion"/>
  </si>
  <si>
    <t>-0.0410</t>
    <phoneticPr fontId="31" type="noConversion"/>
  </si>
  <si>
    <t>-0.0372</t>
    <phoneticPr fontId="31" type="noConversion"/>
  </si>
  <si>
    <t>-0.0179</t>
    <phoneticPr fontId="31" type="noConversion"/>
  </si>
  <si>
    <t>0.1803</t>
    <phoneticPr fontId="52" type="noConversion"/>
  </si>
  <si>
    <t>0.0812</t>
    <phoneticPr fontId="52" type="noConversion"/>
  </si>
  <si>
    <t>0.0471</t>
    <phoneticPr fontId="52" type="noConversion"/>
  </si>
  <si>
    <t>0.0471</t>
    <phoneticPr fontId="31" type="noConversion"/>
  </si>
  <si>
    <t>-0.0118</t>
    <phoneticPr fontId="31" type="noConversion"/>
  </si>
  <si>
    <t>-0.0470</t>
    <phoneticPr fontId="31" type="noConversion"/>
  </si>
  <si>
    <t>-0.0294</t>
    <phoneticPr fontId="52" type="noConversion"/>
  </si>
  <si>
    <r>
      <t>0.</t>
    </r>
    <r>
      <rPr>
        <i/>
        <sz val="11"/>
        <rFont val="Times New Roman"/>
        <family val="1"/>
      </rPr>
      <t>1I</t>
    </r>
    <r>
      <rPr>
        <vertAlign val="subscript"/>
        <sz val="11"/>
        <rFont val="Times New Roman"/>
        <family val="1"/>
      </rPr>
      <t>n</t>
    </r>
    <phoneticPr fontId="31" type="noConversion"/>
  </si>
  <si>
    <t>--</t>
    <phoneticPr fontId="31" type="noConversion"/>
  </si>
  <si>
    <t>--</t>
    <phoneticPr fontId="52" type="noConversion"/>
  </si>
  <si>
    <t>0.0500</t>
    <phoneticPr fontId="31" type="noConversion"/>
  </si>
  <si>
    <r>
      <t>0.05</t>
    </r>
    <r>
      <rPr>
        <i/>
        <sz val="11"/>
        <rFont val="Times New Roman"/>
        <family val="1"/>
      </rPr>
      <t>I</t>
    </r>
    <r>
      <rPr>
        <vertAlign val="subscript"/>
        <sz val="11"/>
        <rFont val="Times New Roman"/>
        <family val="1"/>
      </rPr>
      <t>n</t>
    </r>
    <phoneticPr fontId="31" type="noConversion"/>
  </si>
  <si>
    <t>-0.0250</t>
    <phoneticPr fontId="31" type="noConversion"/>
  </si>
  <si>
    <t>-0.0999</t>
    <phoneticPr fontId="52" type="noConversion"/>
  </si>
  <si>
    <r>
      <t>0.02</t>
    </r>
    <r>
      <rPr>
        <i/>
        <sz val="11"/>
        <rFont val="Times New Roman"/>
        <family val="1"/>
      </rPr>
      <t>I</t>
    </r>
    <r>
      <rPr>
        <vertAlign val="subscript"/>
        <sz val="11"/>
        <rFont val="Times New Roman"/>
        <family val="1"/>
      </rPr>
      <t>n</t>
    </r>
    <phoneticPr fontId="31" type="noConversion"/>
  </si>
  <si>
    <t>-0.1996</t>
    <phoneticPr fontId="31" type="noConversion"/>
  </si>
  <si>
    <t>-0.1498</t>
    <phoneticPr fontId="31" type="noConversion"/>
  </si>
  <si>
    <r>
      <t>sin</t>
    </r>
    <r>
      <rPr>
        <i/>
        <sz val="12"/>
        <rFont val="Times New Roman"/>
        <family val="1"/>
      </rPr>
      <t>φ</t>
    </r>
    <r>
      <rPr>
        <sz val="12"/>
        <rFont val="Times New Roman"/>
        <family val="1"/>
      </rPr>
      <t>=0.25L</t>
    </r>
    <phoneticPr fontId="31" type="noConversion"/>
  </si>
  <si>
    <r>
      <t>sin</t>
    </r>
    <r>
      <rPr>
        <i/>
        <sz val="12"/>
        <rFont val="Times New Roman"/>
        <family val="1"/>
      </rPr>
      <t>φ</t>
    </r>
    <r>
      <rPr>
        <sz val="12"/>
        <rFont val="Times New Roman"/>
        <family val="1"/>
      </rPr>
      <t>=0.25C</t>
    </r>
    <phoneticPr fontId="31" type="noConversion"/>
  </si>
  <si>
    <r>
      <t>不平衡负载</t>
    </r>
    <r>
      <rPr>
        <sz val="11"/>
        <rFont val="Times New Roman"/>
        <family val="1"/>
      </rPr>
      <t xml:space="preserve"> </t>
    </r>
    <r>
      <rPr>
        <sz val="11"/>
        <rFont val="宋体"/>
        <family val="3"/>
        <charset val="134"/>
      </rPr>
      <t>基本误差</t>
    </r>
    <r>
      <rPr>
        <sz val="11"/>
        <rFont val="Times New Roman"/>
        <family val="1"/>
      </rPr>
      <t>/%</t>
    </r>
    <phoneticPr fontId="31" type="noConversion"/>
  </si>
  <si>
    <r>
      <t>sin</t>
    </r>
    <r>
      <rPr>
        <i/>
        <sz val="11"/>
        <rFont val="Times New Roman"/>
        <family val="1"/>
      </rPr>
      <t>θ</t>
    </r>
    <r>
      <rPr>
        <sz val="11"/>
        <rFont val="Times New Roman"/>
        <family val="1"/>
      </rPr>
      <t>=1</t>
    </r>
    <phoneticPr fontId="31" type="noConversion"/>
  </si>
  <si>
    <t>-0.0217</t>
    <phoneticPr fontId="31" type="noConversion"/>
  </si>
  <si>
    <t>0.0217</t>
    <phoneticPr fontId="31" type="noConversion"/>
  </si>
  <si>
    <t>-0.0174</t>
    <phoneticPr fontId="31" type="noConversion"/>
  </si>
  <si>
    <t>0.0304</t>
    <phoneticPr fontId="31" type="noConversion"/>
  </si>
  <si>
    <t>0.0065</t>
    <phoneticPr fontId="31" type="noConversion"/>
  </si>
  <si>
    <t>-0.0043</t>
    <phoneticPr fontId="31" type="noConversion"/>
  </si>
  <si>
    <t>-0.0087</t>
    <phoneticPr fontId="31" type="noConversion"/>
  </si>
  <si>
    <t>-0.0065</t>
    <phoneticPr fontId="31" type="noConversion"/>
  </si>
  <si>
    <t>0.1335</t>
    <phoneticPr fontId="31" type="noConversion"/>
  </si>
  <si>
    <t>0.0668</t>
    <phoneticPr fontId="31" type="noConversion"/>
  </si>
  <si>
    <t>-0.0083</t>
    <phoneticPr fontId="31" type="noConversion"/>
  </si>
  <si>
    <t>0.0167</t>
    <phoneticPr fontId="31" type="noConversion"/>
  </si>
  <si>
    <t>0.2278</t>
    <phoneticPr fontId="31" type="noConversion"/>
  </si>
  <si>
    <t>0.1223</t>
    <phoneticPr fontId="31" type="noConversion"/>
  </si>
  <si>
    <r>
      <t>sin</t>
    </r>
    <r>
      <rPr>
        <i/>
        <sz val="11"/>
        <rFont val="Times New Roman"/>
        <family val="1"/>
      </rPr>
      <t>θ</t>
    </r>
    <r>
      <rPr>
        <sz val="11"/>
        <rFont val="Times New Roman"/>
        <family val="1"/>
      </rPr>
      <t>=0.5L</t>
    </r>
    <phoneticPr fontId="31" type="noConversion"/>
  </si>
  <si>
    <t>0.0333</t>
    <phoneticPr fontId="31" type="noConversion"/>
  </si>
  <si>
    <t>0.0125</t>
    <phoneticPr fontId="31" type="noConversion"/>
  </si>
  <si>
    <t>0.0417</t>
    <phoneticPr fontId="31" type="noConversion"/>
  </si>
  <si>
    <t>0.0459</t>
    <phoneticPr fontId="31" type="noConversion"/>
  </si>
  <si>
    <t>0.0584</t>
    <phoneticPr fontId="31" type="noConversion"/>
  </si>
  <si>
    <t>0.0626</t>
    <phoneticPr fontId="31" type="noConversion"/>
  </si>
  <si>
    <t>-0.0167</t>
    <phoneticPr fontId="31" type="noConversion"/>
  </si>
  <si>
    <t>-0.0084</t>
    <phoneticPr fontId="31" type="noConversion"/>
  </si>
  <si>
    <t>0.1001</t>
    <phoneticPr fontId="31" type="noConversion"/>
  </si>
  <si>
    <t>0.0501</t>
    <phoneticPr fontId="31" type="noConversion"/>
  </si>
  <si>
    <r>
      <t>sin</t>
    </r>
    <r>
      <rPr>
        <i/>
        <sz val="11"/>
        <rFont val="Times New Roman"/>
        <family val="1"/>
      </rPr>
      <t>θ</t>
    </r>
    <r>
      <rPr>
        <sz val="11"/>
        <rFont val="Times New Roman"/>
        <family val="1"/>
      </rPr>
      <t>=0.5C</t>
    </r>
    <phoneticPr fontId="31" type="noConversion"/>
  </si>
  <si>
    <r>
      <t>负载电流</t>
    </r>
    <r>
      <rPr>
        <i/>
        <sz val="11"/>
        <rFont val="Times New Roman"/>
        <family val="1"/>
      </rPr>
      <t xml:space="preserve"> I</t>
    </r>
    <r>
      <rPr>
        <vertAlign val="subscript"/>
        <sz val="11"/>
        <rFont val="Times New Roman"/>
        <family val="1"/>
      </rPr>
      <t xml:space="preserve">n </t>
    </r>
    <r>
      <rPr>
        <sz val="11"/>
        <rFont val="Times New Roman"/>
        <family val="1"/>
      </rPr>
      <t>sin</t>
    </r>
    <r>
      <rPr>
        <i/>
        <sz val="11"/>
        <rFont val="Times New Roman"/>
        <family val="1"/>
      </rPr>
      <t>φ</t>
    </r>
    <r>
      <rPr>
        <sz val="11"/>
        <rFont val="Times New Roman"/>
        <family val="1"/>
      </rPr>
      <t>/sin</t>
    </r>
    <r>
      <rPr>
        <i/>
        <sz val="11"/>
        <rFont val="Times New Roman"/>
        <family val="1"/>
      </rPr>
      <t>θ</t>
    </r>
    <r>
      <rPr>
        <sz val="11"/>
        <rFont val="Times New Roman"/>
        <family val="1"/>
      </rPr>
      <t xml:space="preserve">=1 </t>
    </r>
    <r>
      <rPr>
        <sz val="11"/>
        <rFont val="宋体"/>
        <family val="3"/>
        <charset val="134"/>
      </rPr>
      <t>不平衡负载与平衡负载时误差之差</t>
    </r>
    <r>
      <rPr>
        <sz val="11"/>
        <rFont val="Times New Roman"/>
        <family val="1"/>
      </rPr>
      <t>/%</t>
    </r>
    <phoneticPr fontId="31" type="noConversion"/>
  </si>
  <si>
    <t>-0.0144</t>
    <phoneticPr fontId="52" type="noConversion"/>
  </si>
  <si>
    <t>-0.0895</t>
    <phoneticPr fontId="31" type="noConversion"/>
  </si>
  <si>
    <t>+0.0411</t>
    <phoneticPr fontId="52" type="noConversion"/>
  </si>
  <si>
    <t>经互感器接入</t>
    <phoneticPr fontId="31" type="noConversion"/>
  </si>
  <si>
    <r>
      <t>sin</t>
    </r>
    <r>
      <rPr>
        <i/>
        <sz val="11"/>
        <rFont val="Times New Roman"/>
        <family val="1"/>
      </rPr>
      <t>φ</t>
    </r>
    <r>
      <rPr>
        <sz val="11"/>
        <rFont val="Times New Roman"/>
        <family val="1"/>
      </rPr>
      <t>=1</t>
    </r>
    <phoneticPr fontId="31" type="noConversion"/>
  </si>
  <si>
    <r>
      <t>sin</t>
    </r>
    <r>
      <rPr>
        <i/>
        <sz val="11"/>
        <rFont val="Times New Roman"/>
        <family val="1"/>
      </rPr>
      <t>φ</t>
    </r>
    <r>
      <rPr>
        <sz val="11"/>
        <rFont val="Times New Roman"/>
        <family val="1"/>
      </rPr>
      <t>=0.5L</t>
    </r>
    <phoneticPr fontId="31" type="noConversion"/>
  </si>
  <si>
    <r>
      <t>sin</t>
    </r>
    <r>
      <rPr>
        <i/>
        <sz val="11"/>
        <rFont val="Times New Roman"/>
        <family val="1"/>
      </rPr>
      <t>φ</t>
    </r>
    <r>
      <rPr>
        <sz val="11"/>
        <rFont val="Times New Roman"/>
        <family val="1"/>
      </rPr>
      <t>=0.5C</t>
    </r>
    <phoneticPr fontId="31" type="noConversion"/>
  </si>
  <si>
    <t>-0.0117</t>
    <phoneticPr fontId="31" type="noConversion"/>
  </si>
  <si>
    <t>0.1244</t>
    <phoneticPr fontId="31" type="noConversion"/>
  </si>
  <si>
    <t>0.0564</t>
    <phoneticPr fontId="31" type="noConversion"/>
  </si>
  <si>
    <t>0.0590</t>
    <phoneticPr fontId="31" type="noConversion"/>
  </si>
  <si>
    <t>0.0282</t>
    <phoneticPr fontId="31" type="noConversion"/>
  </si>
  <si>
    <t>0.0436</t>
    <phoneticPr fontId="31" type="noConversion"/>
  </si>
  <si>
    <t>-0.0436</t>
    <phoneticPr fontId="31" type="noConversion"/>
  </si>
  <si>
    <t>-0.0462</t>
    <phoneticPr fontId="31" type="noConversion"/>
  </si>
  <si>
    <t>0.0205</t>
    <phoneticPr fontId="31" type="noConversion"/>
  </si>
  <si>
    <t>0.1740</t>
    <phoneticPr fontId="52" type="noConversion"/>
  </si>
  <si>
    <t>0.0973</t>
    <phoneticPr fontId="52" type="noConversion"/>
  </si>
  <si>
    <t>0.0412</t>
    <phoneticPr fontId="31" type="noConversion"/>
  </si>
  <si>
    <t>-0.0588</t>
    <phoneticPr fontId="31" type="noConversion"/>
  </si>
  <si>
    <t>-0.0176</t>
    <phoneticPr fontId="31" type="noConversion"/>
  </si>
  <si>
    <t>-0.0382</t>
    <phoneticPr fontId="31" type="noConversion"/>
  </si>
  <si>
    <r>
      <t>0.</t>
    </r>
    <r>
      <rPr>
        <i/>
        <sz val="11"/>
        <rFont val="Times New Roman"/>
        <family val="1"/>
      </rPr>
      <t>1I</t>
    </r>
    <r>
      <rPr>
        <vertAlign val="subscript"/>
        <sz val="11"/>
        <rFont val="Times New Roman"/>
        <family val="1"/>
      </rPr>
      <t>n</t>
    </r>
    <phoneticPr fontId="31" type="noConversion"/>
  </si>
  <si>
    <t>0.1001</t>
    <phoneticPr fontId="31" type="noConversion"/>
  </si>
  <si>
    <t>0.0501</t>
    <phoneticPr fontId="31" type="noConversion"/>
  </si>
  <si>
    <r>
      <t>0.02</t>
    </r>
    <r>
      <rPr>
        <i/>
        <sz val="11"/>
        <rFont val="Times New Roman"/>
        <family val="1"/>
      </rPr>
      <t>I</t>
    </r>
    <r>
      <rPr>
        <vertAlign val="subscript"/>
        <sz val="11"/>
        <rFont val="Times New Roman"/>
        <family val="1"/>
      </rPr>
      <t>n</t>
    </r>
    <phoneticPr fontId="31" type="noConversion"/>
  </si>
  <si>
    <t>0.0001</t>
    <phoneticPr fontId="31" type="noConversion"/>
  </si>
  <si>
    <r>
      <t>sin</t>
    </r>
    <r>
      <rPr>
        <i/>
        <sz val="12"/>
        <rFont val="Times New Roman"/>
        <family val="1"/>
      </rPr>
      <t>φ</t>
    </r>
    <r>
      <rPr>
        <sz val="12"/>
        <rFont val="Times New Roman"/>
        <family val="1"/>
      </rPr>
      <t>=0.25L</t>
    </r>
    <phoneticPr fontId="31" type="noConversion"/>
  </si>
  <si>
    <r>
      <t>sin</t>
    </r>
    <r>
      <rPr>
        <i/>
        <sz val="12"/>
        <rFont val="Times New Roman"/>
        <family val="1"/>
      </rPr>
      <t>φ</t>
    </r>
    <r>
      <rPr>
        <sz val="12"/>
        <rFont val="Times New Roman"/>
        <family val="1"/>
      </rPr>
      <t>=0.25C</t>
    </r>
    <phoneticPr fontId="31" type="noConversion"/>
  </si>
  <si>
    <r>
      <t>sin</t>
    </r>
    <r>
      <rPr>
        <i/>
        <sz val="11"/>
        <rFont val="Times New Roman"/>
        <family val="1"/>
      </rPr>
      <t>θ</t>
    </r>
    <r>
      <rPr>
        <sz val="11"/>
        <rFont val="Times New Roman"/>
        <family val="1"/>
      </rPr>
      <t>=1</t>
    </r>
    <phoneticPr fontId="31" type="noConversion"/>
  </si>
  <si>
    <t>0.0217</t>
    <phoneticPr fontId="31" type="noConversion"/>
  </si>
  <si>
    <t>-0.0348</t>
    <phoneticPr fontId="31" type="noConversion"/>
  </si>
  <si>
    <t>-0.0066</t>
    <phoneticPr fontId="31" type="noConversion"/>
  </si>
  <si>
    <t>-0.0130</t>
    <phoneticPr fontId="31" type="noConversion"/>
  </si>
  <si>
    <t>0.0044</t>
    <phoneticPr fontId="31" type="noConversion"/>
  </si>
  <si>
    <t>0.0304</t>
    <phoneticPr fontId="31" type="noConversion"/>
  </si>
  <si>
    <t>0.0087</t>
    <phoneticPr fontId="31" type="noConversion"/>
  </si>
  <si>
    <t>0.0459</t>
    <phoneticPr fontId="31" type="noConversion"/>
  </si>
  <si>
    <t>0.0125</t>
    <phoneticPr fontId="31" type="noConversion"/>
  </si>
  <si>
    <t>-0.0333</t>
    <phoneticPr fontId="31" type="noConversion"/>
  </si>
  <si>
    <r>
      <t>sin</t>
    </r>
    <r>
      <rPr>
        <i/>
        <sz val="11"/>
        <rFont val="Times New Roman"/>
        <family val="1"/>
      </rPr>
      <t>θ</t>
    </r>
    <r>
      <rPr>
        <sz val="11"/>
        <rFont val="Times New Roman"/>
        <family val="1"/>
      </rPr>
      <t>=0.5L</t>
    </r>
    <phoneticPr fontId="31" type="noConversion"/>
  </si>
  <si>
    <t>0.0500</t>
    <phoneticPr fontId="31" type="noConversion"/>
  </si>
  <si>
    <t>0.0250</t>
    <phoneticPr fontId="31" type="noConversion"/>
  </si>
  <si>
    <t>0.0751</t>
    <phoneticPr fontId="31" type="noConversion"/>
  </si>
  <si>
    <t>0.0626</t>
    <phoneticPr fontId="31" type="noConversion"/>
  </si>
  <si>
    <t>0.0667</t>
    <phoneticPr fontId="31" type="noConversion"/>
  </si>
  <si>
    <t>0.0584</t>
    <phoneticPr fontId="31" type="noConversion"/>
  </si>
  <si>
    <t>0.0834</t>
    <phoneticPr fontId="31" type="noConversion"/>
  </si>
  <si>
    <r>
      <t>sin</t>
    </r>
    <r>
      <rPr>
        <i/>
        <sz val="11"/>
        <rFont val="Times New Roman"/>
        <family val="1"/>
      </rPr>
      <t>θ</t>
    </r>
    <r>
      <rPr>
        <sz val="11"/>
        <rFont val="Times New Roman"/>
        <family val="1"/>
      </rPr>
      <t>=0.5C</t>
    </r>
    <phoneticPr fontId="31" type="noConversion"/>
  </si>
  <si>
    <t>-0.0514</t>
    <phoneticPr fontId="52" type="noConversion"/>
  </si>
  <si>
    <t>-0.0848</t>
    <phoneticPr fontId="31" type="noConversion"/>
  </si>
  <si>
    <t>-0.1056</t>
    <phoneticPr fontId="52" type="noConversion"/>
  </si>
  <si>
    <t>/</t>
    <phoneticPr fontId="52" type="noConversion"/>
  </si>
  <si>
    <r>
      <t>测量结果</t>
    </r>
    <r>
      <rPr>
        <sz val="12"/>
        <rFont val="Times New Roman"/>
        <family val="1"/>
      </rPr>
      <t>/Hz</t>
    </r>
    <phoneticPr fontId="31" type="noConversion"/>
  </si>
  <si>
    <r>
      <t xml:space="preserve">平均值
</t>
    </r>
    <r>
      <rPr>
        <sz val="12"/>
        <rFont val="Times New Roman"/>
        <family val="1"/>
      </rPr>
      <t>Hz</t>
    </r>
    <phoneticPr fontId="31" type="noConversion"/>
  </si>
  <si>
    <t>―</t>
    <phoneticPr fontId="52" type="noConversion"/>
  </si>
  <si>
    <t>―</t>
    <phoneticPr fontId="31" type="noConversion"/>
  </si>
  <si>
    <t>系统支持文件上传即可，不需要</t>
    <phoneticPr fontId="31" type="noConversion"/>
  </si>
  <si>
    <t>后续检定</t>
    <phoneticPr fontId="31" type="noConversion"/>
  </si>
  <si>
    <t>使用中的检验</t>
    <phoneticPr fontId="31" type="noConversion"/>
  </si>
  <si>
    <t>直观检查</t>
  </si>
  <si>
    <t>绝缘电阻</t>
    <phoneticPr fontId="31" type="noConversion"/>
  </si>
  <si>
    <t>±</t>
    <phoneticPr fontId="31" type="noConversion"/>
  </si>
  <si>
    <t>通电检查 </t>
    <phoneticPr fontId="31" type="noConversion"/>
  </si>
  <si>
    <t>装置的磁场</t>
    <phoneticPr fontId="31" type="noConversion"/>
  </si>
  <si>
    <t>监视示值误差</t>
    <phoneticPr fontId="31" type="noConversion"/>
  </si>
  <si>
    <t>调节范围</t>
    <phoneticPr fontId="31" type="noConversion"/>
  </si>
  <si>
    <t>调节细度</t>
  </si>
  <si>
    <t>相互影响</t>
  </si>
  <si>
    <t>相序</t>
    <phoneticPr fontId="31" type="noConversion"/>
  </si>
  <si>
    <t>对称度</t>
  </si>
  <si>
    <t>波形失真度</t>
  </si>
  <si>
    <t>功率稳定度</t>
  </si>
  <si>
    <t>装置的测量重复性</t>
  </si>
  <si>
    <t>多路输出的一致性</t>
    <phoneticPr fontId="31" type="noConversion"/>
  </si>
  <si>
    <t>负载影响</t>
  </si>
  <si>
    <t>同名端钮间电位差</t>
    <phoneticPr fontId="31" type="noConversion"/>
  </si>
  <si>
    <t>相间交变磁场影响</t>
    <phoneticPr fontId="31" type="noConversion"/>
  </si>
  <si>
    <t>短期稳定性变差</t>
    <phoneticPr fontId="31" type="noConversion"/>
  </si>
  <si>
    <t>检定周期内变差</t>
  </si>
  <si>
    <t>±</t>
    <phoneticPr fontId="31" type="noConversion"/>
  </si>
  <si>
    <t>注：符号“+”表示必须检定，“-”表示可不检定，±为必要时选做。</t>
    <phoneticPr fontId="31" type="noConversion"/>
  </si>
  <si>
    <t>JJG 597-2005 交流电能表检定装置</t>
    <phoneticPr fontId="31" type="noConversion"/>
  </si>
  <si>
    <t>+</t>
  </si>
  <si>
    <t>退磁</t>
  </si>
  <si>
    <t>基本误差测量</t>
  </si>
  <si>
    <t>稳定性试验</t>
  </si>
  <si>
    <t>CT变比测量示值</t>
  </si>
  <si>
    <t>CT变比标准值</t>
  </si>
  <si>
    <t>100.0:5.001</t>
  </si>
  <si>
    <t>100.0:5.0000</t>
  </si>
  <si>
    <t>200.0:5.001</t>
  </si>
  <si>
    <t>200.0:5.0000</t>
  </si>
  <si>
    <t>600.0:5.000</t>
  </si>
  <si>
    <t>600.0:5.0000</t>
  </si>
  <si>
    <t>800.0:5.001</t>
  </si>
  <si>
    <t>800.0:5.0000</t>
  </si>
  <si>
    <t>1000.0:5.001</t>
  </si>
  <si>
    <t>1000.0:5.0000</t>
  </si>
  <si>
    <t>1200.0:5.001</t>
  </si>
  <si>
    <t>1200.0:5.0000</t>
  </si>
  <si>
    <t>1500.0:5.001</t>
  </si>
  <si>
    <t>1500.0:5.0000</t>
  </si>
  <si>
    <t>2000.0:5.000</t>
  </si>
  <si>
    <t>2000.0:5.0000</t>
  </si>
  <si>
    <t>2500.0:4.999</t>
  </si>
  <si>
    <t>2500.0:5.0000</t>
  </si>
  <si>
    <t>3000.0:5.000</t>
  </si>
  <si>
    <t>3000.0:5.0000</t>
  </si>
  <si>
    <t>4000.0:5.000</t>
  </si>
  <si>
    <t>4000.0:5.0000</t>
  </si>
  <si>
    <t>600.0:1.000</t>
  </si>
  <si>
    <t>600.0:1.0000</t>
  </si>
  <si>
    <t>1200.0:1.000</t>
  </si>
  <si>
    <t>1200.0:1.0000</t>
  </si>
  <si>
    <t>2000.0:1.000</t>
  </si>
  <si>
    <t>2000.0:1.0000</t>
  </si>
  <si>
    <t>2500.0:1.000</t>
  </si>
  <si>
    <t>2500.0:1.0000</t>
  </si>
  <si>
    <t>3000.0:1.000</t>
  </si>
  <si>
    <t>3000.0:1.0000</t>
  </si>
  <si>
    <t>4000.0:1.000</t>
  </si>
  <si>
    <r>
      <t>4000.0:1.0000</t>
    </r>
    <r>
      <rPr>
        <sz val="10.5"/>
        <rFont val="Times New Roman"/>
        <family val="1"/>
      </rPr>
      <t> </t>
    </r>
  </si>
  <si>
    <t>误差</t>
  </si>
  <si>
    <t>VA</t>
  </si>
  <si>
    <r>
      <t>cos</t>
    </r>
    <r>
      <rPr>
        <sz val="12"/>
        <rFont val="Symbol"/>
        <family val="1"/>
        <charset val="2"/>
      </rPr>
      <t>j</t>
    </r>
  </si>
  <si>
    <t>δ</t>
  </si>
  <si>
    <t>JJF-1075-2001 钳形电流表校准规范</t>
    <phoneticPr fontId="2" type="noConversion"/>
  </si>
  <si>
    <t>灵敏度</t>
  </si>
  <si>
    <t>变比示值</t>
  </si>
  <si>
    <t>标准偏差</t>
  </si>
  <si>
    <t>—，*</t>
  </si>
  <si>
    <t>误差显示器</t>
  </si>
  <si>
    <t>分接头</t>
  </si>
  <si>
    <t>相序、连接组</t>
  </si>
  <si>
    <t>耐压</t>
  </si>
  <si>
    <t>注：符号“+”表示检定，“-”表示不检定，“*”表示修理后必须检定</t>
  </si>
  <si>
    <t>数据录入输入</t>
  </si>
  <si>
    <t>可以将表头放到上方</t>
  </si>
  <si>
    <t>JJG 970-2002 变压比电桥检定规程</t>
    <phoneticPr fontId="2" type="noConversion"/>
  </si>
  <si>
    <t>外观及标志检查</t>
  </si>
  <si>
    <t>极性检查</t>
  </si>
  <si>
    <t>内附百分表</t>
  </si>
  <si>
    <t>仪器分辨力</t>
  </si>
  <si>
    <t>仪器示值与工作电流（电压）的无关性</t>
  </si>
  <si>
    <t>测量回路的谐波抑制能力</t>
  </si>
  <si>
    <t>校验仪对标准和被检互感器的附加容量</t>
  </si>
  <si>
    <t>/</t>
    <phoneticPr fontId="2" type="noConversion"/>
  </si>
  <si>
    <t>同相分量(%)</t>
  </si>
  <si>
    <t>正交分量(ˊ)</t>
  </si>
  <si>
    <t>JJG 169-2010 互感器校验仪</t>
    <phoneticPr fontId="2" type="noConversion"/>
  </si>
  <si>
    <t>JJF 1264-2010 互感器负荷箱校准规范</t>
    <phoneticPr fontId="2" type="noConversion"/>
  </si>
  <si>
    <r>
      <t>工作电流</t>
    </r>
    <r>
      <rPr>
        <sz val="12"/>
        <rFont val="Times New Roman"/>
        <family val="1"/>
      </rPr>
      <t>1A</t>
    </r>
  </si>
  <si>
    <t>变送器检定项目</t>
  </si>
  <si>
    <r>
      <t>检定项目</t>
    </r>
    <r>
      <rPr>
        <sz val="12"/>
        <rFont val="宋体"/>
        <family val="3"/>
        <charset val="134"/>
      </rPr>
      <t xml:space="preserve">   </t>
    </r>
    <r>
      <rPr>
        <vertAlign val="superscript"/>
        <sz val="12"/>
        <rFont val="宋体"/>
        <family val="3"/>
        <charset val="134"/>
      </rPr>
      <t xml:space="preserve"> 检定类别</t>
    </r>
  </si>
  <si>
    <t>备注</t>
  </si>
  <si>
    <t>合格、不合格、/</t>
  </si>
  <si>
    <t>数据录入，根据设备类别不同，模板不同</t>
  </si>
  <si>
    <t>绝缘电阻试验</t>
  </si>
  <si>
    <t>不测</t>
  </si>
  <si>
    <t>不平衡电流对三相有功和无功功率变送器的影响引起的改变量</t>
  </si>
  <si>
    <t>工频电压试验</t>
  </si>
  <si>
    <t>自热影响</t>
  </si>
  <si>
    <t>输出纹波含量</t>
  </si>
  <si>
    <t>交流被测量的电压和电流分量引起的误差改变量</t>
  </si>
  <si>
    <t>三相有功和无功功率变送器的测量线路之间，相互影响引起的误差改变量</t>
  </si>
  <si>
    <t>~</t>
  </si>
  <si>
    <t>问题：</t>
  </si>
  <si>
    <t>多功能的表能不能改改，表太长，页面显示有问题，可以分为多个表吗</t>
  </si>
  <si>
    <t>规程名称：JJG126-1995 交流电量变换为直流电量电工测量变送器</t>
    <phoneticPr fontId="2" type="noConversion"/>
  </si>
  <si>
    <t>目前需要标准量传部分阶段确认如下内容：</t>
    <phoneticPr fontId="2" type="noConversion"/>
  </si>
  <si>
    <r>
      <t>第一项：需要标准量传部确认规程对应检定项目的</t>
    </r>
    <r>
      <rPr>
        <b/>
        <sz val="12"/>
        <rFont val="宋体"/>
        <family val="3"/>
        <charset val="134"/>
      </rPr>
      <t>表头</t>
    </r>
    <r>
      <rPr>
        <sz val="12"/>
        <rFont val="宋体"/>
        <family val="3"/>
        <charset val="134"/>
      </rPr>
      <t>是否正确、完整。</t>
    </r>
    <phoneticPr fontId="2" type="noConversion"/>
  </si>
  <si>
    <r>
      <t>第二项：需要标准量传部</t>
    </r>
    <r>
      <rPr>
        <b/>
        <sz val="12"/>
        <rFont val="宋体"/>
        <family val="3"/>
        <charset val="134"/>
      </rPr>
      <t>确认算法规则</t>
    </r>
    <r>
      <rPr>
        <sz val="12"/>
        <rFont val="宋体"/>
        <family val="3"/>
        <charset val="134"/>
      </rPr>
      <t>，希望能够采用</t>
    </r>
    <r>
      <rPr>
        <b/>
        <sz val="12"/>
        <rFont val="宋体"/>
        <family val="3"/>
        <charset val="134"/>
      </rPr>
      <t>文字</t>
    </r>
    <r>
      <rPr>
        <sz val="12"/>
        <rFont val="宋体"/>
        <family val="3"/>
        <charset val="134"/>
      </rPr>
      <t>进行描述相关内容。</t>
    </r>
    <phoneticPr fontId="2" type="noConversion"/>
  </si>
  <si>
    <r>
      <t>第三项：需要标准量传部确认相关数据尤其是计算数据的</t>
    </r>
    <r>
      <rPr>
        <b/>
        <sz val="12"/>
        <rFont val="宋体"/>
        <family val="3"/>
        <charset val="134"/>
      </rPr>
      <t>总长度、小数位数。</t>
    </r>
    <phoneticPr fontId="2" type="noConversion"/>
  </si>
  <si>
    <r>
      <t>第四项：需要标准量传部确认校准证书的</t>
    </r>
    <r>
      <rPr>
        <b/>
        <sz val="12"/>
        <rFont val="宋体"/>
        <family val="3"/>
        <charset val="134"/>
      </rPr>
      <t>不确定度附表，包括表头、数据、计算规则、关联规程检验项目等。</t>
    </r>
    <phoneticPr fontId="2" type="noConversion"/>
  </si>
  <si>
    <r>
      <rPr>
        <b/>
        <sz val="12"/>
        <rFont val="宋体"/>
        <family val="3"/>
        <charset val="134"/>
      </rPr>
      <t>规程调研是否完整、准确关系到后面的原型、数模设计、开发完整准确性，能否满足客户的要求，是重中之重。</t>
    </r>
    <r>
      <rPr>
        <sz val="12"/>
        <rFont val="宋体"/>
        <family val="3"/>
        <charset val="134"/>
      </rPr>
      <t xml:space="preserve">
前期对各实验室的规程进行了梳理，但是发现没有对规程进行系统的整理，我们冀北实验项目组对每个规程进行了整理，
梳理过程中发现需要对一些内容进行确认，</t>
    </r>
    <r>
      <rPr>
        <b/>
        <sz val="12"/>
        <rFont val="宋体"/>
        <family val="3"/>
        <charset val="134"/>
      </rPr>
      <t>才能保证后续各阶段事情的顺利进行。</t>
    </r>
    <phoneticPr fontId="2" type="noConversion"/>
  </si>
  <si>
    <t>各实验室规程总结中，标红色的没有找到对应检验项目。</t>
    <phoneticPr fontId="2" type="noConversion"/>
  </si>
  <si>
    <r>
      <t>请查看检验项目中我们</t>
    </r>
    <r>
      <rPr>
        <b/>
        <sz val="12"/>
        <color indexed="10"/>
        <rFont val="宋体"/>
        <family val="3"/>
        <charset val="134"/>
      </rPr>
      <t>提出的问题</t>
    </r>
    <r>
      <rPr>
        <b/>
        <sz val="12"/>
        <rFont val="宋体"/>
        <family val="3"/>
        <charset val="134"/>
      </rPr>
      <t>，并进行解答。并对上述</t>
    </r>
    <r>
      <rPr>
        <b/>
        <sz val="12"/>
        <color indexed="10"/>
        <rFont val="宋体"/>
        <family val="3"/>
        <charset val="134"/>
      </rPr>
      <t>确认内容</t>
    </r>
    <r>
      <rPr>
        <b/>
        <sz val="12"/>
        <rFont val="宋体"/>
        <family val="3"/>
        <charset val="134"/>
      </rPr>
      <t>进行说明，相关要求可以写在规程中涉及的检验项目后面。</t>
    </r>
    <phoneticPr fontId="2" type="noConversion"/>
  </si>
  <si>
    <t>量程</t>
  </si>
  <si>
    <t>标度尺长度 =</t>
    <phoneticPr fontId="8" type="noConversion"/>
  </si>
  <si>
    <t>∆ =</t>
    <phoneticPr fontId="8" type="noConversion"/>
  </si>
  <si>
    <t>不确定度</t>
    <phoneticPr fontId="2" type="noConversion"/>
  </si>
  <si>
    <t>序号</t>
    <phoneticPr fontId="2" type="noConversion"/>
  </si>
  <si>
    <t>量限</t>
    <phoneticPr fontId="31" type="noConversion"/>
  </si>
  <si>
    <r>
      <rPr>
        <sz val="12"/>
        <rFont val="Times New Roman"/>
        <family val="1"/>
      </rPr>
      <t>cos</t>
    </r>
    <r>
      <rPr>
        <i/>
        <sz val="12"/>
        <rFont val="Symbol"/>
        <family val="1"/>
        <charset val="2"/>
      </rPr>
      <t>f</t>
    </r>
    <phoneticPr fontId="31" type="noConversion"/>
  </si>
  <si>
    <t>相线及测量模式</t>
    <phoneticPr fontId="31" type="noConversion"/>
  </si>
  <si>
    <r>
      <rPr>
        <sz val="12"/>
        <rFont val="宋体"/>
        <family val="3"/>
        <charset val="134"/>
      </rPr>
      <t>量程</t>
    </r>
    <r>
      <rPr>
        <sz val="12"/>
        <rFont val="Times New Roman"/>
        <family val="1"/>
      </rPr>
      <t xml:space="preserve">      </t>
    </r>
    <r>
      <rPr>
        <sz val="12"/>
        <rFont val="宋体"/>
        <family val="3"/>
        <charset val="134"/>
      </rPr>
      <t>（</t>
    </r>
    <r>
      <rPr>
        <i/>
        <sz val="12"/>
        <rFont val="Times New Roman"/>
        <family val="1"/>
      </rPr>
      <t>U</t>
    </r>
    <r>
      <rPr>
        <vertAlign val="subscript"/>
        <sz val="12"/>
        <rFont val="Times New Roman"/>
        <family val="1"/>
      </rPr>
      <t>n</t>
    </r>
    <r>
      <rPr>
        <sz val="12"/>
        <rFont val="宋体"/>
        <family val="3"/>
        <charset val="134"/>
      </rPr>
      <t>、</t>
    </r>
    <r>
      <rPr>
        <i/>
        <sz val="12"/>
        <rFont val="Times New Roman"/>
        <family val="1"/>
      </rPr>
      <t>I</t>
    </r>
    <r>
      <rPr>
        <vertAlign val="subscript"/>
        <sz val="12"/>
        <rFont val="Times New Roman"/>
        <family val="1"/>
      </rPr>
      <t>b</t>
    </r>
    <r>
      <rPr>
        <vertAlign val="subscript"/>
        <sz val="12"/>
        <rFont val="宋体"/>
        <family val="3"/>
        <charset val="134"/>
      </rPr>
      <t>）</t>
    </r>
    <phoneticPr fontId="31" type="noConversion"/>
  </si>
  <si>
    <r>
      <t>功率因数</t>
    </r>
    <r>
      <rPr>
        <sz val="12"/>
        <rFont val="Times New Roman"/>
        <family val="1"/>
      </rPr>
      <t>cos</t>
    </r>
    <r>
      <rPr>
        <i/>
        <sz val="12"/>
        <rFont val="Symbol"/>
        <family val="1"/>
        <charset val="2"/>
      </rPr>
      <t>f</t>
    </r>
    <r>
      <rPr>
        <i/>
        <sz val="12"/>
        <rFont val="宋体"/>
        <family val="3"/>
        <charset val="134"/>
      </rPr>
      <t/>
    </r>
    <phoneticPr fontId="31" type="noConversion"/>
  </si>
  <si>
    <r>
      <t>I</t>
    </r>
    <r>
      <rPr>
        <vertAlign val="subscript"/>
        <sz val="12"/>
        <rFont val="Times New Roman"/>
        <family val="1"/>
      </rPr>
      <t>b</t>
    </r>
    <r>
      <rPr>
        <sz val="12"/>
        <rFont val="Times New Roman"/>
        <family val="1"/>
      </rPr>
      <t>(%)</t>
    </r>
    <phoneticPr fontId="31" type="noConversion"/>
  </si>
  <si>
    <r>
      <rPr>
        <i/>
        <sz val="12"/>
        <rFont val="Times New Roman"/>
        <family val="1"/>
      </rPr>
      <t>γ</t>
    </r>
    <r>
      <rPr>
        <vertAlign val="subscript"/>
        <sz val="12"/>
        <rFont val="宋体"/>
        <family val="3"/>
        <charset val="134"/>
      </rPr>
      <t>1</t>
    </r>
    <r>
      <rPr>
        <sz val="12"/>
        <rFont val="Times New Roman"/>
        <family val="1"/>
      </rPr>
      <t>(%)</t>
    </r>
    <phoneticPr fontId="31" type="noConversion"/>
  </si>
  <si>
    <r>
      <rPr>
        <i/>
        <sz val="12"/>
        <rFont val="Times New Roman"/>
        <family val="1"/>
      </rPr>
      <t>γ</t>
    </r>
    <r>
      <rPr>
        <vertAlign val="subscript"/>
        <sz val="12"/>
        <rFont val="宋体"/>
        <family val="3"/>
        <charset val="134"/>
      </rPr>
      <t>2</t>
    </r>
    <r>
      <rPr>
        <sz val="12"/>
        <rFont val="Times New Roman"/>
        <family val="1"/>
      </rPr>
      <t>(%)</t>
    </r>
    <phoneticPr fontId="31" type="noConversion"/>
  </si>
  <si>
    <r>
      <t xml:space="preserve">  </t>
    </r>
    <r>
      <rPr>
        <sz val="12"/>
        <rFont val="Times New Roman"/>
        <family val="1"/>
      </rPr>
      <t>(%)</t>
    </r>
    <phoneticPr fontId="31" type="noConversion"/>
  </si>
  <si>
    <r>
      <t>γ</t>
    </r>
    <r>
      <rPr>
        <vertAlign val="subscript"/>
        <sz val="12"/>
        <rFont val="宋体"/>
        <family val="3"/>
        <charset val="134"/>
      </rPr>
      <t>化整</t>
    </r>
    <r>
      <rPr>
        <sz val="12"/>
        <rFont val="Times New Roman"/>
        <family val="1"/>
      </rPr>
      <t>(%)</t>
    </r>
    <phoneticPr fontId="31" type="noConversion"/>
  </si>
  <si>
    <r>
      <rPr>
        <sz val="12"/>
        <rFont val="Times New Roman"/>
        <family val="1"/>
      </rPr>
      <t>cos</t>
    </r>
    <r>
      <rPr>
        <i/>
        <sz val="12"/>
        <rFont val="宋体"/>
        <family val="3"/>
        <charset val="134"/>
      </rPr>
      <t>θ</t>
    </r>
    <phoneticPr fontId="31" type="noConversion"/>
  </si>
  <si>
    <r>
      <t>I</t>
    </r>
    <r>
      <rPr>
        <vertAlign val="subscript"/>
        <sz val="12"/>
        <rFont val="宋体"/>
        <family val="3"/>
        <charset val="134"/>
      </rPr>
      <t>b</t>
    </r>
    <r>
      <rPr>
        <sz val="12"/>
        <rFont val="宋体"/>
        <family val="3"/>
        <charset val="134"/>
      </rPr>
      <t>(%)</t>
    </r>
    <phoneticPr fontId="31" type="noConversion"/>
  </si>
  <si>
    <r>
      <t>初始值</t>
    </r>
    <r>
      <rPr>
        <i/>
        <sz val="12"/>
        <rFont val="Times New Roman"/>
        <family val="1"/>
      </rPr>
      <t>γ</t>
    </r>
    <r>
      <rPr>
        <vertAlign val="subscript"/>
        <sz val="12"/>
        <rFont val="Times New Roman"/>
        <family val="1"/>
      </rPr>
      <t>1</t>
    </r>
    <r>
      <rPr>
        <sz val="12"/>
        <rFont val="Times New Roman"/>
        <family val="1"/>
      </rPr>
      <t>(%)</t>
    </r>
    <phoneticPr fontId="31" type="noConversion"/>
  </si>
  <si>
    <r>
      <rPr>
        <sz val="12"/>
        <rFont val="Times New Roman"/>
        <family val="1"/>
      </rPr>
      <t>24h</t>
    </r>
    <r>
      <rPr>
        <sz val="12"/>
        <rFont val="宋体"/>
        <family val="3"/>
        <charset val="134"/>
      </rPr>
      <t>后</t>
    </r>
    <r>
      <rPr>
        <i/>
        <sz val="12"/>
        <rFont val="Times New Roman"/>
        <family val="1"/>
      </rPr>
      <t>γ</t>
    </r>
    <r>
      <rPr>
        <vertAlign val="subscript"/>
        <sz val="12"/>
        <rFont val="Times New Roman"/>
        <family val="1"/>
      </rPr>
      <t>2</t>
    </r>
    <r>
      <rPr>
        <sz val="12"/>
        <rFont val="Times New Roman"/>
        <family val="1"/>
      </rPr>
      <t>(%)</t>
    </r>
    <phoneticPr fontId="31" type="noConversion"/>
  </si>
  <si>
    <r>
      <t>|</t>
    </r>
    <r>
      <rPr>
        <i/>
        <sz val="12"/>
        <rFont val="Times New Roman"/>
        <family val="1"/>
      </rPr>
      <t>γ</t>
    </r>
    <r>
      <rPr>
        <vertAlign val="subscript"/>
        <sz val="12"/>
        <rFont val="Times New Roman"/>
        <family val="1"/>
      </rPr>
      <t>1</t>
    </r>
    <r>
      <rPr>
        <sz val="12"/>
        <rFont val="Times New Roman"/>
        <family val="1"/>
      </rPr>
      <t>—</t>
    </r>
    <r>
      <rPr>
        <i/>
        <sz val="12"/>
        <rFont val="Times New Roman"/>
        <family val="1"/>
      </rPr>
      <t>γ</t>
    </r>
    <r>
      <rPr>
        <vertAlign val="subscript"/>
        <sz val="12"/>
        <rFont val="Times New Roman"/>
        <family val="1"/>
      </rPr>
      <t>2</t>
    </r>
    <r>
      <rPr>
        <sz val="12"/>
        <rFont val="Times New Roman"/>
        <family val="1"/>
      </rPr>
      <t>|(%)</t>
    </r>
    <phoneticPr fontId="31" type="noConversion"/>
  </si>
  <si>
    <r>
      <t>γ</t>
    </r>
    <r>
      <rPr>
        <vertAlign val="subscript"/>
        <sz val="12"/>
        <rFont val="Times New Roman"/>
        <family val="1"/>
      </rPr>
      <t>1</t>
    </r>
    <r>
      <rPr>
        <sz val="12"/>
        <rFont val="Times New Roman"/>
        <family val="1"/>
      </rPr>
      <t>/</t>
    </r>
    <r>
      <rPr>
        <i/>
        <sz val="12"/>
        <rFont val="Times New Roman"/>
        <family val="1"/>
      </rPr>
      <t>γ</t>
    </r>
    <r>
      <rPr>
        <vertAlign val="subscript"/>
        <sz val="12"/>
        <rFont val="Times New Roman"/>
        <family val="1"/>
      </rPr>
      <t>6</t>
    </r>
    <r>
      <rPr>
        <sz val="12"/>
        <rFont val="Times New Roman"/>
        <family val="1"/>
      </rPr>
      <t>(%)</t>
    </r>
    <phoneticPr fontId="31" type="noConversion"/>
  </si>
  <si>
    <r>
      <t>γ</t>
    </r>
    <r>
      <rPr>
        <vertAlign val="subscript"/>
        <sz val="12"/>
        <rFont val="Times New Roman"/>
        <family val="1"/>
      </rPr>
      <t>2</t>
    </r>
    <r>
      <rPr>
        <sz val="12"/>
        <rFont val="Times New Roman"/>
        <family val="1"/>
      </rPr>
      <t>/</t>
    </r>
    <r>
      <rPr>
        <i/>
        <sz val="12"/>
        <rFont val="Times New Roman"/>
        <family val="1"/>
      </rPr>
      <t>γ</t>
    </r>
    <r>
      <rPr>
        <vertAlign val="subscript"/>
        <sz val="12"/>
        <rFont val="Times New Roman"/>
        <family val="1"/>
      </rPr>
      <t>7</t>
    </r>
    <r>
      <rPr>
        <sz val="12"/>
        <rFont val="Times New Roman"/>
        <family val="1"/>
      </rPr>
      <t>(%)</t>
    </r>
    <phoneticPr fontId="31" type="noConversion"/>
  </si>
  <si>
    <r>
      <t>γ</t>
    </r>
    <r>
      <rPr>
        <vertAlign val="subscript"/>
        <sz val="12"/>
        <rFont val="Times New Roman"/>
        <family val="1"/>
      </rPr>
      <t>3</t>
    </r>
    <r>
      <rPr>
        <sz val="12"/>
        <rFont val="Times New Roman"/>
        <family val="1"/>
      </rPr>
      <t>/</t>
    </r>
    <r>
      <rPr>
        <i/>
        <sz val="12"/>
        <rFont val="Times New Roman"/>
        <family val="1"/>
      </rPr>
      <t>γ</t>
    </r>
    <r>
      <rPr>
        <vertAlign val="subscript"/>
        <sz val="12"/>
        <rFont val="Times New Roman"/>
        <family val="1"/>
      </rPr>
      <t>8</t>
    </r>
    <r>
      <rPr>
        <sz val="12"/>
        <rFont val="Times New Roman"/>
        <family val="1"/>
      </rPr>
      <t>(%)</t>
    </r>
    <phoneticPr fontId="31" type="noConversion"/>
  </si>
  <si>
    <r>
      <t>γ</t>
    </r>
    <r>
      <rPr>
        <vertAlign val="subscript"/>
        <sz val="12"/>
        <rFont val="Times New Roman"/>
        <family val="1"/>
      </rPr>
      <t>4</t>
    </r>
    <r>
      <rPr>
        <sz val="12"/>
        <rFont val="Times New Roman"/>
        <family val="1"/>
      </rPr>
      <t>/</t>
    </r>
    <r>
      <rPr>
        <i/>
        <sz val="12"/>
        <rFont val="Times New Roman"/>
        <family val="1"/>
      </rPr>
      <t>γ</t>
    </r>
    <r>
      <rPr>
        <vertAlign val="subscript"/>
        <sz val="12"/>
        <rFont val="Times New Roman"/>
        <family val="1"/>
      </rPr>
      <t>9</t>
    </r>
    <r>
      <rPr>
        <sz val="12"/>
        <rFont val="Times New Roman"/>
        <family val="1"/>
      </rPr>
      <t>(%)</t>
    </r>
    <phoneticPr fontId="31" type="noConversion"/>
  </si>
  <si>
    <r>
      <t>γ</t>
    </r>
    <r>
      <rPr>
        <vertAlign val="subscript"/>
        <sz val="12"/>
        <rFont val="Times New Roman"/>
        <family val="1"/>
      </rPr>
      <t>5</t>
    </r>
    <r>
      <rPr>
        <sz val="12"/>
        <rFont val="Times New Roman"/>
        <family val="1"/>
      </rPr>
      <t>(%)</t>
    </r>
    <phoneticPr fontId="31" type="noConversion"/>
  </si>
  <si>
    <t>相别</t>
    <phoneticPr fontId="31" type="noConversion"/>
  </si>
  <si>
    <t>与上述相同</t>
    <phoneticPr fontId="31" type="noConversion"/>
  </si>
  <si>
    <r>
      <t xml:space="preserve">三相三线 </t>
    </r>
    <r>
      <rPr>
        <sz val="12"/>
        <rFont val="宋体"/>
        <family val="3"/>
        <charset val="134"/>
      </rPr>
      <t>100V5A</t>
    </r>
    <phoneticPr fontId="31" type="noConversion"/>
  </si>
  <si>
    <r>
      <t>s</t>
    </r>
    <r>
      <rPr>
        <sz val="12"/>
        <rFont val="Times New Roman"/>
        <family val="1"/>
      </rPr>
      <t>(%)</t>
    </r>
    <phoneticPr fontId="31" type="noConversion"/>
  </si>
  <si>
    <r>
      <t>s</t>
    </r>
    <r>
      <rPr>
        <vertAlign val="subscript"/>
        <sz val="12"/>
        <rFont val="宋体"/>
        <family val="3"/>
        <charset val="134"/>
      </rPr>
      <t>化整</t>
    </r>
    <r>
      <rPr>
        <sz val="12"/>
        <rFont val="Times New Roman"/>
        <family val="1"/>
      </rPr>
      <t>(%)</t>
    </r>
    <phoneticPr fontId="31" type="noConversion"/>
  </si>
  <si>
    <t>5、基本误差：</t>
    <phoneticPr fontId="69" type="noConversion"/>
  </si>
  <si>
    <r>
      <t>5</t>
    </r>
    <r>
      <rPr>
        <sz val="12"/>
        <rFont val="宋体"/>
        <family val="3"/>
        <charset val="134"/>
      </rPr>
      <t>.基本误差：</t>
    </r>
    <phoneticPr fontId="69" type="noConversion"/>
  </si>
  <si>
    <r>
      <t>A</t>
    </r>
    <r>
      <rPr>
        <sz val="12"/>
        <rFont val="宋体"/>
        <family val="3"/>
        <charset val="134"/>
      </rPr>
      <t>) 正向有功</t>
    </r>
    <phoneticPr fontId="69" type="noConversion"/>
  </si>
  <si>
    <t>直接接入</t>
    <phoneticPr fontId="69" type="noConversion"/>
  </si>
  <si>
    <t>单相/三相平衡负载 基本误差/%</t>
    <phoneticPr fontId="69" type="noConversion"/>
  </si>
  <si>
    <t>负载
电流</t>
    <phoneticPr fontId="69" type="noConversion"/>
  </si>
  <si>
    <r>
      <t>cos</t>
    </r>
    <r>
      <rPr>
        <i/>
        <sz val="11"/>
        <rFont val="Times New Roman"/>
        <family val="1"/>
      </rPr>
      <t>φ</t>
    </r>
    <r>
      <rPr>
        <sz val="11"/>
        <rFont val="Times New Roman"/>
        <family val="1"/>
      </rPr>
      <t>=1</t>
    </r>
    <phoneticPr fontId="69" type="noConversion"/>
  </si>
  <si>
    <r>
      <t>cos</t>
    </r>
    <r>
      <rPr>
        <i/>
        <sz val="11"/>
        <rFont val="Times New Roman"/>
        <family val="1"/>
      </rPr>
      <t>φ</t>
    </r>
    <r>
      <rPr>
        <sz val="11"/>
        <rFont val="Times New Roman"/>
        <family val="1"/>
      </rPr>
      <t>=0.5L</t>
    </r>
    <phoneticPr fontId="69" type="noConversion"/>
  </si>
  <si>
    <r>
      <t>cos</t>
    </r>
    <r>
      <rPr>
        <i/>
        <sz val="11"/>
        <rFont val="Times New Roman"/>
        <family val="1"/>
      </rPr>
      <t>φ</t>
    </r>
    <r>
      <rPr>
        <sz val="11"/>
        <rFont val="Times New Roman"/>
        <family val="1"/>
      </rPr>
      <t>=0.8C</t>
    </r>
    <phoneticPr fontId="69" type="noConversion"/>
  </si>
  <si>
    <t>平均值</t>
    <phoneticPr fontId="69" type="noConversion"/>
  </si>
  <si>
    <r>
      <t>I</t>
    </r>
    <r>
      <rPr>
        <vertAlign val="subscript"/>
        <sz val="11"/>
        <rFont val="Times New Roman"/>
        <family val="1"/>
      </rPr>
      <t>max</t>
    </r>
    <phoneticPr fontId="69" type="noConversion"/>
  </si>
  <si>
    <t>-0.0276</t>
    <phoneticPr fontId="69" type="noConversion"/>
  </si>
  <si>
    <t>-0.0241</t>
    <phoneticPr fontId="69" type="noConversion"/>
  </si>
  <si>
    <t>-0.0259</t>
    <phoneticPr fontId="69" type="noConversion"/>
  </si>
  <si>
    <t>-0.0267</t>
    <phoneticPr fontId="69" type="noConversion"/>
  </si>
  <si>
    <t>-0.0250</t>
    <phoneticPr fontId="69" type="noConversion"/>
  </si>
  <si>
    <r>
      <t>0.5</t>
    </r>
    <r>
      <rPr>
        <i/>
        <sz val="11"/>
        <rFont val="Times New Roman"/>
        <family val="1"/>
      </rPr>
      <t>I</t>
    </r>
    <r>
      <rPr>
        <vertAlign val="subscript"/>
        <sz val="11"/>
        <rFont val="Times New Roman"/>
        <family val="1"/>
      </rPr>
      <t>max</t>
    </r>
    <phoneticPr fontId="69" type="noConversion"/>
  </si>
  <si>
    <t>-0.0200</t>
    <phoneticPr fontId="69" type="noConversion"/>
  </si>
  <si>
    <t>0.0000</t>
    <phoneticPr fontId="69" type="noConversion"/>
  </si>
  <si>
    <t>-0.0333</t>
    <phoneticPr fontId="69" type="noConversion"/>
  </si>
  <si>
    <t>-0.0292</t>
    <phoneticPr fontId="69" type="noConversion"/>
  </si>
  <si>
    <r>
      <t>I</t>
    </r>
    <r>
      <rPr>
        <i/>
        <vertAlign val="subscript"/>
        <sz val="11"/>
        <rFont val="Times New Roman"/>
        <family val="1"/>
      </rPr>
      <t>b</t>
    </r>
    <phoneticPr fontId="69" type="noConversion"/>
  </si>
  <si>
    <t>-0.0125</t>
    <phoneticPr fontId="69" type="noConversion"/>
  </si>
  <si>
    <t>0.0500</t>
    <phoneticPr fontId="69" type="noConversion"/>
  </si>
  <si>
    <t>-0.0500</t>
    <phoneticPr fontId="69" type="noConversion"/>
  </si>
  <si>
    <t>-0.0417</t>
    <phoneticPr fontId="69" type="noConversion"/>
  </si>
  <si>
    <r>
      <t>0.2</t>
    </r>
    <r>
      <rPr>
        <i/>
        <sz val="11"/>
        <rFont val="Times New Roman"/>
        <family val="1"/>
      </rPr>
      <t>I</t>
    </r>
    <r>
      <rPr>
        <vertAlign val="subscript"/>
        <sz val="11"/>
        <rFont val="Times New Roman"/>
        <family val="1"/>
      </rPr>
      <t>b</t>
    </r>
    <phoneticPr fontId="69" type="noConversion"/>
  </si>
  <si>
    <t>--</t>
    <phoneticPr fontId="69" type="noConversion"/>
  </si>
  <si>
    <t>0.1001</t>
    <phoneticPr fontId="69" type="noConversion"/>
  </si>
  <si>
    <t>-0.2991</t>
    <phoneticPr fontId="69" type="noConversion"/>
  </si>
  <si>
    <t>-0.0995</t>
    <phoneticPr fontId="69" type="noConversion"/>
  </si>
  <si>
    <r>
      <t>0.1</t>
    </r>
    <r>
      <rPr>
        <i/>
        <sz val="11"/>
        <rFont val="Times New Roman"/>
        <family val="1"/>
      </rPr>
      <t>I</t>
    </r>
    <r>
      <rPr>
        <vertAlign val="subscript"/>
        <sz val="11"/>
        <rFont val="Times New Roman"/>
        <family val="1"/>
      </rPr>
      <t>b</t>
    </r>
    <phoneticPr fontId="69" type="noConversion"/>
  </si>
  <si>
    <t>0.0501</t>
    <phoneticPr fontId="69" type="noConversion"/>
  </si>
  <si>
    <t>-0.0999</t>
    <phoneticPr fontId="69" type="noConversion"/>
  </si>
  <si>
    <r>
      <t>0.05</t>
    </r>
    <r>
      <rPr>
        <i/>
        <sz val="11"/>
        <rFont val="Times New Roman"/>
        <family val="1"/>
      </rPr>
      <t>I</t>
    </r>
    <r>
      <rPr>
        <vertAlign val="subscript"/>
        <sz val="11"/>
        <rFont val="Times New Roman"/>
        <family val="1"/>
      </rPr>
      <t>b</t>
    </r>
    <phoneticPr fontId="69" type="noConversion"/>
  </si>
  <si>
    <t>不平衡负载 基本误差/%</t>
    <phoneticPr fontId="69" type="noConversion"/>
  </si>
  <si>
    <r>
      <t>A</t>
    </r>
    <r>
      <rPr>
        <sz val="11"/>
        <rFont val="宋体"/>
        <family val="3"/>
        <charset val="134"/>
      </rPr>
      <t>相</t>
    </r>
    <phoneticPr fontId="69" type="noConversion"/>
  </si>
  <si>
    <r>
      <t>B</t>
    </r>
    <r>
      <rPr>
        <sz val="11"/>
        <rFont val="宋体"/>
        <family val="3"/>
        <charset val="134"/>
      </rPr>
      <t>相</t>
    </r>
    <phoneticPr fontId="69" type="noConversion"/>
  </si>
  <si>
    <r>
      <t>C</t>
    </r>
    <r>
      <rPr>
        <sz val="11"/>
        <rFont val="宋体"/>
        <family val="3"/>
        <charset val="134"/>
      </rPr>
      <t>相</t>
    </r>
    <phoneticPr fontId="69" type="noConversion"/>
  </si>
  <si>
    <r>
      <t>cos</t>
    </r>
    <r>
      <rPr>
        <i/>
        <sz val="11"/>
        <rFont val="Times New Roman"/>
        <family val="1"/>
      </rPr>
      <t>θ</t>
    </r>
    <r>
      <rPr>
        <sz val="11"/>
        <rFont val="Times New Roman"/>
        <family val="1"/>
      </rPr>
      <t>=1</t>
    </r>
    <phoneticPr fontId="69" type="noConversion"/>
  </si>
  <si>
    <t>0.0100</t>
    <phoneticPr fontId="69" type="noConversion"/>
  </si>
  <si>
    <t>0.0050</t>
    <phoneticPr fontId="69" type="noConversion"/>
  </si>
  <si>
    <t>-0.0400</t>
    <phoneticPr fontId="69" type="noConversion"/>
  </si>
  <si>
    <t>0.0333</t>
    <phoneticPr fontId="69" type="noConversion"/>
  </si>
  <si>
    <t>0.0167</t>
    <phoneticPr fontId="69" type="noConversion"/>
  </si>
  <si>
    <t>-0.0666</t>
    <phoneticPr fontId="69" type="noConversion"/>
  </si>
  <si>
    <r>
      <t>cos</t>
    </r>
    <r>
      <rPr>
        <i/>
        <sz val="11"/>
        <rFont val="Times New Roman"/>
        <family val="1"/>
      </rPr>
      <t>θ</t>
    </r>
    <r>
      <rPr>
        <sz val="11"/>
        <rFont val="Times New Roman"/>
        <family val="1"/>
      </rPr>
      <t>=0.5L</t>
    </r>
    <phoneticPr fontId="69" type="noConversion"/>
  </si>
  <si>
    <t>-0.0600</t>
    <phoneticPr fontId="69" type="noConversion"/>
  </si>
  <si>
    <t>0.0600</t>
    <phoneticPr fontId="69" type="noConversion"/>
  </si>
  <si>
    <t>0.0801</t>
    <phoneticPr fontId="69" type="noConversion"/>
  </si>
  <si>
    <t>0.0701</t>
    <phoneticPr fontId="69" type="noConversion"/>
  </si>
  <si>
    <t>0.1502</t>
    <phoneticPr fontId="69" type="noConversion"/>
  </si>
  <si>
    <t>0.1252</t>
    <phoneticPr fontId="69" type="noConversion"/>
  </si>
  <si>
    <t>0.3009</t>
    <phoneticPr fontId="69" type="noConversion"/>
  </si>
  <si>
    <t>0.2004</t>
    <phoneticPr fontId="69" type="noConversion"/>
  </si>
  <si>
    <t>0.2507</t>
    <phoneticPr fontId="69" type="noConversion"/>
  </si>
  <si>
    <r>
      <t>负载电流</t>
    </r>
    <r>
      <rPr>
        <sz val="11"/>
        <rFont val="Times New Roman"/>
        <family val="1"/>
      </rPr>
      <t xml:space="preserve"> </t>
    </r>
    <r>
      <rPr>
        <i/>
        <sz val="11"/>
        <rFont val="Times New Roman"/>
        <family val="1"/>
      </rPr>
      <t>I</t>
    </r>
    <r>
      <rPr>
        <vertAlign val="subscript"/>
        <sz val="11"/>
        <rFont val="Times New Roman"/>
        <family val="1"/>
      </rPr>
      <t>b</t>
    </r>
    <r>
      <rPr>
        <sz val="11"/>
        <rFont val="Times New Roman"/>
        <family val="1"/>
      </rPr>
      <t xml:space="preserve"> cos</t>
    </r>
    <r>
      <rPr>
        <i/>
        <sz val="11"/>
        <rFont val="Times New Roman"/>
        <family val="1"/>
      </rPr>
      <t>φ</t>
    </r>
    <r>
      <rPr>
        <sz val="11"/>
        <rFont val="Times New Roman"/>
        <family val="1"/>
      </rPr>
      <t>/cos</t>
    </r>
    <r>
      <rPr>
        <i/>
        <sz val="11"/>
        <rFont val="Times New Roman"/>
        <family val="1"/>
      </rPr>
      <t>θ</t>
    </r>
    <r>
      <rPr>
        <sz val="11"/>
        <rFont val="Times New Roman"/>
        <family val="1"/>
      </rPr>
      <t xml:space="preserve">=1 </t>
    </r>
    <r>
      <rPr>
        <sz val="11"/>
        <rFont val="宋体"/>
        <family val="3"/>
        <charset val="134"/>
      </rPr>
      <t>不平衡负载与平衡负载时误差之差</t>
    </r>
    <r>
      <rPr>
        <sz val="11"/>
        <rFont val="Times New Roman"/>
        <family val="1"/>
      </rPr>
      <t>/%</t>
    </r>
    <phoneticPr fontId="69" type="noConversion"/>
  </si>
  <si>
    <t>+0.0292</t>
    <phoneticPr fontId="69" type="noConversion"/>
  </si>
  <si>
    <t>-0.0375</t>
    <phoneticPr fontId="69" type="noConversion"/>
  </si>
  <si>
    <t>+0.0125</t>
    <phoneticPr fontId="69" type="noConversion"/>
  </si>
  <si>
    <r>
      <t>第</t>
    </r>
    <r>
      <rPr>
        <sz val="10"/>
        <rFont val="Times New Roman"/>
        <family val="1"/>
      </rPr>
      <t>3</t>
    </r>
    <r>
      <rPr>
        <sz val="10"/>
        <rFont val="宋体"/>
        <family val="3"/>
        <charset val="134"/>
      </rPr>
      <t>页</t>
    </r>
    <r>
      <rPr>
        <sz val="10"/>
        <rFont val="Times New Roman"/>
        <family val="1"/>
      </rPr>
      <t xml:space="preserve"> </t>
    </r>
    <r>
      <rPr>
        <sz val="10"/>
        <rFont val="宋体"/>
        <family val="3"/>
        <charset val="134"/>
      </rPr>
      <t>共</t>
    </r>
    <r>
      <rPr>
        <sz val="10"/>
        <rFont val="Times New Roman"/>
        <family val="1"/>
      </rPr>
      <t>5</t>
    </r>
    <r>
      <rPr>
        <sz val="10"/>
        <rFont val="宋体"/>
        <family val="3"/>
        <charset val="134"/>
      </rPr>
      <t>页</t>
    </r>
    <phoneticPr fontId="69" type="noConversion"/>
  </si>
  <si>
    <r>
      <t>单相</t>
    </r>
    <r>
      <rPr>
        <sz val="11"/>
        <rFont val="Times New Roman"/>
        <family val="1"/>
      </rPr>
      <t>/</t>
    </r>
    <r>
      <rPr>
        <sz val="11"/>
        <rFont val="宋体"/>
        <family val="3"/>
        <charset val="134"/>
      </rPr>
      <t>三相平衡负载</t>
    </r>
    <r>
      <rPr>
        <sz val="11"/>
        <rFont val="Times New Roman"/>
        <family val="1"/>
      </rPr>
      <t xml:space="preserve"> </t>
    </r>
    <r>
      <rPr>
        <sz val="11"/>
        <rFont val="宋体"/>
        <family val="3"/>
        <charset val="134"/>
      </rPr>
      <t>基本误差</t>
    </r>
    <r>
      <rPr>
        <sz val="11"/>
        <rFont val="Times New Roman"/>
        <family val="1"/>
      </rPr>
      <t>/%</t>
    </r>
    <phoneticPr fontId="69" type="noConversion"/>
  </si>
  <si>
    <t>-0.1309</t>
    <phoneticPr fontId="69" type="noConversion"/>
  </si>
  <si>
    <t>-0.0517</t>
    <phoneticPr fontId="69" type="noConversion"/>
  </si>
  <si>
    <t>-0.0913</t>
    <phoneticPr fontId="69" type="noConversion"/>
  </si>
  <si>
    <t>-0.0541</t>
    <phoneticPr fontId="69" type="noConversion"/>
  </si>
  <si>
    <t>-0.1996</t>
    <phoneticPr fontId="69" type="noConversion"/>
  </si>
  <si>
    <t>-0.1269</t>
    <phoneticPr fontId="69" type="noConversion"/>
  </si>
  <si>
    <t>-0.0067</t>
    <phoneticPr fontId="69" type="noConversion"/>
  </si>
  <si>
    <t>-0.0133</t>
    <phoneticPr fontId="69" type="noConversion"/>
  </si>
  <si>
    <t>-0.0100</t>
    <phoneticPr fontId="69" type="noConversion"/>
  </si>
  <si>
    <t>0.0125</t>
    <phoneticPr fontId="69" type="noConversion"/>
  </si>
  <si>
    <t>0.0250</t>
    <phoneticPr fontId="69" type="noConversion"/>
  </si>
  <si>
    <t>0.0188</t>
    <phoneticPr fontId="69" type="noConversion"/>
  </si>
  <si>
    <t>-0.0167</t>
    <phoneticPr fontId="69" type="noConversion"/>
  </si>
  <si>
    <t>-0.0209</t>
    <phoneticPr fontId="69" type="noConversion"/>
  </si>
  <si>
    <t>-0.0063</t>
    <phoneticPr fontId="69" type="noConversion"/>
  </si>
  <si>
    <r>
      <t>不平衡负载</t>
    </r>
    <r>
      <rPr>
        <sz val="11"/>
        <rFont val="Times New Roman"/>
        <family val="1"/>
      </rPr>
      <t xml:space="preserve"> </t>
    </r>
    <r>
      <rPr>
        <sz val="11"/>
        <rFont val="宋体"/>
        <family val="3"/>
        <charset val="134"/>
      </rPr>
      <t>基本误差</t>
    </r>
    <r>
      <rPr>
        <sz val="11"/>
        <rFont val="Times New Roman"/>
        <family val="1"/>
      </rPr>
      <t>/%</t>
    </r>
    <phoneticPr fontId="69" type="noConversion"/>
  </si>
  <si>
    <t>-0.0550</t>
    <phoneticPr fontId="69" type="noConversion"/>
  </si>
  <si>
    <t>-0.0050</t>
    <phoneticPr fontId="69" type="noConversion"/>
  </si>
  <si>
    <t>0.0400</t>
    <phoneticPr fontId="69" type="noConversion"/>
  </si>
  <si>
    <t>0.0751</t>
    <phoneticPr fontId="69" type="noConversion"/>
  </si>
  <si>
    <t>+0.0063</t>
    <phoneticPr fontId="69" type="noConversion"/>
  </si>
  <si>
    <t>-0.0270</t>
    <phoneticPr fontId="69" type="noConversion"/>
  </si>
  <si>
    <r>
      <t xml:space="preserve">C) </t>
    </r>
    <r>
      <rPr>
        <sz val="12"/>
        <rFont val="宋体"/>
        <family val="3"/>
        <charset val="134"/>
      </rPr>
      <t>正向无功</t>
    </r>
    <phoneticPr fontId="69" type="noConversion"/>
  </si>
  <si>
    <r>
      <t>sin</t>
    </r>
    <r>
      <rPr>
        <i/>
        <sz val="11"/>
        <rFont val="Times New Roman"/>
        <family val="1"/>
      </rPr>
      <t>φ</t>
    </r>
    <r>
      <rPr>
        <sz val="11"/>
        <rFont val="Times New Roman"/>
        <family val="1"/>
      </rPr>
      <t>=1</t>
    </r>
    <phoneticPr fontId="69" type="noConversion"/>
  </si>
  <si>
    <r>
      <t>sin</t>
    </r>
    <r>
      <rPr>
        <i/>
        <sz val="11"/>
        <rFont val="Times New Roman"/>
        <family val="1"/>
      </rPr>
      <t>φ</t>
    </r>
    <r>
      <rPr>
        <sz val="11"/>
        <rFont val="Times New Roman"/>
        <family val="1"/>
      </rPr>
      <t>=0.5L</t>
    </r>
    <phoneticPr fontId="69" type="noConversion"/>
  </si>
  <si>
    <r>
      <t>sin</t>
    </r>
    <r>
      <rPr>
        <i/>
        <sz val="11"/>
        <rFont val="Times New Roman"/>
        <family val="1"/>
      </rPr>
      <t>φ</t>
    </r>
    <r>
      <rPr>
        <sz val="11"/>
        <rFont val="Times New Roman"/>
        <family val="1"/>
      </rPr>
      <t>=0.5C</t>
    </r>
    <phoneticPr fontId="69" type="noConversion"/>
  </si>
  <si>
    <t>0.7760</t>
    <phoneticPr fontId="69" type="noConversion"/>
  </si>
  <si>
    <t>0.3760</t>
    <phoneticPr fontId="69" type="noConversion"/>
  </si>
  <si>
    <t>-1.4325</t>
    <phoneticPr fontId="69" type="noConversion"/>
  </si>
  <si>
    <t>-0.5371</t>
    <phoneticPr fontId="69" type="noConversion"/>
  </si>
  <si>
    <t>-0.9848</t>
    <phoneticPr fontId="69" type="noConversion"/>
  </si>
  <si>
    <t>1.1122</t>
    <phoneticPr fontId="69" type="noConversion"/>
  </si>
  <si>
    <t>1.0441</t>
    <phoneticPr fontId="69" type="noConversion"/>
  </si>
  <si>
    <t>1.0782</t>
    <phoneticPr fontId="69" type="noConversion"/>
  </si>
  <si>
    <t>-1.2833</t>
    <phoneticPr fontId="69" type="noConversion"/>
  </si>
  <si>
    <t>-0.6483</t>
    <phoneticPr fontId="69" type="noConversion"/>
  </si>
  <si>
    <t>-0.0625</t>
    <phoneticPr fontId="69" type="noConversion"/>
  </si>
  <si>
    <t>-0.0563</t>
    <phoneticPr fontId="69" type="noConversion"/>
  </si>
  <si>
    <t>-0.0749</t>
    <phoneticPr fontId="69" type="noConversion"/>
  </si>
  <si>
    <t>0.0626</t>
    <phoneticPr fontId="69" type="noConversion"/>
  </si>
  <si>
    <t>0.1503</t>
    <phoneticPr fontId="69" type="noConversion"/>
  </si>
  <si>
    <r>
      <t>sin</t>
    </r>
    <r>
      <rPr>
        <i/>
        <sz val="12"/>
        <rFont val="Times New Roman"/>
        <family val="1"/>
      </rPr>
      <t>φ</t>
    </r>
    <r>
      <rPr>
        <sz val="12"/>
        <rFont val="Times New Roman"/>
        <family val="1"/>
      </rPr>
      <t>=0.25L</t>
    </r>
    <phoneticPr fontId="69" type="noConversion"/>
  </si>
  <si>
    <r>
      <t>sin</t>
    </r>
    <r>
      <rPr>
        <i/>
        <sz val="12"/>
        <rFont val="Times New Roman"/>
        <family val="1"/>
      </rPr>
      <t>φ</t>
    </r>
    <r>
      <rPr>
        <sz val="12"/>
        <rFont val="Times New Roman"/>
        <family val="1"/>
      </rPr>
      <t>=0.25C</t>
    </r>
    <phoneticPr fontId="69" type="noConversion"/>
  </si>
  <si>
    <r>
      <t>I</t>
    </r>
    <r>
      <rPr>
        <vertAlign val="subscript"/>
        <sz val="11"/>
        <rFont val="Times New Roman"/>
        <family val="1"/>
      </rPr>
      <t>b</t>
    </r>
    <phoneticPr fontId="69" type="noConversion"/>
  </si>
  <si>
    <r>
      <t>sin</t>
    </r>
    <r>
      <rPr>
        <i/>
        <sz val="11"/>
        <rFont val="Times New Roman"/>
        <family val="1"/>
      </rPr>
      <t>θ</t>
    </r>
    <r>
      <rPr>
        <sz val="11"/>
        <rFont val="Times New Roman"/>
        <family val="1"/>
      </rPr>
      <t>=1</t>
    </r>
    <phoneticPr fontId="69" type="noConversion"/>
  </si>
  <si>
    <t>-0.0998</t>
    <phoneticPr fontId="69" type="noConversion"/>
  </si>
  <si>
    <r>
      <t>sin</t>
    </r>
    <r>
      <rPr>
        <i/>
        <sz val="11"/>
        <rFont val="Times New Roman"/>
        <family val="1"/>
      </rPr>
      <t>θ</t>
    </r>
    <r>
      <rPr>
        <sz val="11"/>
        <rFont val="Times New Roman"/>
        <family val="1"/>
      </rPr>
      <t>=0.5L</t>
    </r>
    <phoneticPr fontId="69" type="noConversion"/>
  </si>
  <si>
    <t>-0.4579</t>
    <phoneticPr fontId="69" type="noConversion"/>
  </si>
  <si>
    <t>-0.3190</t>
    <phoneticPr fontId="69" type="noConversion"/>
  </si>
  <si>
    <t>-0.3885</t>
    <phoneticPr fontId="69" type="noConversion"/>
  </si>
  <si>
    <t>-0.0750</t>
    <phoneticPr fontId="69" type="noConversion"/>
  </si>
  <si>
    <r>
      <t>sin</t>
    </r>
    <r>
      <rPr>
        <i/>
        <sz val="11"/>
        <rFont val="Times New Roman"/>
        <family val="1"/>
      </rPr>
      <t>θ</t>
    </r>
    <r>
      <rPr>
        <sz val="11"/>
        <rFont val="Times New Roman"/>
        <family val="1"/>
      </rPr>
      <t>=0.5C</t>
    </r>
    <phoneticPr fontId="69" type="noConversion"/>
  </si>
  <si>
    <r>
      <t>负载电流</t>
    </r>
    <r>
      <rPr>
        <i/>
        <sz val="11"/>
        <rFont val="Times New Roman"/>
        <family val="1"/>
      </rPr>
      <t xml:space="preserve"> I</t>
    </r>
    <r>
      <rPr>
        <vertAlign val="subscript"/>
        <sz val="11"/>
        <rFont val="Times New Roman"/>
        <family val="1"/>
      </rPr>
      <t>b</t>
    </r>
    <r>
      <rPr>
        <sz val="11"/>
        <rFont val="Times New Roman"/>
        <family val="1"/>
      </rPr>
      <t xml:space="preserve"> sin</t>
    </r>
    <r>
      <rPr>
        <i/>
        <sz val="11"/>
        <rFont val="Times New Roman"/>
        <family val="1"/>
      </rPr>
      <t>φ</t>
    </r>
    <r>
      <rPr>
        <sz val="11"/>
        <rFont val="Times New Roman"/>
        <family val="1"/>
      </rPr>
      <t>/sin</t>
    </r>
    <r>
      <rPr>
        <i/>
        <sz val="11"/>
        <rFont val="Times New Roman"/>
        <family val="1"/>
      </rPr>
      <t>θ</t>
    </r>
    <r>
      <rPr>
        <sz val="11"/>
        <rFont val="Times New Roman"/>
        <family val="1"/>
      </rPr>
      <t xml:space="preserve">=1 </t>
    </r>
    <r>
      <rPr>
        <sz val="11"/>
        <rFont val="宋体"/>
        <family val="3"/>
        <charset val="134"/>
      </rPr>
      <t>不平衡负载与平衡负载时误差之差</t>
    </r>
    <r>
      <rPr>
        <sz val="11"/>
        <rFont val="Times New Roman"/>
        <family val="1"/>
      </rPr>
      <t>/%</t>
    </r>
    <phoneticPr fontId="69" type="noConversion"/>
  </si>
  <si>
    <t>+0.0230</t>
    <phoneticPr fontId="69" type="noConversion"/>
  </si>
  <si>
    <r>
      <t xml:space="preserve">D) </t>
    </r>
    <r>
      <rPr>
        <sz val="12"/>
        <rFont val="宋体"/>
        <family val="3"/>
        <charset val="134"/>
      </rPr>
      <t>反向无功</t>
    </r>
    <phoneticPr fontId="69" type="noConversion"/>
  </si>
  <si>
    <t>-0.0207</t>
    <phoneticPr fontId="69" type="noConversion"/>
  </si>
  <si>
    <t>-0.5470</t>
    <phoneticPr fontId="69" type="noConversion"/>
  </si>
  <si>
    <t>-0.2839</t>
    <phoneticPr fontId="69" type="noConversion"/>
  </si>
  <si>
    <t>-0.0234</t>
    <phoneticPr fontId="69" type="noConversion"/>
  </si>
  <si>
    <t>0.2138</t>
    <phoneticPr fontId="69" type="noConversion"/>
  </si>
  <si>
    <t>0.0133</t>
    <phoneticPr fontId="69" type="noConversion"/>
  </si>
  <si>
    <t>0.1136</t>
    <phoneticPr fontId="69" type="noConversion"/>
  </si>
  <si>
    <t>-1.0127</t>
    <phoneticPr fontId="69" type="noConversion"/>
  </si>
  <si>
    <t>-0.5130</t>
    <phoneticPr fontId="69" type="noConversion"/>
  </si>
  <si>
    <t>-0.0438</t>
    <phoneticPr fontId="69" type="noConversion"/>
  </si>
  <si>
    <t>0.0063</t>
    <phoneticPr fontId="69" type="noConversion"/>
  </si>
  <si>
    <t>-0.1496</t>
    <phoneticPr fontId="69" type="noConversion"/>
  </si>
  <si>
    <t>-0.7543</t>
    <phoneticPr fontId="69" type="noConversion"/>
  </si>
  <si>
    <t>-0.6359</t>
    <phoneticPr fontId="69" type="noConversion"/>
  </si>
  <si>
    <t>-0.6951</t>
    <phoneticPr fontId="69" type="noConversion"/>
  </si>
  <si>
    <t>-0.0208</t>
    <phoneticPr fontId="69" type="noConversion"/>
  </si>
  <si>
    <t>--</t>
  </si>
  <si>
    <r>
      <t>负载电流</t>
    </r>
    <r>
      <rPr>
        <sz val="11"/>
        <rFont val="Times New Roman"/>
        <family val="1"/>
      </rPr>
      <t xml:space="preserve"> </t>
    </r>
    <r>
      <rPr>
        <i/>
        <sz val="11"/>
        <rFont val="Times New Roman"/>
        <family val="1"/>
      </rPr>
      <t>I</t>
    </r>
    <r>
      <rPr>
        <vertAlign val="subscript"/>
        <sz val="11"/>
        <rFont val="Times New Roman"/>
        <family val="1"/>
      </rPr>
      <t>n</t>
    </r>
    <r>
      <rPr>
        <sz val="11"/>
        <rFont val="Times New Roman"/>
        <family val="1"/>
      </rPr>
      <t xml:space="preserve"> cos</t>
    </r>
    <r>
      <rPr>
        <i/>
        <sz val="11"/>
        <rFont val="Times New Roman"/>
        <family val="1"/>
      </rPr>
      <t>φ</t>
    </r>
    <r>
      <rPr>
        <sz val="11"/>
        <rFont val="Times New Roman"/>
        <family val="1"/>
      </rPr>
      <t>/cos</t>
    </r>
    <r>
      <rPr>
        <i/>
        <sz val="11"/>
        <rFont val="Times New Roman"/>
        <family val="1"/>
      </rPr>
      <t>θ</t>
    </r>
    <r>
      <rPr>
        <sz val="11"/>
        <rFont val="Times New Roman"/>
        <family val="1"/>
      </rPr>
      <t xml:space="preserve">=1 </t>
    </r>
    <r>
      <rPr>
        <sz val="11"/>
        <rFont val="宋体"/>
        <family val="3"/>
        <charset val="134"/>
      </rPr>
      <t>不平衡负载与平衡负载时误差之差</t>
    </r>
    <r>
      <rPr>
        <sz val="11"/>
        <rFont val="Times New Roman"/>
        <family val="1"/>
      </rPr>
      <t>/%</t>
    </r>
    <phoneticPr fontId="31" type="noConversion"/>
  </si>
  <si>
    <t>算法同正向有功</t>
    <phoneticPr fontId="31" type="noConversion"/>
  </si>
  <si>
    <t>算法同正向有功</t>
    <phoneticPr fontId="31" type="noConversion"/>
  </si>
  <si>
    <r>
      <rPr>
        <sz val="12"/>
        <rFont val="宋体"/>
        <family val="3"/>
        <charset val="134"/>
      </rPr>
      <t>按</t>
    </r>
    <r>
      <rPr>
        <sz val="12"/>
        <rFont val="Times New Roman"/>
        <family val="1"/>
      </rPr>
      <t>0.1</t>
    </r>
    <r>
      <rPr>
        <sz val="12"/>
        <rFont val="宋体"/>
        <family val="3"/>
        <charset val="134"/>
      </rPr>
      <t>级修约，小数点后两位。</t>
    </r>
    <phoneticPr fontId="52" type="noConversion"/>
  </si>
  <si>
    <t>算法同互感器接入</t>
    <phoneticPr fontId="31" type="noConversion"/>
  </si>
  <si>
    <t>相线</t>
    <phoneticPr fontId="69" type="noConversion"/>
  </si>
  <si>
    <t>负载</t>
    <phoneticPr fontId="69" type="noConversion"/>
  </si>
  <si>
    <t>负载电流</t>
    <phoneticPr fontId="69" type="noConversion"/>
  </si>
  <si>
    <t>功率因数</t>
    <phoneticPr fontId="69" type="noConversion"/>
  </si>
  <si>
    <r>
      <rPr>
        <i/>
        <sz val="12"/>
        <rFont val="宋体"/>
        <family val="3"/>
        <charset val="134"/>
      </rPr>
      <t>U</t>
    </r>
    <r>
      <rPr>
        <sz val="6"/>
        <rFont val="宋体"/>
        <family val="3"/>
        <charset val="134"/>
      </rPr>
      <t>rel</t>
    </r>
    <r>
      <rPr>
        <sz val="12"/>
        <rFont val="宋体"/>
        <family val="3"/>
        <charset val="134"/>
      </rPr>
      <t>(</t>
    </r>
    <r>
      <rPr>
        <i/>
        <sz val="12"/>
        <rFont val="宋体"/>
        <family val="3"/>
        <charset val="134"/>
      </rPr>
      <t>k</t>
    </r>
    <r>
      <rPr>
        <sz val="12"/>
        <rFont val="宋体"/>
        <family val="3"/>
        <charset val="134"/>
      </rPr>
      <t>=2)</t>
    </r>
    <phoneticPr fontId="69" type="noConversion"/>
  </si>
  <si>
    <r>
      <t xml:space="preserve">单相 </t>
    </r>
    <r>
      <rPr>
        <sz val="12"/>
        <rFont val="宋体"/>
        <family val="3"/>
        <charset val="134"/>
      </rPr>
      <t xml:space="preserve"> </t>
    </r>
    <phoneticPr fontId="69" type="noConversion"/>
  </si>
  <si>
    <t>/</t>
    <phoneticPr fontId="69" type="noConversion"/>
  </si>
  <si>
    <t>0.5L、0.8C</t>
    <phoneticPr fontId="69" type="noConversion"/>
  </si>
  <si>
    <t>0.5C</t>
    <phoneticPr fontId="69" type="noConversion"/>
  </si>
  <si>
    <t>0.25L</t>
    <phoneticPr fontId="69" type="noConversion"/>
  </si>
  <si>
    <r>
      <t xml:space="preserve">三相四线 </t>
    </r>
    <r>
      <rPr>
        <sz val="12"/>
        <rFont val="宋体"/>
        <family val="3"/>
        <charset val="134"/>
      </rPr>
      <t xml:space="preserve"> </t>
    </r>
    <phoneticPr fontId="69" type="noConversion"/>
  </si>
  <si>
    <t>平衡负载</t>
    <phoneticPr fontId="69" type="noConversion"/>
  </si>
  <si>
    <r>
      <t>0.5L、0.8C、</t>
    </r>
    <r>
      <rPr>
        <sz val="12"/>
        <rFont val="宋体"/>
        <family val="3"/>
        <charset val="134"/>
      </rPr>
      <t>0.5C</t>
    </r>
    <phoneticPr fontId="69" type="noConversion"/>
  </si>
  <si>
    <t>不平衡负载</t>
    <phoneticPr fontId="69" type="noConversion"/>
  </si>
  <si>
    <r>
      <t xml:space="preserve">  </t>
    </r>
    <r>
      <rPr>
        <sz val="12"/>
        <rFont val="宋体"/>
        <family val="3"/>
        <charset val="134"/>
      </rPr>
      <t>2</t>
    </r>
    <r>
      <rPr>
        <sz val="12"/>
        <rFont val="宋体"/>
        <family val="3"/>
        <charset val="134"/>
      </rPr>
      <t>、校准结果的扩展不确定度</t>
    </r>
    <phoneticPr fontId="69" type="noConversion"/>
  </si>
  <si>
    <t>相线</t>
    <phoneticPr fontId="69" type="noConversion"/>
  </si>
  <si>
    <t>负载</t>
    <phoneticPr fontId="69" type="noConversion"/>
  </si>
  <si>
    <t>负载电流</t>
    <phoneticPr fontId="69" type="noConversion"/>
  </si>
  <si>
    <t>功率因数</t>
    <phoneticPr fontId="69" type="noConversion"/>
  </si>
  <si>
    <r>
      <rPr>
        <i/>
        <sz val="12"/>
        <rFont val="宋体"/>
        <family val="3"/>
        <charset val="134"/>
      </rPr>
      <t>U</t>
    </r>
    <r>
      <rPr>
        <sz val="6"/>
        <rFont val="宋体"/>
        <family val="3"/>
        <charset val="134"/>
      </rPr>
      <t>rel</t>
    </r>
    <r>
      <rPr>
        <sz val="12"/>
        <rFont val="宋体"/>
        <family val="3"/>
        <charset val="134"/>
      </rPr>
      <t>(</t>
    </r>
    <r>
      <rPr>
        <i/>
        <sz val="12"/>
        <rFont val="宋体"/>
        <family val="3"/>
        <charset val="134"/>
      </rPr>
      <t>k</t>
    </r>
    <r>
      <rPr>
        <sz val="12"/>
        <rFont val="宋体"/>
        <family val="3"/>
        <charset val="134"/>
      </rPr>
      <t>=2)</t>
    </r>
    <phoneticPr fontId="69" type="noConversion"/>
  </si>
  <si>
    <t>/</t>
    <phoneticPr fontId="69" type="noConversion"/>
  </si>
  <si>
    <r>
      <t>0.</t>
    </r>
    <r>
      <rPr>
        <sz val="12"/>
        <rFont val="宋体"/>
        <family val="3"/>
        <charset val="134"/>
      </rPr>
      <t>02</t>
    </r>
    <r>
      <rPr>
        <i/>
        <sz val="12"/>
        <rFont val="宋体"/>
        <family val="3"/>
        <charset val="134"/>
      </rPr>
      <t>I</t>
    </r>
    <r>
      <rPr>
        <vertAlign val="subscript"/>
        <sz val="12"/>
        <rFont val="宋体"/>
        <family val="3"/>
        <charset val="134"/>
      </rPr>
      <t>n</t>
    </r>
    <r>
      <rPr>
        <sz val="12"/>
        <rFont val="宋体"/>
        <family val="3"/>
        <charset val="134"/>
      </rPr>
      <t>～</t>
    </r>
    <r>
      <rPr>
        <i/>
        <sz val="12"/>
        <rFont val="宋体"/>
        <family val="3"/>
        <charset val="134"/>
      </rPr>
      <t>I</t>
    </r>
    <r>
      <rPr>
        <vertAlign val="subscript"/>
        <sz val="12"/>
        <rFont val="宋体"/>
        <family val="3"/>
        <charset val="134"/>
      </rPr>
      <t>max</t>
    </r>
    <phoneticPr fontId="69" type="noConversion"/>
  </si>
  <si>
    <r>
      <t>0.1</t>
    </r>
    <r>
      <rPr>
        <i/>
        <sz val="12"/>
        <rFont val="宋体"/>
        <family val="3"/>
        <charset val="134"/>
      </rPr>
      <t>I</t>
    </r>
    <r>
      <rPr>
        <vertAlign val="subscript"/>
        <sz val="12"/>
        <rFont val="宋体"/>
        <family val="3"/>
        <charset val="134"/>
      </rPr>
      <t>n</t>
    </r>
    <r>
      <rPr>
        <sz val="12"/>
        <rFont val="宋体"/>
        <family val="3"/>
        <charset val="134"/>
      </rPr>
      <t>～</t>
    </r>
    <r>
      <rPr>
        <i/>
        <sz val="12"/>
        <rFont val="宋体"/>
        <family val="3"/>
        <charset val="134"/>
      </rPr>
      <t>I</t>
    </r>
    <r>
      <rPr>
        <vertAlign val="subscript"/>
        <sz val="12"/>
        <rFont val="宋体"/>
        <family val="3"/>
        <charset val="134"/>
      </rPr>
      <t>max</t>
    </r>
    <phoneticPr fontId="69" type="noConversion"/>
  </si>
  <si>
    <t>0.25L</t>
    <phoneticPr fontId="69" type="noConversion"/>
  </si>
  <si>
    <r>
      <t xml:space="preserve">三相四线 </t>
    </r>
    <r>
      <rPr>
        <sz val="12"/>
        <rFont val="宋体"/>
        <family val="3"/>
        <charset val="134"/>
      </rPr>
      <t xml:space="preserve"> </t>
    </r>
    <phoneticPr fontId="69" type="noConversion"/>
  </si>
  <si>
    <t>平衡负载</t>
    <phoneticPr fontId="69" type="noConversion"/>
  </si>
  <si>
    <t>不平衡负载</t>
    <phoneticPr fontId="69" type="noConversion"/>
  </si>
  <si>
    <r>
      <t>0.05</t>
    </r>
    <r>
      <rPr>
        <i/>
        <sz val="12"/>
        <rFont val="宋体"/>
        <family val="3"/>
        <charset val="134"/>
      </rPr>
      <t>I</t>
    </r>
    <r>
      <rPr>
        <vertAlign val="subscript"/>
        <sz val="12"/>
        <rFont val="宋体"/>
        <family val="3"/>
        <charset val="134"/>
      </rPr>
      <t>n</t>
    </r>
    <r>
      <rPr>
        <sz val="12"/>
        <rFont val="宋体"/>
        <family val="3"/>
        <charset val="134"/>
      </rPr>
      <t>～</t>
    </r>
    <r>
      <rPr>
        <i/>
        <sz val="12"/>
        <rFont val="宋体"/>
        <family val="3"/>
        <charset val="134"/>
      </rPr>
      <t>I</t>
    </r>
    <r>
      <rPr>
        <vertAlign val="subscript"/>
        <sz val="12"/>
        <rFont val="宋体"/>
        <family val="3"/>
        <charset val="134"/>
      </rPr>
      <t>max</t>
    </r>
    <phoneticPr fontId="69" type="noConversion"/>
  </si>
  <si>
    <t xml:space="preserve">三相三线  </t>
    <phoneticPr fontId="69" type="noConversion"/>
  </si>
  <si>
    <r>
      <t>0.02</t>
    </r>
    <r>
      <rPr>
        <i/>
        <sz val="12"/>
        <rFont val="宋体"/>
        <family val="3"/>
        <charset val="134"/>
      </rPr>
      <t>I</t>
    </r>
    <r>
      <rPr>
        <vertAlign val="subscript"/>
        <sz val="12"/>
        <rFont val="宋体"/>
        <family val="3"/>
        <charset val="134"/>
      </rPr>
      <t>n</t>
    </r>
    <r>
      <rPr>
        <sz val="12"/>
        <rFont val="宋体"/>
        <family val="3"/>
        <charset val="134"/>
      </rPr>
      <t>～</t>
    </r>
    <r>
      <rPr>
        <i/>
        <sz val="12"/>
        <rFont val="宋体"/>
        <family val="3"/>
        <charset val="134"/>
      </rPr>
      <t>I</t>
    </r>
    <r>
      <rPr>
        <vertAlign val="subscript"/>
        <sz val="12"/>
        <rFont val="宋体"/>
        <family val="3"/>
        <charset val="134"/>
      </rPr>
      <t>max</t>
    </r>
    <phoneticPr fontId="69" type="noConversion"/>
  </si>
  <si>
    <r>
      <t xml:space="preserve">  </t>
    </r>
    <r>
      <rPr>
        <sz val="12"/>
        <rFont val="宋体"/>
        <family val="3"/>
        <charset val="134"/>
      </rPr>
      <t>2</t>
    </r>
    <r>
      <rPr>
        <sz val="12"/>
        <rFont val="宋体"/>
        <family val="3"/>
        <charset val="134"/>
      </rPr>
      <t>、校准结果的扩展不确定度</t>
    </r>
    <phoneticPr fontId="69" type="noConversion"/>
  </si>
  <si>
    <r>
      <t>0.05</t>
    </r>
    <r>
      <rPr>
        <i/>
        <sz val="12"/>
        <rFont val="宋体"/>
        <family val="3"/>
        <charset val="134"/>
      </rPr>
      <t>I</t>
    </r>
    <r>
      <rPr>
        <vertAlign val="subscript"/>
        <sz val="12"/>
        <rFont val="宋体"/>
        <family val="3"/>
        <charset val="134"/>
      </rPr>
      <t>b</t>
    </r>
    <r>
      <rPr>
        <sz val="12"/>
        <rFont val="宋体"/>
        <family val="3"/>
        <charset val="134"/>
      </rPr>
      <t>～</t>
    </r>
    <r>
      <rPr>
        <i/>
        <sz val="12"/>
        <rFont val="宋体"/>
        <family val="3"/>
        <charset val="134"/>
      </rPr>
      <t>I</t>
    </r>
    <r>
      <rPr>
        <vertAlign val="subscript"/>
        <sz val="12"/>
        <rFont val="宋体"/>
        <family val="3"/>
        <charset val="134"/>
      </rPr>
      <t>max</t>
    </r>
    <phoneticPr fontId="69" type="noConversion"/>
  </si>
  <si>
    <r>
      <t>0.1</t>
    </r>
    <r>
      <rPr>
        <i/>
        <sz val="12"/>
        <rFont val="宋体"/>
        <family val="3"/>
        <charset val="134"/>
      </rPr>
      <t>I</t>
    </r>
    <r>
      <rPr>
        <vertAlign val="subscript"/>
        <sz val="12"/>
        <rFont val="宋体"/>
        <family val="3"/>
        <charset val="134"/>
      </rPr>
      <t>b</t>
    </r>
    <r>
      <rPr>
        <sz val="12"/>
        <rFont val="宋体"/>
        <family val="3"/>
        <charset val="134"/>
      </rPr>
      <t>～</t>
    </r>
    <r>
      <rPr>
        <i/>
        <sz val="12"/>
        <rFont val="宋体"/>
        <family val="3"/>
        <charset val="134"/>
      </rPr>
      <t>I</t>
    </r>
    <r>
      <rPr>
        <vertAlign val="subscript"/>
        <sz val="12"/>
        <rFont val="宋体"/>
        <family val="3"/>
        <charset val="134"/>
      </rPr>
      <t>max</t>
    </r>
    <phoneticPr fontId="69" type="noConversion"/>
  </si>
  <si>
    <r>
      <t>0.2</t>
    </r>
    <r>
      <rPr>
        <i/>
        <sz val="12"/>
        <rFont val="宋体"/>
        <family val="3"/>
        <charset val="134"/>
      </rPr>
      <t>I</t>
    </r>
    <r>
      <rPr>
        <vertAlign val="subscript"/>
        <sz val="12"/>
        <rFont val="宋体"/>
        <family val="3"/>
        <charset val="134"/>
      </rPr>
      <t>b</t>
    </r>
    <r>
      <rPr>
        <sz val="12"/>
        <rFont val="宋体"/>
        <family val="3"/>
        <charset val="134"/>
      </rPr>
      <t>～</t>
    </r>
    <r>
      <rPr>
        <i/>
        <sz val="12"/>
        <rFont val="宋体"/>
        <family val="3"/>
        <charset val="134"/>
      </rPr>
      <t>I</t>
    </r>
    <r>
      <rPr>
        <vertAlign val="subscript"/>
        <sz val="12"/>
        <rFont val="宋体"/>
        <family val="3"/>
        <charset val="134"/>
      </rPr>
      <t>b</t>
    </r>
    <phoneticPr fontId="69" type="noConversion"/>
  </si>
  <si>
    <r>
      <t>0.</t>
    </r>
    <r>
      <rPr>
        <sz val="12"/>
        <rFont val="宋体"/>
        <family val="3"/>
        <charset val="134"/>
      </rPr>
      <t>1</t>
    </r>
    <r>
      <rPr>
        <i/>
        <sz val="12"/>
        <rFont val="宋体"/>
        <family val="3"/>
        <charset val="134"/>
      </rPr>
      <t>I</t>
    </r>
    <r>
      <rPr>
        <vertAlign val="subscript"/>
        <sz val="12"/>
        <rFont val="宋体"/>
        <family val="3"/>
        <charset val="134"/>
      </rPr>
      <t>b</t>
    </r>
    <r>
      <rPr>
        <sz val="12"/>
        <rFont val="宋体"/>
        <family val="3"/>
        <charset val="134"/>
      </rPr>
      <t>～</t>
    </r>
    <r>
      <rPr>
        <i/>
        <sz val="12"/>
        <rFont val="宋体"/>
        <family val="3"/>
        <charset val="134"/>
      </rPr>
      <t>I</t>
    </r>
    <r>
      <rPr>
        <vertAlign val="subscript"/>
        <sz val="12"/>
        <rFont val="宋体"/>
        <family val="3"/>
        <charset val="134"/>
      </rPr>
      <t>max</t>
    </r>
    <phoneticPr fontId="69" type="noConversion"/>
  </si>
  <si>
    <r>
      <t>0.</t>
    </r>
    <r>
      <rPr>
        <sz val="12"/>
        <rFont val="宋体"/>
        <family val="3"/>
        <charset val="134"/>
      </rPr>
      <t>2</t>
    </r>
    <r>
      <rPr>
        <i/>
        <sz val="12"/>
        <rFont val="宋体"/>
        <family val="3"/>
        <charset val="134"/>
      </rPr>
      <t>I</t>
    </r>
    <r>
      <rPr>
        <vertAlign val="subscript"/>
        <sz val="12"/>
        <rFont val="宋体"/>
        <family val="3"/>
        <charset val="134"/>
      </rPr>
      <t>b</t>
    </r>
    <r>
      <rPr>
        <sz val="12"/>
        <rFont val="宋体"/>
        <family val="3"/>
        <charset val="134"/>
      </rPr>
      <t>～</t>
    </r>
    <r>
      <rPr>
        <i/>
        <sz val="12"/>
        <rFont val="宋体"/>
        <family val="3"/>
        <charset val="134"/>
      </rPr>
      <t>I</t>
    </r>
    <r>
      <rPr>
        <vertAlign val="subscript"/>
        <sz val="12"/>
        <rFont val="宋体"/>
        <family val="3"/>
        <charset val="134"/>
      </rPr>
      <t>max</t>
    </r>
    <phoneticPr fontId="69" type="noConversion"/>
  </si>
  <si>
    <r>
      <t>0.5L</t>
    </r>
    <r>
      <rPr>
        <sz val="11"/>
        <rFont val="宋体"/>
        <family val="3"/>
        <charset val="134"/>
      </rPr>
      <t/>
    </r>
    <phoneticPr fontId="69" type="noConversion"/>
  </si>
  <si>
    <t xml:space="preserve">三相三线  </t>
    <phoneticPr fontId="69" type="noConversion"/>
  </si>
  <si>
    <t>校准结果的不确定度
Urel(%)（k=2）</t>
    <phoneticPr fontId="31" type="noConversion"/>
  </si>
  <si>
    <t>检定证书一般4位</t>
    <phoneticPr fontId="31" type="noConversion"/>
  </si>
  <si>
    <t>检定校准</t>
    <phoneticPr fontId="31" type="noConversion"/>
  </si>
  <si>
    <t>校准证书</t>
    <phoneticPr fontId="31" type="noConversion"/>
  </si>
  <si>
    <t>小数点位数一般4位</t>
    <phoneticPr fontId="31" type="noConversion"/>
  </si>
  <si>
    <t>频率</t>
    <phoneticPr fontId="2" type="noConversion"/>
  </si>
  <si>
    <t>被试变送器所测量线路的相关参数</t>
    <phoneticPr fontId="69" type="noConversion"/>
  </si>
  <si>
    <t>电压互感器变比:</t>
    <phoneticPr fontId="69" type="noConversion"/>
  </si>
  <si>
    <t>kV</t>
    <phoneticPr fontId="69" type="noConversion"/>
  </si>
  <si>
    <t>/</t>
    <phoneticPr fontId="69" type="noConversion"/>
  </si>
  <si>
    <t>V</t>
    <phoneticPr fontId="69" type="noConversion"/>
  </si>
  <si>
    <t>被试变送器的相关参数及配置</t>
    <phoneticPr fontId="69" type="noConversion"/>
  </si>
  <si>
    <r>
      <t xml:space="preserve">测    试   </t>
    </r>
    <r>
      <rPr>
        <sz val="11"/>
        <rFont val="宋体"/>
        <family val="3"/>
        <charset val="134"/>
      </rPr>
      <t>量：</t>
    </r>
    <phoneticPr fontId="69" type="noConversion"/>
  </si>
  <si>
    <t>频率</t>
    <phoneticPr fontId="69" type="noConversion"/>
  </si>
  <si>
    <t>变送器输入范围：</t>
    <phoneticPr fontId="69" type="noConversion"/>
  </si>
  <si>
    <t>(</t>
    <phoneticPr fontId="69" type="noConversion"/>
  </si>
  <si>
    <t>~</t>
    <phoneticPr fontId="69" type="noConversion"/>
  </si>
  <si>
    <t>)</t>
    <phoneticPr fontId="69" type="noConversion"/>
  </si>
  <si>
    <t>Hz</t>
    <phoneticPr fontId="69" type="noConversion"/>
  </si>
  <si>
    <t>变送器输出范围：</t>
    <phoneticPr fontId="69" type="noConversion"/>
  </si>
  <si>
    <t>(</t>
    <phoneticPr fontId="69" type="noConversion"/>
  </si>
  <si>
    <r>
      <t>m</t>
    </r>
    <r>
      <rPr>
        <sz val="11"/>
        <rFont val="宋体"/>
        <family val="3"/>
        <charset val="134"/>
      </rPr>
      <t>A</t>
    </r>
    <phoneticPr fontId="69" type="noConversion"/>
  </si>
  <si>
    <t>被试变送器在测量屏上的标识：</t>
    <phoneticPr fontId="69" type="noConversion"/>
  </si>
  <si>
    <t>检 定 结 果</t>
    <phoneticPr fontId="69" type="noConversion"/>
  </si>
  <si>
    <t>U</t>
    <phoneticPr fontId="69" type="noConversion"/>
  </si>
  <si>
    <t>n</t>
    <phoneticPr fontId="69" type="noConversion"/>
  </si>
  <si>
    <t>=</t>
    <phoneticPr fontId="69" type="noConversion"/>
  </si>
  <si>
    <t>修约方式</t>
    <phoneticPr fontId="69" type="noConversion"/>
  </si>
  <si>
    <t>测试量</t>
    <phoneticPr fontId="69" type="noConversion"/>
  </si>
  <si>
    <t>等级</t>
    <phoneticPr fontId="69" type="noConversion"/>
  </si>
  <si>
    <t>测量点</t>
    <phoneticPr fontId="69" type="noConversion"/>
  </si>
  <si>
    <t>二次输入标准值
(Hz)</t>
    <phoneticPr fontId="69" type="noConversion"/>
  </si>
  <si>
    <t>标准输出值
(mA)</t>
    <phoneticPr fontId="69" type="noConversion"/>
  </si>
  <si>
    <t>实际输出值
(mA)</t>
    <phoneticPr fontId="69" type="noConversion"/>
  </si>
  <si>
    <t>引用误差
(%)</t>
    <phoneticPr fontId="69" type="noConversion"/>
  </si>
  <si>
    <t>f</t>
    <phoneticPr fontId="69" type="noConversion"/>
  </si>
  <si>
    <t>H</t>
    <phoneticPr fontId="69" type="noConversion"/>
  </si>
  <si>
    <t>z</t>
    <phoneticPr fontId="69" type="noConversion"/>
  </si>
  <si>
    <r>
      <t>电压：对应U</t>
    </r>
    <r>
      <rPr>
        <sz val="11"/>
        <rFont val="宋体"/>
        <family val="3"/>
        <charset val="134"/>
      </rPr>
      <t>,单位V</t>
    </r>
    <phoneticPr fontId="69" type="noConversion"/>
  </si>
  <si>
    <r>
      <t>电流：对应I</t>
    </r>
    <r>
      <rPr>
        <sz val="11"/>
        <rFont val="宋体"/>
        <family val="3"/>
        <charset val="134"/>
      </rPr>
      <t>,单位A</t>
    </r>
    <phoneticPr fontId="69" type="noConversion"/>
  </si>
  <si>
    <r>
      <t>标准输出值和实际输出值可供选择m</t>
    </r>
    <r>
      <rPr>
        <sz val="11"/>
        <rFont val="宋体"/>
        <family val="3"/>
        <charset val="134"/>
      </rPr>
      <t>A和V</t>
    </r>
    <phoneticPr fontId="69" type="noConversion"/>
  </si>
  <si>
    <t>电流</t>
    <phoneticPr fontId="69" type="noConversion"/>
  </si>
  <si>
    <t>(0</t>
    <phoneticPr fontId="69" type="noConversion"/>
  </si>
  <si>
    <t>~</t>
    <phoneticPr fontId="69" type="noConversion"/>
  </si>
  <si>
    <t>5)A</t>
    <phoneticPr fontId="69" type="noConversion"/>
  </si>
  <si>
    <r>
      <t>I</t>
    </r>
    <r>
      <rPr>
        <vertAlign val="subscript"/>
        <sz val="11"/>
        <rFont val="宋体"/>
        <family val="3"/>
        <charset val="134"/>
      </rPr>
      <t>n</t>
    </r>
    <phoneticPr fontId="69" type="noConversion"/>
  </si>
  <si>
    <t>=5A</t>
    <phoneticPr fontId="69" type="noConversion"/>
  </si>
  <si>
    <t>cos</t>
    <phoneticPr fontId="69" type="noConversion"/>
  </si>
  <si>
    <t>φ</t>
    <phoneticPr fontId="69" type="noConversion"/>
  </si>
  <si>
    <r>
      <t>二次输入标准值
(</t>
    </r>
    <r>
      <rPr>
        <sz val="11"/>
        <rFont val="宋体"/>
        <family val="3"/>
        <charset val="134"/>
      </rPr>
      <t>A</t>
    </r>
    <r>
      <rPr>
        <sz val="11"/>
        <rFont val="宋体"/>
        <family val="3"/>
        <charset val="134"/>
      </rPr>
      <t>)</t>
    </r>
    <phoneticPr fontId="69" type="noConversion"/>
  </si>
  <si>
    <t>标准输出值
(mA)</t>
    <phoneticPr fontId="69" type="noConversion"/>
  </si>
  <si>
    <t>实际输出值
(mA)</t>
    <phoneticPr fontId="69" type="noConversion"/>
  </si>
  <si>
    <t>引用误差
(%)</t>
    <phoneticPr fontId="69" type="noConversion"/>
  </si>
  <si>
    <t>I</t>
    <phoneticPr fontId="69" type="noConversion"/>
  </si>
  <si>
    <t>I</t>
    <phoneticPr fontId="69" type="noConversion"/>
  </si>
  <si>
    <t>n</t>
    <phoneticPr fontId="69" type="noConversion"/>
  </si>
  <si>
    <t>I</t>
    <phoneticPr fontId="69" type="noConversion"/>
  </si>
  <si>
    <t>n</t>
    <phoneticPr fontId="69" type="noConversion"/>
  </si>
  <si>
    <t>电压</t>
    <phoneticPr fontId="69" type="noConversion"/>
  </si>
  <si>
    <t>同电流</t>
    <phoneticPr fontId="69" type="noConversion"/>
  </si>
  <si>
    <t>变送器输入范围：</t>
    <phoneticPr fontId="69" type="noConversion"/>
  </si>
  <si>
    <t>(0</t>
    <phoneticPr fontId="69" type="noConversion"/>
  </si>
  <si>
    <t>~</t>
    <phoneticPr fontId="69" type="noConversion"/>
  </si>
  <si>
    <t>5)V</t>
    <phoneticPr fontId="69" type="noConversion"/>
  </si>
  <si>
    <r>
      <t>U</t>
    </r>
    <r>
      <rPr>
        <vertAlign val="subscript"/>
        <sz val="11"/>
        <rFont val="宋体"/>
        <family val="3"/>
        <charset val="134"/>
      </rPr>
      <t>n</t>
    </r>
    <phoneticPr fontId="69" type="noConversion"/>
  </si>
  <si>
    <t>=5V</t>
    <phoneticPr fontId="69" type="noConversion"/>
  </si>
  <si>
    <t>修约方式</t>
    <phoneticPr fontId="69" type="noConversion"/>
  </si>
  <si>
    <t>测试量</t>
    <phoneticPr fontId="69" type="noConversion"/>
  </si>
  <si>
    <t>等级</t>
    <phoneticPr fontId="69" type="noConversion"/>
  </si>
  <si>
    <t>测量点</t>
    <phoneticPr fontId="69" type="noConversion"/>
  </si>
  <si>
    <t>φ</t>
    <phoneticPr fontId="69" type="noConversion"/>
  </si>
  <si>
    <t>二次输入标准值
(V)</t>
    <phoneticPr fontId="69" type="noConversion"/>
  </si>
  <si>
    <t>标准输出值
(mA)</t>
    <phoneticPr fontId="69" type="noConversion"/>
  </si>
  <si>
    <t>实际输出值
(mA)</t>
    <phoneticPr fontId="69" type="noConversion"/>
  </si>
  <si>
    <t>引用误差
(%)</t>
    <phoneticPr fontId="69" type="noConversion"/>
  </si>
  <si>
    <t>U</t>
    <phoneticPr fontId="69" type="noConversion"/>
  </si>
  <si>
    <t>有功功率</t>
    <phoneticPr fontId="69" type="noConversion"/>
  </si>
  <si>
    <t>5)W</t>
    <phoneticPr fontId="69" type="noConversion"/>
  </si>
  <si>
    <r>
      <t>U</t>
    </r>
    <r>
      <rPr>
        <vertAlign val="subscript"/>
        <sz val="11"/>
        <rFont val="宋体"/>
        <family val="3"/>
        <charset val="134"/>
      </rPr>
      <t>n</t>
    </r>
    <phoneticPr fontId="69" type="noConversion"/>
  </si>
  <si>
    <t>=5V</t>
    <phoneticPr fontId="69" type="noConversion"/>
  </si>
  <si>
    <r>
      <t>I</t>
    </r>
    <r>
      <rPr>
        <vertAlign val="subscript"/>
        <sz val="11"/>
        <rFont val="宋体"/>
        <family val="3"/>
        <charset val="134"/>
      </rPr>
      <t>n =</t>
    </r>
    <r>
      <rPr>
        <sz val="11"/>
        <rFont val="宋体"/>
        <family val="3"/>
        <charset val="134"/>
      </rPr>
      <t xml:space="preserve"> 5A</t>
    </r>
    <phoneticPr fontId="69" type="noConversion"/>
  </si>
  <si>
    <t>cos</t>
    <phoneticPr fontId="69" type="noConversion"/>
  </si>
  <si>
    <t>φ</t>
    <phoneticPr fontId="69" type="noConversion"/>
  </si>
  <si>
    <t>二次输入标准值
(W)</t>
    <phoneticPr fontId="69" type="noConversion"/>
  </si>
  <si>
    <t>P</t>
    <phoneticPr fontId="69" type="noConversion"/>
  </si>
  <si>
    <t>I</t>
    <phoneticPr fontId="69" type="noConversion"/>
  </si>
  <si>
    <t>无功功率</t>
    <phoneticPr fontId="69" type="noConversion"/>
  </si>
  <si>
    <t>5)Var</t>
    <phoneticPr fontId="69" type="noConversion"/>
  </si>
  <si>
    <t>sin</t>
    <phoneticPr fontId="69" type="noConversion"/>
  </si>
  <si>
    <t>二次输入标准值
(Var)</t>
    <phoneticPr fontId="69" type="noConversion"/>
  </si>
  <si>
    <t>Q</t>
    <phoneticPr fontId="69" type="noConversion"/>
  </si>
  <si>
    <t>功率因数</t>
    <phoneticPr fontId="69" type="noConversion"/>
  </si>
  <si>
    <t>5)</t>
    <phoneticPr fontId="69" type="noConversion"/>
  </si>
  <si>
    <t>A</t>
    <phoneticPr fontId="69" type="noConversion"/>
  </si>
  <si>
    <t xml:space="preserve">二次输入标准值
</t>
    <phoneticPr fontId="69" type="noConversion"/>
  </si>
  <si>
    <t>cosφ</t>
    <phoneticPr fontId="69" type="noConversion"/>
  </si>
  <si>
    <t>L</t>
    <phoneticPr fontId="69" type="noConversion"/>
  </si>
  <si>
    <r>
      <t>1</t>
    </r>
    <r>
      <rPr>
        <sz val="11"/>
        <rFont val="宋体"/>
        <family val="3"/>
        <charset val="134"/>
      </rPr>
      <t>00V</t>
    </r>
    <phoneticPr fontId="69" type="noConversion"/>
  </si>
  <si>
    <r>
      <t>5</t>
    </r>
    <r>
      <rPr>
        <sz val="11"/>
        <rFont val="宋体"/>
        <family val="3"/>
        <charset val="134"/>
      </rPr>
      <t>A</t>
    </r>
    <phoneticPr fontId="69" type="noConversion"/>
  </si>
  <si>
    <t>60º</t>
    <phoneticPr fontId="69" type="noConversion"/>
  </si>
  <si>
    <t>30º</t>
    <phoneticPr fontId="69" type="noConversion"/>
  </si>
  <si>
    <t>0º</t>
    <phoneticPr fontId="69" type="noConversion"/>
  </si>
  <si>
    <t>C</t>
    <phoneticPr fontId="69" type="noConversion"/>
  </si>
  <si>
    <t>330º</t>
    <phoneticPr fontId="69" type="noConversion"/>
  </si>
  <si>
    <t>300º</t>
    <phoneticPr fontId="69" type="noConversion"/>
  </si>
  <si>
    <t>相位</t>
    <phoneticPr fontId="69" type="noConversion"/>
  </si>
  <si>
    <r>
      <t>二次输入标准值
(</t>
    </r>
    <r>
      <rPr>
        <sz val="11"/>
        <rFont val="宋体"/>
        <family val="3"/>
        <charset val="134"/>
      </rPr>
      <t>A</t>
    </r>
    <r>
      <rPr>
        <sz val="11"/>
        <rFont val="宋体"/>
        <family val="3"/>
        <charset val="134"/>
      </rPr>
      <t>)</t>
    </r>
    <phoneticPr fontId="69" type="noConversion"/>
  </si>
  <si>
    <t>通道</t>
    <phoneticPr fontId="69" type="noConversion"/>
  </si>
  <si>
    <t>通道</t>
    <phoneticPr fontId="69" type="noConversion"/>
  </si>
  <si>
    <t>平均值</t>
    <phoneticPr fontId="2" type="noConversion"/>
  </si>
  <si>
    <t>k</t>
    <phoneticPr fontId="2" type="noConversion"/>
  </si>
  <si>
    <t>仅校验仪</t>
  </si>
  <si>
    <t>mA</t>
    <phoneticPr fontId="77" type="noConversion"/>
  </si>
  <si>
    <t>A</t>
    <phoneticPr fontId="77" type="noConversion"/>
  </si>
  <si>
    <t>量程</t>
    <phoneticPr fontId="77" type="noConversion"/>
  </si>
  <si>
    <t>指示值(格)</t>
    <phoneticPr fontId="77" type="noConversion"/>
  </si>
  <si>
    <t>等级</t>
    <phoneticPr fontId="77" type="noConversion"/>
  </si>
  <si>
    <t>基本误差</t>
    <phoneticPr fontId="77" type="noConversion"/>
  </si>
  <si>
    <t>升降变差</t>
    <phoneticPr fontId="77" type="noConversion"/>
  </si>
  <si>
    <r>
      <t>U</t>
    </r>
    <r>
      <rPr>
        <sz val="12"/>
        <rFont val="宋体"/>
        <family val="3"/>
        <charset val="134"/>
      </rPr>
      <t>a</t>
    </r>
    <r>
      <rPr>
        <vertAlign val="subscript"/>
        <sz val="12"/>
        <rFont val="宋体"/>
        <family val="3"/>
        <charset val="134"/>
      </rPr>
      <t>rel</t>
    </r>
    <phoneticPr fontId="77" type="noConversion"/>
  </si>
  <si>
    <r>
      <t>U</t>
    </r>
    <r>
      <rPr>
        <sz val="12"/>
        <rFont val="宋体"/>
        <family val="3"/>
        <charset val="134"/>
      </rPr>
      <t>b</t>
    </r>
    <r>
      <rPr>
        <vertAlign val="subscript"/>
        <sz val="12"/>
        <rFont val="宋体"/>
        <family val="3"/>
        <charset val="134"/>
      </rPr>
      <t>rel</t>
    </r>
    <phoneticPr fontId="77" type="noConversion"/>
  </si>
  <si>
    <r>
      <t>U</t>
    </r>
    <r>
      <rPr>
        <sz val="12"/>
        <rFont val="宋体"/>
        <family val="3"/>
        <charset val="134"/>
      </rPr>
      <t>c</t>
    </r>
    <r>
      <rPr>
        <vertAlign val="subscript"/>
        <sz val="12"/>
        <rFont val="宋体"/>
        <family val="3"/>
        <charset val="134"/>
      </rPr>
      <t>rel</t>
    </r>
    <phoneticPr fontId="77" type="noConversion"/>
  </si>
  <si>
    <t>上升</t>
    <phoneticPr fontId="77" type="noConversion"/>
  </si>
  <si>
    <t>下降</t>
    <phoneticPr fontId="77" type="noConversion"/>
  </si>
  <si>
    <t>/</t>
    <phoneticPr fontId="77" type="noConversion"/>
  </si>
  <si>
    <t>DC2</t>
    <phoneticPr fontId="77" type="noConversion"/>
  </si>
  <si>
    <t>AC2</t>
    <phoneticPr fontId="77" type="noConversion"/>
  </si>
  <si>
    <t>AC1</t>
    <phoneticPr fontId="77" type="noConversion"/>
  </si>
  <si>
    <t>标准表读数</t>
    <phoneticPr fontId="2" type="noConversion"/>
  </si>
  <si>
    <t>DC1</t>
    <phoneticPr fontId="77" type="noConversion"/>
  </si>
  <si>
    <t>基本误差和升降变差</t>
    <phoneticPr fontId="2" type="noConversion"/>
  </si>
  <si>
    <t>检定 校准</t>
    <phoneticPr fontId="2" type="noConversion"/>
  </si>
  <si>
    <t>电压</t>
    <phoneticPr fontId="77" type="noConversion"/>
  </si>
  <si>
    <t>等级</t>
    <phoneticPr fontId="77" type="noConversion"/>
  </si>
  <si>
    <t>下降误差(%)</t>
    <phoneticPr fontId="77" type="noConversion"/>
  </si>
  <si>
    <t>升降变差(%)</t>
    <phoneticPr fontId="77" type="noConversion"/>
  </si>
  <si>
    <r>
      <t>U</t>
    </r>
    <r>
      <rPr>
        <sz val="12"/>
        <rFont val="宋体"/>
        <family val="3"/>
        <charset val="134"/>
      </rPr>
      <t>a</t>
    </r>
    <r>
      <rPr>
        <vertAlign val="subscript"/>
        <sz val="12"/>
        <rFont val="宋体"/>
        <family val="3"/>
        <charset val="134"/>
      </rPr>
      <t>rel</t>
    </r>
    <phoneticPr fontId="77" type="noConversion"/>
  </si>
  <si>
    <r>
      <t>U</t>
    </r>
    <r>
      <rPr>
        <sz val="12"/>
        <rFont val="宋体"/>
        <family val="3"/>
        <charset val="134"/>
      </rPr>
      <t>b</t>
    </r>
    <r>
      <rPr>
        <vertAlign val="subscript"/>
        <sz val="12"/>
        <rFont val="宋体"/>
        <family val="3"/>
        <charset val="134"/>
      </rPr>
      <t>rel</t>
    </r>
    <phoneticPr fontId="77" type="noConversion"/>
  </si>
  <si>
    <r>
      <t>U</t>
    </r>
    <r>
      <rPr>
        <sz val="12"/>
        <rFont val="宋体"/>
        <family val="3"/>
        <charset val="134"/>
      </rPr>
      <t>c</t>
    </r>
    <r>
      <rPr>
        <vertAlign val="subscript"/>
        <sz val="12"/>
        <rFont val="宋体"/>
        <family val="3"/>
        <charset val="134"/>
      </rPr>
      <t>rel</t>
    </r>
    <phoneticPr fontId="77" type="noConversion"/>
  </si>
  <si>
    <t>上升</t>
    <phoneticPr fontId="77" type="noConversion"/>
  </si>
  <si>
    <t>下降</t>
    <phoneticPr fontId="77" type="noConversion"/>
  </si>
  <si>
    <t>V</t>
    <phoneticPr fontId="77" type="noConversion"/>
  </si>
  <si>
    <t>V</t>
    <phoneticPr fontId="77" type="noConversion"/>
  </si>
  <si>
    <r>
      <t>最大基本误差(</t>
    </r>
    <r>
      <rPr>
        <sz val="12"/>
        <rFont val="宋体"/>
        <family val="3"/>
        <charset val="134"/>
      </rPr>
      <t>%)</t>
    </r>
    <r>
      <rPr>
        <sz val="12"/>
        <rFont val="宋体"/>
        <family val="3"/>
        <charset val="134"/>
      </rPr>
      <t>：</t>
    </r>
    <phoneticPr fontId="77" type="noConversion"/>
  </si>
  <si>
    <r>
      <t>最大升降变差(</t>
    </r>
    <r>
      <rPr>
        <sz val="12"/>
        <rFont val="宋体"/>
        <family val="3"/>
        <charset val="134"/>
      </rPr>
      <t>%)</t>
    </r>
    <r>
      <rPr>
        <sz val="12"/>
        <rFont val="宋体"/>
        <family val="3"/>
        <charset val="134"/>
      </rPr>
      <t>：</t>
    </r>
    <phoneticPr fontId="77" type="noConversion"/>
  </si>
  <si>
    <t>标准表读数(Hz)</t>
    <phoneticPr fontId="77" type="noConversion"/>
  </si>
  <si>
    <t>检定 校准</t>
    <phoneticPr fontId="77" type="noConversion"/>
  </si>
  <si>
    <t>JJG 440-2008 工频单相相位表</t>
    <phoneticPr fontId="2" type="noConversion"/>
  </si>
  <si>
    <t>k</t>
  </si>
  <si>
    <t>电阻箱-不带电压示值</t>
  </si>
  <si>
    <t>电阻箱-带电压示值</t>
  </si>
  <si>
    <t>相对误差</t>
  </si>
  <si>
    <t>JJF 1101-2003 环境试验设备温度、湿度校准规范</t>
  </si>
  <si>
    <t>直流仪器实验室</t>
    <phoneticPr fontId="2" type="noConversion"/>
  </si>
  <si>
    <t>直流仪器实验室</t>
    <phoneticPr fontId="2" type="noConversion"/>
  </si>
  <si>
    <t>SD112-83 直流仪表检验装置检定方法</t>
  </si>
  <si>
    <t>SD112-83 直流仪表检验装置检定方法</t>
    <phoneticPr fontId="2" type="noConversion"/>
  </si>
  <si>
    <t>恒流源稳定度</t>
  </si>
  <si>
    <t>JJG 837-2003 直流低电阻表检定规程</t>
  </si>
  <si>
    <t>1、</t>
    <phoneticPr fontId="95" type="noConversion"/>
  </si>
  <si>
    <t>项目:</t>
    <phoneticPr fontId="95" type="noConversion"/>
  </si>
  <si>
    <t>电压/电流/功率</t>
    <phoneticPr fontId="95" type="noConversion"/>
  </si>
  <si>
    <t>（1）不确定度A类评定：</t>
    <phoneticPr fontId="95" type="noConversion"/>
  </si>
  <si>
    <t>（2）</t>
    <phoneticPr fontId="95" type="noConversion"/>
  </si>
  <si>
    <t>不确定度B类评定：</t>
    <phoneticPr fontId="95" type="noConversion"/>
  </si>
  <si>
    <t>序号</t>
    <phoneticPr fontId="95" type="noConversion"/>
  </si>
  <si>
    <t>误差来源</t>
    <phoneticPr fontId="95" type="noConversion"/>
  </si>
  <si>
    <t>误差限值</t>
    <phoneticPr fontId="95" type="noConversion"/>
  </si>
  <si>
    <t>误差分布状况</t>
    <phoneticPr fontId="95" type="noConversion"/>
  </si>
  <si>
    <t>k</t>
    <phoneticPr fontId="95" type="noConversion"/>
  </si>
  <si>
    <t>不确定度</t>
    <phoneticPr fontId="95" type="noConversion"/>
  </si>
  <si>
    <t>标准仪器的示值误差</t>
    <phoneticPr fontId="95" type="noConversion"/>
  </si>
  <si>
    <t>均匀分布</t>
    <phoneticPr fontId="95" type="noConversion"/>
  </si>
  <si>
    <t>上级传递</t>
    <phoneticPr fontId="95" type="noConversion"/>
  </si>
  <si>
    <t>正态分布</t>
    <phoneticPr fontId="95" type="noConversion"/>
  </si>
  <si>
    <t>被检表的分辨力</t>
    <phoneticPr fontId="95" type="noConversion"/>
  </si>
  <si>
    <t>（3）合成不确定度：</t>
    <phoneticPr fontId="95" type="noConversion"/>
  </si>
  <si>
    <r>
      <rPr>
        <i/>
        <sz val="12"/>
        <rFont val="Times New Roman"/>
        <family val="1"/>
      </rPr>
      <t>u</t>
    </r>
    <r>
      <rPr>
        <vertAlign val="subscript"/>
        <sz val="12"/>
        <rFont val="宋体"/>
        <family val="3"/>
        <charset val="134"/>
      </rPr>
      <t>c=</t>
    </r>
    <phoneticPr fontId="95" type="noConversion"/>
  </si>
  <si>
    <t>（4）扩展不确定度</t>
    <phoneticPr fontId="95" type="noConversion"/>
  </si>
  <si>
    <r>
      <rPr>
        <i/>
        <sz val="12"/>
        <rFont val="宋体"/>
        <family val="3"/>
        <charset val="134"/>
      </rPr>
      <t>U</t>
    </r>
    <r>
      <rPr>
        <sz val="12"/>
        <rFont val="宋体"/>
        <family val="3"/>
        <charset val="134"/>
      </rPr>
      <t>rel=</t>
    </r>
    <phoneticPr fontId="95" type="noConversion"/>
  </si>
  <si>
    <r>
      <t>y</t>
    </r>
    <r>
      <rPr>
        <vertAlign val="subscript"/>
        <sz val="9"/>
        <rFont val="Times New Roman"/>
        <family val="1"/>
      </rPr>
      <t>1</t>
    </r>
    <r>
      <rPr>
        <sz val="9"/>
        <rFont val="Times New Roman"/>
        <family val="1"/>
      </rPr>
      <t>/y</t>
    </r>
    <r>
      <rPr>
        <vertAlign val="subscript"/>
        <sz val="9"/>
        <rFont val="Times New Roman"/>
        <family val="1"/>
      </rPr>
      <t>6</t>
    </r>
    <phoneticPr fontId="95" type="noConversion"/>
  </si>
  <si>
    <r>
      <t>y</t>
    </r>
    <r>
      <rPr>
        <vertAlign val="subscript"/>
        <sz val="9"/>
        <rFont val="Times New Roman"/>
        <family val="1"/>
      </rPr>
      <t>2</t>
    </r>
    <r>
      <rPr>
        <sz val="9"/>
        <rFont val="Times New Roman"/>
        <family val="1"/>
      </rPr>
      <t>/y</t>
    </r>
    <r>
      <rPr>
        <vertAlign val="subscript"/>
        <sz val="9"/>
        <rFont val="Times New Roman"/>
        <family val="1"/>
      </rPr>
      <t>7</t>
    </r>
    <phoneticPr fontId="95" type="noConversion"/>
  </si>
  <si>
    <r>
      <t>y</t>
    </r>
    <r>
      <rPr>
        <vertAlign val="subscript"/>
        <sz val="9"/>
        <rFont val="Times New Roman"/>
        <family val="1"/>
      </rPr>
      <t>3</t>
    </r>
    <r>
      <rPr>
        <sz val="9"/>
        <rFont val="Times New Roman"/>
        <family val="1"/>
      </rPr>
      <t>/y</t>
    </r>
    <r>
      <rPr>
        <vertAlign val="subscript"/>
        <sz val="9"/>
        <rFont val="Times New Roman"/>
        <family val="1"/>
      </rPr>
      <t>8</t>
    </r>
    <phoneticPr fontId="95" type="noConversion"/>
  </si>
  <si>
    <r>
      <t>y</t>
    </r>
    <r>
      <rPr>
        <vertAlign val="subscript"/>
        <sz val="9"/>
        <rFont val="Times New Roman"/>
        <family val="1"/>
      </rPr>
      <t>5</t>
    </r>
    <r>
      <rPr>
        <sz val="9"/>
        <rFont val="Times New Roman"/>
        <family val="1"/>
      </rPr>
      <t>/y</t>
    </r>
    <r>
      <rPr>
        <vertAlign val="subscript"/>
        <sz val="9"/>
        <rFont val="Times New Roman"/>
        <family val="1"/>
      </rPr>
      <t>10</t>
    </r>
    <phoneticPr fontId="95" type="noConversion"/>
  </si>
  <si>
    <t>1、</t>
    <phoneticPr fontId="99" type="noConversion"/>
  </si>
  <si>
    <t>项目:</t>
    <phoneticPr fontId="99" type="noConversion"/>
  </si>
  <si>
    <t>绝缘电阻</t>
    <phoneticPr fontId="99" type="noConversion"/>
  </si>
  <si>
    <t>测量范围：</t>
    <phoneticPr fontId="99" type="noConversion"/>
  </si>
  <si>
    <t>范围包含最小，不包含最大</t>
    <phoneticPr fontId="99" type="noConversion"/>
  </si>
  <si>
    <t>（1）不确定度A类评定：</t>
    <phoneticPr fontId="99" type="noConversion"/>
  </si>
  <si>
    <t>10次</t>
    <phoneticPr fontId="99" type="noConversion"/>
  </si>
  <si>
    <r>
      <t>y</t>
    </r>
    <r>
      <rPr>
        <vertAlign val="subscript"/>
        <sz val="9"/>
        <rFont val="Times New Roman"/>
        <family val="1"/>
      </rPr>
      <t>1</t>
    </r>
    <r>
      <rPr>
        <sz val="9"/>
        <rFont val="Times New Roman"/>
        <family val="1"/>
      </rPr>
      <t>/y</t>
    </r>
    <r>
      <rPr>
        <vertAlign val="subscript"/>
        <sz val="9"/>
        <rFont val="Times New Roman"/>
        <family val="1"/>
      </rPr>
      <t>6</t>
    </r>
    <phoneticPr fontId="99" type="noConversion"/>
  </si>
  <si>
    <r>
      <t>y</t>
    </r>
    <r>
      <rPr>
        <vertAlign val="subscript"/>
        <sz val="9"/>
        <rFont val="Times New Roman"/>
        <family val="1"/>
      </rPr>
      <t>2</t>
    </r>
    <r>
      <rPr>
        <sz val="9"/>
        <rFont val="Times New Roman"/>
        <family val="1"/>
      </rPr>
      <t>/y</t>
    </r>
    <r>
      <rPr>
        <vertAlign val="subscript"/>
        <sz val="9"/>
        <rFont val="Times New Roman"/>
        <family val="1"/>
      </rPr>
      <t>7</t>
    </r>
    <phoneticPr fontId="99" type="noConversion"/>
  </si>
  <si>
    <r>
      <t>y</t>
    </r>
    <r>
      <rPr>
        <vertAlign val="subscript"/>
        <sz val="9"/>
        <rFont val="Times New Roman"/>
        <family val="1"/>
      </rPr>
      <t>3</t>
    </r>
    <r>
      <rPr>
        <sz val="9"/>
        <rFont val="Times New Roman"/>
        <family val="1"/>
      </rPr>
      <t>/y</t>
    </r>
    <r>
      <rPr>
        <vertAlign val="subscript"/>
        <sz val="9"/>
        <rFont val="Times New Roman"/>
        <family val="1"/>
      </rPr>
      <t>8</t>
    </r>
    <phoneticPr fontId="99" type="noConversion"/>
  </si>
  <si>
    <r>
      <t>y</t>
    </r>
    <r>
      <rPr>
        <vertAlign val="subscript"/>
        <sz val="9"/>
        <rFont val="Times New Roman"/>
        <family val="1"/>
      </rPr>
      <t>4</t>
    </r>
    <r>
      <rPr>
        <sz val="9"/>
        <rFont val="Times New Roman"/>
        <family val="1"/>
      </rPr>
      <t>/y</t>
    </r>
    <r>
      <rPr>
        <vertAlign val="subscript"/>
        <sz val="9"/>
        <rFont val="Times New Roman"/>
        <family val="1"/>
      </rPr>
      <t>9</t>
    </r>
    <phoneticPr fontId="99" type="noConversion"/>
  </si>
  <si>
    <r>
      <t>y</t>
    </r>
    <r>
      <rPr>
        <vertAlign val="subscript"/>
        <sz val="9"/>
        <rFont val="Times New Roman"/>
        <family val="1"/>
      </rPr>
      <t>5</t>
    </r>
    <r>
      <rPr>
        <sz val="9"/>
        <rFont val="Times New Roman"/>
        <family val="1"/>
      </rPr>
      <t>/y</t>
    </r>
    <r>
      <rPr>
        <vertAlign val="subscript"/>
        <sz val="9"/>
        <rFont val="Times New Roman"/>
        <family val="1"/>
      </rPr>
      <t>10</t>
    </r>
    <phoneticPr fontId="99" type="noConversion"/>
  </si>
  <si>
    <t>（2）</t>
    <phoneticPr fontId="99" type="noConversion"/>
  </si>
  <si>
    <t>不确定度B类评定：</t>
    <phoneticPr fontId="99" type="noConversion"/>
  </si>
  <si>
    <t>序号</t>
    <phoneticPr fontId="99" type="noConversion"/>
  </si>
  <si>
    <t>误差来源</t>
    <phoneticPr fontId="99" type="noConversion"/>
  </si>
  <si>
    <t>误差限值</t>
    <phoneticPr fontId="99" type="noConversion"/>
  </si>
  <si>
    <t>误差分布状况</t>
    <phoneticPr fontId="99" type="noConversion"/>
  </si>
  <si>
    <t>k</t>
    <phoneticPr fontId="99" type="noConversion"/>
  </si>
  <si>
    <t>不确定度</t>
    <phoneticPr fontId="99" type="noConversion"/>
  </si>
  <si>
    <t>均匀分布</t>
    <phoneticPr fontId="99" type="noConversion"/>
  </si>
  <si>
    <t>上级传递</t>
    <phoneticPr fontId="99" type="noConversion"/>
  </si>
  <si>
    <t>正态分布</t>
    <phoneticPr fontId="99" type="noConversion"/>
  </si>
  <si>
    <t>均匀分布</t>
    <phoneticPr fontId="99" type="noConversion"/>
  </si>
  <si>
    <r>
      <rPr>
        <i/>
        <sz val="12"/>
        <rFont val="宋体"/>
        <family val="3"/>
        <charset val="134"/>
      </rPr>
      <t>U</t>
    </r>
    <r>
      <rPr>
        <vertAlign val="subscript"/>
        <sz val="12"/>
        <rFont val="宋体"/>
        <family val="3"/>
        <charset val="134"/>
      </rPr>
      <t>B</t>
    </r>
    <phoneticPr fontId="99" type="noConversion"/>
  </si>
  <si>
    <t>（3）合成不确定度：</t>
    <phoneticPr fontId="99" type="noConversion"/>
  </si>
  <si>
    <r>
      <rPr>
        <i/>
        <sz val="12"/>
        <rFont val="Times New Roman"/>
        <family val="1"/>
      </rPr>
      <t>u</t>
    </r>
    <r>
      <rPr>
        <vertAlign val="subscript"/>
        <sz val="12"/>
        <rFont val="宋体"/>
        <family val="3"/>
        <charset val="134"/>
      </rPr>
      <t>c=</t>
    </r>
    <phoneticPr fontId="99" type="noConversion"/>
  </si>
  <si>
    <t>（4）扩展不确定度</t>
    <phoneticPr fontId="99" type="noConversion"/>
  </si>
  <si>
    <r>
      <rPr>
        <i/>
        <sz val="12"/>
        <rFont val="宋体"/>
        <family val="3"/>
        <charset val="134"/>
      </rPr>
      <t>U</t>
    </r>
    <r>
      <rPr>
        <sz val="12"/>
        <rFont val="宋体"/>
        <family val="3"/>
        <charset val="134"/>
      </rPr>
      <t>rel=</t>
    </r>
    <phoneticPr fontId="99" type="noConversion"/>
  </si>
  <si>
    <t>测量范围：</t>
    <phoneticPr fontId="99" type="noConversion"/>
  </si>
  <si>
    <t>（1）不确定度A类评定：</t>
    <phoneticPr fontId="99" type="noConversion"/>
  </si>
  <si>
    <t>10次</t>
    <phoneticPr fontId="99" type="noConversion"/>
  </si>
  <si>
    <t>（2）</t>
    <phoneticPr fontId="99" type="noConversion"/>
  </si>
  <si>
    <t>不确定度B类评定：</t>
    <phoneticPr fontId="99" type="noConversion"/>
  </si>
  <si>
    <t>序号</t>
    <phoneticPr fontId="99" type="noConversion"/>
  </si>
  <si>
    <t>误差来源</t>
    <phoneticPr fontId="99" type="noConversion"/>
  </si>
  <si>
    <t>误差限值</t>
    <phoneticPr fontId="99" type="noConversion"/>
  </si>
  <si>
    <t>误差分布状况</t>
    <phoneticPr fontId="99" type="noConversion"/>
  </si>
  <si>
    <t>k</t>
    <phoneticPr fontId="99" type="noConversion"/>
  </si>
  <si>
    <t>不确定度</t>
    <phoneticPr fontId="99" type="noConversion"/>
  </si>
  <si>
    <t>标准仪器的示值误差</t>
    <phoneticPr fontId="99" type="noConversion"/>
  </si>
  <si>
    <t>均匀分布</t>
    <phoneticPr fontId="99" type="noConversion"/>
  </si>
  <si>
    <t>上级传递</t>
    <phoneticPr fontId="99" type="noConversion"/>
  </si>
  <si>
    <t>正态分布</t>
    <phoneticPr fontId="99" type="noConversion"/>
  </si>
  <si>
    <t>修约</t>
    <phoneticPr fontId="99" type="noConversion"/>
  </si>
  <si>
    <r>
      <rPr>
        <i/>
        <sz val="12"/>
        <rFont val="宋体"/>
        <family val="3"/>
        <charset val="134"/>
      </rPr>
      <t>U</t>
    </r>
    <r>
      <rPr>
        <vertAlign val="subscript"/>
        <sz val="12"/>
        <rFont val="宋体"/>
        <family val="3"/>
        <charset val="134"/>
      </rPr>
      <t>B</t>
    </r>
    <phoneticPr fontId="99" type="noConversion"/>
  </si>
  <si>
    <t>（3）合成不确定度：</t>
    <phoneticPr fontId="99" type="noConversion"/>
  </si>
  <si>
    <r>
      <rPr>
        <i/>
        <sz val="12"/>
        <rFont val="Times New Roman"/>
        <family val="1"/>
      </rPr>
      <t>u</t>
    </r>
    <r>
      <rPr>
        <vertAlign val="subscript"/>
        <sz val="12"/>
        <rFont val="宋体"/>
        <family val="3"/>
        <charset val="134"/>
      </rPr>
      <t>c=</t>
    </r>
    <phoneticPr fontId="99" type="noConversion"/>
  </si>
  <si>
    <t>（4）扩展不确定度</t>
    <phoneticPr fontId="99" type="noConversion"/>
  </si>
  <si>
    <r>
      <rPr>
        <i/>
        <sz val="12"/>
        <rFont val="宋体"/>
        <family val="3"/>
        <charset val="134"/>
      </rPr>
      <t>U</t>
    </r>
    <r>
      <rPr>
        <sz val="12"/>
        <rFont val="宋体"/>
        <family val="3"/>
        <charset val="134"/>
      </rPr>
      <t>rel=</t>
    </r>
    <phoneticPr fontId="99" type="noConversion"/>
  </si>
  <si>
    <t>测量范围：</t>
    <phoneticPr fontId="99" type="noConversion"/>
  </si>
  <si>
    <t>1GΩ～10GΩ</t>
    <phoneticPr fontId="99" type="noConversion"/>
  </si>
  <si>
    <t>（1）不确定度A类评定：</t>
    <phoneticPr fontId="99" type="noConversion"/>
  </si>
  <si>
    <t>10次</t>
    <phoneticPr fontId="99" type="noConversion"/>
  </si>
  <si>
    <t>序号</t>
    <phoneticPr fontId="99" type="noConversion"/>
  </si>
  <si>
    <t>误差限值</t>
    <phoneticPr fontId="99" type="noConversion"/>
  </si>
  <si>
    <t>误差分布状况</t>
    <phoneticPr fontId="99" type="noConversion"/>
  </si>
  <si>
    <t>k</t>
    <phoneticPr fontId="99" type="noConversion"/>
  </si>
  <si>
    <t>标准仪器的示值误差</t>
    <phoneticPr fontId="99" type="noConversion"/>
  </si>
  <si>
    <t>均匀分布</t>
    <phoneticPr fontId="99" type="noConversion"/>
  </si>
  <si>
    <t>上级传递</t>
    <phoneticPr fontId="99" type="noConversion"/>
  </si>
  <si>
    <t>正态分布</t>
    <phoneticPr fontId="99" type="noConversion"/>
  </si>
  <si>
    <t>修约</t>
    <phoneticPr fontId="99" type="noConversion"/>
  </si>
  <si>
    <r>
      <rPr>
        <i/>
        <sz val="12"/>
        <rFont val="宋体"/>
        <family val="3"/>
        <charset val="134"/>
      </rPr>
      <t>U</t>
    </r>
    <r>
      <rPr>
        <vertAlign val="subscript"/>
        <sz val="12"/>
        <rFont val="宋体"/>
        <family val="3"/>
        <charset val="134"/>
      </rPr>
      <t>B</t>
    </r>
    <phoneticPr fontId="99" type="noConversion"/>
  </si>
  <si>
    <t>（3）合成不确定度：</t>
    <phoneticPr fontId="99" type="noConversion"/>
  </si>
  <si>
    <r>
      <rPr>
        <i/>
        <sz val="12"/>
        <rFont val="Times New Roman"/>
        <family val="1"/>
      </rPr>
      <t>u</t>
    </r>
    <r>
      <rPr>
        <vertAlign val="subscript"/>
        <sz val="12"/>
        <rFont val="宋体"/>
        <family val="3"/>
        <charset val="134"/>
      </rPr>
      <t>c=</t>
    </r>
    <phoneticPr fontId="99" type="noConversion"/>
  </si>
  <si>
    <t>（4）扩展不确定度</t>
    <phoneticPr fontId="99" type="noConversion"/>
  </si>
  <si>
    <r>
      <rPr>
        <i/>
        <sz val="12"/>
        <rFont val="宋体"/>
        <family val="3"/>
        <charset val="134"/>
      </rPr>
      <t>U</t>
    </r>
    <r>
      <rPr>
        <sz val="12"/>
        <rFont val="宋体"/>
        <family val="3"/>
        <charset val="134"/>
      </rPr>
      <t>rel=</t>
    </r>
    <phoneticPr fontId="99" type="noConversion"/>
  </si>
  <si>
    <t>2、</t>
    <phoneticPr fontId="99" type="noConversion"/>
  </si>
  <si>
    <t>项目:</t>
    <phoneticPr fontId="99" type="noConversion"/>
  </si>
  <si>
    <t>端钮电压</t>
    <phoneticPr fontId="99" type="noConversion"/>
  </si>
  <si>
    <t>(0～2000)V</t>
    <phoneticPr fontId="99" type="noConversion"/>
  </si>
  <si>
    <t>（1）不确定度A类评定：</t>
    <phoneticPr fontId="99" type="noConversion"/>
  </si>
  <si>
    <r>
      <t>y</t>
    </r>
    <r>
      <rPr>
        <vertAlign val="subscript"/>
        <sz val="9"/>
        <rFont val="Times New Roman"/>
        <family val="1"/>
      </rPr>
      <t>1</t>
    </r>
    <phoneticPr fontId="99" type="noConversion"/>
  </si>
  <si>
    <r>
      <t>y</t>
    </r>
    <r>
      <rPr>
        <vertAlign val="subscript"/>
        <sz val="9"/>
        <rFont val="Times New Roman"/>
        <family val="1"/>
      </rPr>
      <t>2</t>
    </r>
    <phoneticPr fontId="99" type="noConversion"/>
  </si>
  <si>
    <r>
      <t>y</t>
    </r>
    <r>
      <rPr>
        <vertAlign val="subscript"/>
        <sz val="9"/>
        <rFont val="Times New Roman"/>
        <family val="1"/>
      </rPr>
      <t>3</t>
    </r>
    <phoneticPr fontId="99" type="noConversion"/>
  </si>
  <si>
    <r>
      <t>y</t>
    </r>
    <r>
      <rPr>
        <vertAlign val="subscript"/>
        <sz val="9"/>
        <rFont val="Times New Roman"/>
        <family val="1"/>
      </rPr>
      <t>4</t>
    </r>
    <phoneticPr fontId="99" type="noConversion"/>
  </si>
  <si>
    <r>
      <t>y</t>
    </r>
    <r>
      <rPr>
        <vertAlign val="subscript"/>
        <sz val="9"/>
        <rFont val="Times New Roman"/>
        <family val="1"/>
      </rPr>
      <t>5</t>
    </r>
    <phoneticPr fontId="99" type="noConversion"/>
  </si>
  <si>
    <r>
      <t>y</t>
    </r>
    <r>
      <rPr>
        <vertAlign val="subscript"/>
        <sz val="9"/>
        <rFont val="Times New Roman"/>
        <family val="1"/>
      </rPr>
      <t>6</t>
    </r>
    <phoneticPr fontId="99" type="noConversion"/>
  </si>
  <si>
    <r>
      <t>y</t>
    </r>
    <r>
      <rPr>
        <vertAlign val="subscript"/>
        <sz val="9"/>
        <rFont val="Times New Roman"/>
        <family val="1"/>
      </rPr>
      <t>7</t>
    </r>
    <phoneticPr fontId="99" type="noConversion"/>
  </si>
  <si>
    <r>
      <t>y</t>
    </r>
    <r>
      <rPr>
        <vertAlign val="subscript"/>
        <sz val="9"/>
        <rFont val="Times New Roman"/>
        <family val="1"/>
      </rPr>
      <t>8</t>
    </r>
    <phoneticPr fontId="99" type="noConversion"/>
  </si>
  <si>
    <r>
      <t>y</t>
    </r>
    <r>
      <rPr>
        <vertAlign val="subscript"/>
        <sz val="9"/>
        <rFont val="Times New Roman"/>
        <family val="1"/>
      </rPr>
      <t>9</t>
    </r>
    <phoneticPr fontId="99" type="noConversion"/>
  </si>
  <si>
    <r>
      <t>y</t>
    </r>
    <r>
      <rPr>
        <vertAlign val="subscript"/>
        <sz val="9"/>
        <rFont val="Times New Roman"/>
        <family val="1"/>
      </rPr>
      <t xml:space="preserve"> 10</t>
    </r>
    <phoneticPr fontId="99" type="noConversion"/>
  </si>
  <si>
    <r>
      <t>u</t>
    </r>
    <r>
      <rPr>
        <vertAlign val="subscript"/>
        <sz val="12"/>
        <rFont val="Times New Roman"/>
        <family val="1"/>
      </rPr>
      <t>Arel=</t>
    </r>
    <phoneticPr fontId="99" type="noConversion"/>
  </si>
  <si>
    <t>标准表分辨力</t>
    <phoneticPr fontId="99" type="noConversion"/>
  </si>
  <si>
    <t>(2000～5000)V</t>
    <phoneticPr fontId="99" type="noConversion"/>
  </si>
  <si>
    <t>以下表头要求同理</t>
    <phoneticPr fontId="99" type="noConversion"/>
  </si>
  <si>
    <t>接地电阻</t>
    <phoneticPr fontId="99" type="noConversion"/>
  </si>
  <si>
    <t>1Ω～1900Ω</t>
    <phoneticPr fontId="99" type="noConversion"/>
  </si>
  <si>
    <t>0.1Ω～1Ω</t>
    <phoneticPr fontId="99" type="noConversion"/>
  </si>
  <si>
    <t>0.01Ω～0.1Ω</t>
    <phoneticPr fontId="99" type="noConversion"/>
  </si>
  <si>
    <t>0.001Ω～0.01Ω</t>
    <phoneticPr fontId="99" type="noConversion"/>
  </si>
  <si>
    <t>频率</t>
    <phoneticPr fontId="99" type="noConversion"/>
  </si>
  <si>
    <r>
      <t>y</t>
    </r>
    <r>
      <rPr>
        <vertAlign val="subscript"/>
        <sz val="9"/>
        <rFont val="Times New Roman"/>
        <family val="1"/>
      </rPr>
      <t>3</t>
    </r>
    <r>
      <rPr>
        <sz val="9"/>
        <rFont val="Times New Roman"/>
        <family val="1"/>
      </rPr>
      <t>/y</t>
    </r>
    <r>
      <rPr>
        <vertAlign val="subscript"/>
        <sz val="9"/>
        <rFont val="Times New Roman"/>
        <family val="1"/>
      </rPr>
      <t>8</t>
    </r>
    <phoneticPr fontId="99" type="noConversion"/>
  </si>
  <si>
    <t>标准仪器的分辨力</t>
    <phoneticPr fontId="99" type="noConversion"/>
  </si>
  <si>
    <t>V</t>
    <phoneticPr fontId="77" type="noConversion"/>
  </si>
  <si>
    <t>绝缘电阻</t>
    <phoneticPr fontId="99" type="noConversion"/>
  </si>
  <si>
    <t>测量范围：</t>
    <phoneticPr fontId="99" type="noConversion"/>
  </si>
  <si>
    <t>100kΩ～100MΩ</t>
    <phoneticPr fontId="99" type="noConversion"/>
  </si>
  <si>
    <t>10次</t>
    <phoneticPr fontId="99" type="noConversion"/>
  </si>
  <si>
    <t>（2）</t>
    <phoneticPr fontId="99" type="noConversion"/>
  </si>
  <si>
    <t>不确定度B类评定：</t>
    <phoneticPr fontId="99" type="noConversion"/>
  </si>
  <si>
    <t>序号</t>
    <phoneticPr fontId="99" type="noConversion"/>
  </si>
  <si>
    <t>误差来源</t>
    <phoneticPr fontId="99" type="noConversion"/>
  </si>
  <si>
    <t>误差限值</t>
    <phoneticPr fontId="99" type="noConversion"/>
  </si>
  <si>
    <t>误差分布状况</t>
    <phoneticPr fontId="99" type="noConversion"/>
  </si>
  <si>
    <t>k</t>
    <phoneticPr fontId="99" type="noConversion"/>
  </si>
  <si>
    <t>不确定度</t>
    <phoneticPr fontId="99" type="noConversion"/>
  </si>
  <si>
    <t>标准仪器的示值误差</t>
    <phoneticPr fontId="99" type="noConversion"/>
  </si>
  <si>
    <t>均匀分布</t>
    <phoneticPr fontId="99" type="noConversion"/>
  </si>
  <si>
    <t>上级传递</t>
    <phoneticPr fontId="99" type="noConversion"/>
  </si>
  <si>
    <t>正态分布</t>
    <phoneticPr fontId="99" type="noConversion"/>
  </si>
  <si>
    <t>修约</t>
    <phoneticPr fontId="99" type="noConversion"/>
  </si>
  <si>
    <r>
      <rPr>
        <i/>
        <sz val="12"/>
        <rFont val="宋体"/>
        <family val="3"/>
        <charset val="134"/>
      </rPr>
      <t>U</t>
    </r>
    <r>
      <rPr>
        <vertAlign val="subscript"/>
        <sz val="12"/>
        <rFont val="宋体"/>
        <family val="3"/>
        <charset val="134"/>
      </rPr>
      <t>B</t>
    </r>
    <phoneticPr fontId="99" type="noConversion"/>
  </si>
  <si>
    <t>（3）合成不确定度：</t>
    <phoneticPr fontId="99" type="noConversion"/>
  </si>
  <si>
    <t>测量范围：</t>
    <phoneticPr fontId="99" type="noConversion"/>
  </si>
  <si>
    <t>100MΩ～1GΩ</t>
    <phoneticPr fontId="99" type="noConversion"/>
  </si>
  <si>
    <t>（2）</t>
    <phoneticPr fontId="99" type="noConversion"/>
  </si>
  <si>
    <t>误差分布状况</t>
    <phoneticPr fontId="99" type="noConversion"/>
  </si>
  <si>
    <t>1GΩ～10GΩ</t>
    <phoneticPr fontId="99" type="noConversion"/>
  </si>
  <si>
    <t>10GΩ～100GΩ</t>
    <phoneticPr fontId="99" type="noConversion"/>
  </si>
  <si>
    <t>上级传递</t>
    <phoneticPr fontId="99" type="noConversion"/>
  </si>
  <si>
    <t>正态分布</t>
    <phoneticPr fontId="99" type="noConversion"/>
  </si>
  <si>
    <t>标准表分辨力</t>
    <phoneticPr fontId="99" type="noConversion"/>
  </si>
  <si>
    <t>均匀分布</t>
    <phoneticPr fontId="99" type="noConversion"/>
  </si>
  <si>
    <r>
      <rPr>
        <i/>
        <sz val="12"/>
        <rFont val="宋体"/>
        <family val="3"/>
        <charset val="134"/>
      </rPr>
      <t>U</t>
    </r>
    <r>
      <rPr>
        <vertAlign val="subscript"/>
        <sz val="12"/>
        <rFont val="宋体"/>
        <family val="3"/>
        <charset val="134"/>
      </rPr>
      <t>B</t>
    </r>
    <phoneticPr fontId="99" type="noConversion"/>
  </si>
  <si>
    <t>（3）合成不确定度：</t>
    <phoneticPr fontId="99" type="noConversion"/>
  </si>
  <si>
    <r>
      <rPr>
        <i/>
        <sz val="12"/>
        <rFont val="Times New Roman"/>
        <family val="1"/>
      </rPr>
      <t>u</t>
    </r>
    <r>
      <rPr>
        <vertAlign val="subscript"/>
        <sz val="12"/>
        <rFont val="宋体"/>
        <family val="3"/>
        <charset val="134"/>
      </rPr>
      <t>c=</t>
    </r>
    <phoneticPr fontId="99" type="noConversion"/>
  </si>
  <si>
    <t>（4）扩展不确定度</t>
    <phoneticPr fontId="99" type="noConversion"/>
  </si>
  <si>
    <r>
      <rPr>
        <i/>
        <sz val="12"/>
        <rFont val="宋体"/>
        <family val="3"/>
        <charset val="134"/>
      </rPr>
      <t>U</t>
    </r>
    <r>
      <rPr>
        <sz val="12"/>
        <rFont val="宋体"/>
        <family val="3"/>
        <charset val="134"/>
      </rPr>
      <t>rel=</t>
    </r>
    <phoneticPr fontId="99" type="noConversion"/>
  </si>
  <si>
    <t>源不确定度算法参考</t>
    <phoneticPr fontId="2" type="noConversion"/>
  </si>
  <si>
    <t>表不确定度算法参考</t>
    <phoneticPr fontId="2" type="noConversion"/>
  </si>
  <si>
    <t>算法参考</t>
    <phoneticPr fontId="2" type="noConversion"/>
  </si>
  <si>
    <t>直流参考数表单相</t>
    <phoneticPr fontId="2" type="noConversion"/>
  </si>
  <si>
    <t>其他参考</t>
    <phoneticPr fontId="2" type="noConversion"/>
  </si>
  <si>
    <r>
      <t>标准器（电流互感器）引入的不确定度u</t>
    </r>
    <r>
      <rPr>
        <vertAlign val="subscript"/>
        <sz val="10"/>
        <rFont val="宋体"/>
        <family val="3"/>
        <charset val="134"/>
      </rPr>
      <t>1</t>
    </r>
    <phoneticPr fontId="99" type="noConversion"/>
  </si>
  <si>
    <r>
      <t>标准器（数字多用表8808A）引入的不确定度u</t>
    </r>
    <r>
      <rPr>
        <vertAlign val="subscript"/>
        <sz val="10"/>
        <rFont val="宋体"/>
        <family val="3"/>
        <charset val="134"/>
      </rPr>
      <t>2</t>
    </r>
    <phoneticPr fontId="99" type="noConversion"/>
  </si>
  <si>
    <r>
      <t>标准器（数字多用表34410A）引入的不确定度u</t>
    </r>
    <r>
      <rPr>
        <vertAlign val="subscript"/>
        <sz val="10"/>
        <rFont val="宋体"/>
        <family val="3"/>
        <charset val="134"/>
      </rPr>
      <t>3</t>
    </r>
    <phoneticPr fontId="99" type="noConversion"/>
  </si>
  <si>
    <r>
      <t>上级标准器（检电流互感器）引入的标准不确定度u</t>
    </r>
    <r>
      <rPr>
        <vertAlign val="subscript"/>
        <sz val="10"/>
        <rFont val="宋体"/>
        <family val="3"/>
        <charset val="134"/>
      </rPr>
      <t>4</t>
    </r>
    <phoneticPr fontId="99" type="noConversion"/>
  </si>
  <si>
    <r>
      <t>上级标准器（检8808A）引入的标准不确定度u</t>
    </r>
    <r>
      <rPr>
        <vertAlign val="subscript"/>
        <sz val="10"/>
        <rFont val="宋体"/>
        <family val="3"/>
        <charset val="134"/>
      </rPr>
      <t>5</t>
    </r>
    <phoneticPr fontId="99" type="noConversion"/>
  </si>
  <si>
    <r>
      <t>上级标准器（检34410A）引入的标准不确定度u</t>
    </r>
    <r>
      <rPr>
        <vertAlign val="subscript"/>
        <sz val="10"/>
        <rFont val="宋体"/>
        <family val="3"/>
        <charset val="134"/>
      </rPr>
      <t>6</t>
    </r>
    <phoneticPr fontId="99" type="noConversion"/>
  </si>
  <si>
    <t>（5）报告不确定度</t>
    <phoneticPr fontId="99" type="noConversion"/>
  </si>
  <si>
    <t>（5）报告不确定度</t>
    <phoneticPr fontId="2" type="noConversion"/>
  </si>
  <si>
    <t xml:space="preserve">    扩展不确定度为：</t>
    <phoneticPr fontId="2" type="noConversion"/>
  </si>
  <si>
    <t>1、</t>
    <phoneticPr fontId="2" type="noConversion"/>
  </si>
  <si>
    <t>项目:</t>
    <phoneticPr fontId="2" type="noConversion"/>
  </si>
  <si>
    <t>（1）不确定度A类评定：</t>
    <phoneticPr fontId="2" type="noConversion"/>
  </si>
  <si>
    <t>10次</t>
    <phoneticPr fontId="2" type="noConversion"/>
  </si>
  <si>
    <r>
      <t>y</t>
    </r>
    <r>
      <rPr>
        <vertAlign val="subscript"/>
        <sz val="9"/>
        <rFont val="Times New Roman"/>
        <family val="1"/>
      </rPr>
      <t>1</t>
    </r>
    <r>
      <rPr>
        <sz val="9"/>
        <rFont val="Times New Roman"/>
        <family val="1"/>
      </rPr>
      <t>/y</t>
    </r>
    <r>
      <rPr>
        <vertAlign val="subscript"/>
        <sz val="9"/>
        <rFont val="Times New Roman"/>
        <family val="1"/>
      </rPr>
      <t>6</t>
    </r>
    <phoneticPr fontId="2" type="noConversion"/>
  </si>
  <si>
    <r>
      <t>y</t>
    </r>
    <r>
      <rPr>
        <vertAlign val="subscript"/>
        <sz val="9"/>
        <rFont val="Times New Roman"/>
        <family val="1"/>
      </rPr>
      <t>2</t>
    </r>
    <r>
      <rPr>
        <sz val="9"/>
        <rFont val="Times New Roman"/>
        <family val="1"/>
      </rPr>
      <t>/y</t>
    </r>
    <r>
      <rPr>
        <vertAlign val="subscript"/>
        <sz val="9"/>
        <rFont val="Times New Roman"/>
        <family val="1"/>
      </rPr>
      <t>7</t>
    </r>
    <phoneticPr fontId="2" type="noConversion"/>
  </si>
  <si>
    <r>
      <t>y</t>
    </r>
    <r>
      <rPr>
        <vertAlign val="subscript"/>
        <sz val="9"/>
        <rFont val="Times New Roman"/>
        <family val="1"/>
      </rPr>
      <t>3</t>
    </r>
    <r>
      <rPr>
        <sz val="9"/>
        <rFont val="Times New Roman"/>
        <family val="1"/>
      </rPr>
      <t>/y</t>
    </r>
    <r>
      <rPr>
        <vertAlign val="subscript"/>
        <sz val="9"/>
        <rFont val="Times New Roman"/>
        <family val="1"/>
      </rPr>
      <t>8</t>
    </r>
    <phoneticPr fontId="2" type="noConversion"/>
  </si>
  <si>
    <r>
      <t>y</t>
    </r>
    <r>
      <rPr>
        <vertAlign val="subscript"/>
        <sz val="9"/>
        <rFont val="Times New Roman"/>
        <family val="1"/>
      </rPr>
      <t>4</t>
    </r>
    <r>
      <rPr>
        <sz val="9"/>
        <rFont val="Times New Roman"/>
        <family val="1"/>
      </rPr>
      <t>/y</t>
    </r>
    <r>
      <rPr>
        <vertAlign val="subscript"/>
        <sz val="9"/>
        <rFont val="Times New Roman"/>
        <family val="1"/>
      </rPr>
      <t>9</t>
    </r>
    <phoneticPr fontId="2" type="noConversion"/>
  </si>
  <si>
    <r>
      <t>y</t>
    </r>
    <r>
      <rPr>
        <vertAlign val="subscript"/>
        <sz val="9"/>
        <rFont val="Times New Roman"/>
        <family val="1"/>
      </rPr>
      <t>5</t>
    </r>
    <r>
      <rPr>
        <sz val="9"/>
        <rFont val="Times New Roman"/>
        <family val="1"/>
      </rPr>
      <t>/y</t>
    </r>
    <r>
      <rPr>
        <vertAlign val="subscript"/>
        <sz val="9"/>
        <rFont val="Times New Roman"/>
        <family val="1"/>
      </rPr>
      <t>10</t>
    </r>
    <phoneticPr fontId="2" type="noConversion"/>
  </si>
  <si>
    <r>
      <t>u</t>
    </r>
    <r>
      <rPr>
        <vertAlign val="subscript"/>
        <sz val="12"/>
        <rFont val="Times New Roman"/>
        <family val="1"/>
      </rPr>
      <t>Arel=</t>
    </r>
    <phoneticPr fontId="2" type="noConversion"/>
  </si>
  <si>
    <t>（2）</t>
    <phoneticPr fontId="2" type="noConversion"/>
  </si>
  <si>
    <t>不确定度B类评定：</t>
    <phoneticPr fontId="2" type="noConversion"/>
  </si>
  <si>
    <t>序号</t>
    <phoneticPr fontId="2" type="noConversion"/>
  </si>
  <si>
    <t>误差来源</t>
    <phoneticPr fontId="2" type="noConversion"/>
  </si>
  <si>
    <t>误差限值</t>
    <phoneticPr fontId="2" type="noConversion"/>
  </si>
  <si>
    <t>误差分布状况</t>
    <phoneticPr fontId="2" type="noConversion"/>
  </si>
  <si>
    <t>k</t>
    <phoneticPr fontId="2" type="noConversion"/>
  </si>
  <si>
    <t>不确定度</t>
    <phoneticPr fontId="2" type="noConversion"/>
  </si>
  <si>
    <t>均匀分布</t>
    <phoneticPr fontId="2" type="noConversion"/>
  </si>
  <si>
    <r>
      <rPr>
        <i/>
        <sz val="12"/>
        <rFont val="宋体"/>
        <family val="3"/>
        <charset val="134"/>
      </rPr>
      <t>U</t>
    </r>
    <r>
      <rPr>
        <vertAlign val="subscript"/>
        <sz val="12"/>
        <rFont val="宋体"/>
        <family val="3"/>
        <charset val="134"/>
      </rPr>
      <t>B</t>
    </r>
    <phoneticPr fontId="2" type="noConversion"/>
  </si>
  <si>
    <t>（3）合成不确定度：</t>
    <phoneticPr fontId="2" type="noConversion"/>
  </si>
  <si>
    <r>
      <rPr>
        <i/>
        <sz val="12"/>
        <rFont val="Times New Roman"/>
        <family val="1"/>
      </rPr>
      <t>u</t>
    </r>
    <r>
      <rPr>
        <vertAlign val="subscript"/>
        <sz val="12"/>
        <rFont val="宋体"/>
        <family val="3"/>
        <charset val="134"/>
      </rPr>
      <t>c=</t>
    </r>
    <phoneticPr fontId="2" type="noConversion"/>
  </si>
  <si>
    <t>（4）扩展不确定度</t>
    <phoneticPr fontId="2" type="noConversion"/>
  </si>
  <si>
    <r>
      <rPr>
        <i/>
        <sz val="12"/>
        <rFont val="宋体"/>
        <family val="3"/>
        <charset val="134"/>
      </rPr>
      <t>U</t>
    </r>
    <r>
      <rPr>
        <sz val="12"/>
        <rFont val="宋体"/>
        <family val="3"/>
        <charset val="134"/>
      </rPr>
      <t>rel=</t>
    </r>
    <phoneticPr fontId="2" type="noConversion"/>
  </si>
  <si>
    <t>（5）报告不确定度</t>
    <phoneticPr fontId="2" type="noConversion"/>
  </si>
  <si>
    <t>变压比电桥检定装置</t>
    <phoneticPr fontId="2" type="noConversion"/>
  </si>
  <si>
    <t>1、</t>
    <phoneticPr fontId="107" type="noConversion"/>
  </si>
  <si>
    <t>项目:</t>
    <phoneticPr fontId="107" type="noConversion"/>
  </si>
  <si>
    <t>（1）不确定度A类评定：</t>
    <phoneticPr fontId="107" type="noConversion"/>
  </si>
  <si>
    <t>10次</t>
    <phoneticPr fontId="107" type="noConversion"/>
  </si>
  <si>
    <r>
      <t>y</t>
    </r>
    <r>
      <rPr>
        <vertAlign val="subscript"/>
        <sz val="9"/>
        <rFont val="Times New Roman"/>
        <family val="1"/>
      </rPr>
      <t>1</t>
    </r>
    <r>
      <rPr>
        <sz val="9"/>
        <rFont val="Times New Roman"/>
        <family val="1"/>
      </rPr>
      <t>/y</t>
    </r>
    <r>
      <rPr>
        <vertAlign val="subscript"/>
        <sz val="9"/>
        <rFont val="Times New Roman"/>
        <family val="1"/>
      </rPr>
      <t>6</t>
    </r>
    <phoneticPr fontId="107" type="noConversion"/>
  </si>
  <si>
    <r>
      <t>y</t>
    </r>
    <r>
      <rPr>
        <vertAlign val="subscript"/>
        <sz val="9"/>
        <rFont val="Times New Roman"/>
        <family val="1"/>
      </rPr>
      <t>2</t>
    </r>
    <r>
      <rPr>
        <sz val="9"/>
        <rFont val="Times New Roman"/>
        <family val="1"/>
      </rPr>
      <t>/y</t>
    </r>
    <r>
      <rPr>
        <vertAlign val="subscript"/>
        <sz val="9"/>
        <rFont val="Times New Roman"/>
        <family val="1"/>
      </rPr>
      <t>7</t>
    </r>
    <phoneticPr fontId="107" type="noConversion"/>
  </si>
  <si>
    <r>
      <t>y</t>
    </r>
    <r>
      <rPr>
        <vertAlign val="subscript"/>
        <sz val="9"/>
        <rFont val="Times New Roman"/>
        <family val="1"/>
      </rPr>
      <t>3</t>
    </r>
    <r>
      <rPr>
        <sz val="9"/>
        <rFont val="Times New Roman"/>
        <family val="1"/>
      </rPr>
      <t>/y</t>
    </r>
    <r>
      <rPr>
        <vertAlign val="subscript"/>
        <sz val="9"/>
        <rFont val="Times New Roman"/>
        <family val="1"/>
      </rPr>
      <t>8</t>
    </r>
    <phoneticPr fontId="107" type="noConversion"/>
  </si>
  <si>
    <r>
      <t>y</t>
    </r>
    <r>
      <rPr>
        <vertAlign val="subscript"/>
        <sz val="9"/>
        <rFont val="Times New Roman"/>
        <family val="1"/>
      </rPr>
      <t>4</t>
    </r>
    <r>
      <rPr>
        <sz val="9"/>
        <rFont val="Times New Roman"/>
        <family val="1"/>
      </rPr>
      <t>/y</t>
    </r>
    <r>
      <rPr>
        <vertAlign val="subscript"/>
        <sz val="9"/>
        <rFont val="Times New Roman"/>
        <family val="1"/>
      </rPr>
      <t>9</t>
    </r>
    <phoneticPr fontId="107" type="noConversion"/>
  </si>
  <si>
    <r>
      <t>y</t>
    </r>
    <r>
      <rPr>
        <vertAlign val="subscript"/>
        <sz val="9"/>
        <rFont val="Times New Roman"/>
        <family val="1"/>
      </rPr>
      <t>5</t>
    </r>
    <r>
      <rPr>
        <sz val="9"/>
        <rFont val="Times New Roman"/>
        <family val="1"/>
      </rPr>
      <t>/y</t>
    </r>
    <r>
      <rPr>
        <vertAlign val="subscript"/>
        <sz val="9"/>
        <rFont val="Times New Roman"/>
        <family val="1"/>
      </rPr>
      <t>10</t>
    </r>
    <phoneticPr fontId="107" type="noConversion"/>
  </si>
  <si>
    <r>
      <t>u</t>
    </r>
    <r>
      <rPr>
        <vertAlign val="subscript"/>
        <sz val="12"/>
        <rFont val="Times New Roman"/>
        <family val="1"/>
      </rPr>
      <t>Arel=</t>
    </r>
    <phoneticPr fontId="107" type="noConversion"/>
  </si>
  <si>
    <t>（2）</t>
    <phoneticPr fontId="107" type="noConversion"/>
  </si>
  <si>
    <t>不确定度B类评定：</t>
    <phoneticPr fontId="107" type="noConversion"/>
  </si>
  <si>
    <t>序号</t>
    <phoneticPr fontId="107" type="noConversion"/>
  </si>
  <si>
    <t>误差来源</t>
    <phoneticPr fontId="107" type="noConversion"/>
  </si>
  <si>
    <t>误差限值</t>
    <phoneticPr fontId="107" type="noConversion"/>
  </si>
  <si>
    <t>误差分布状况</t>
    <phoneticPr fontId="107" type="noConversion"/>
  </si>
  <si>
    <t>k</t>
    <phoneticPr fontId="107" type="noConversion"/>
  </si>
  <si>
    <t>不确定度</t>
    <phoneticPr fontId="107" type="noConversion"/>
  </si>
  <si>
    <t>均匀分布</t>
    <phoneticPr fontId="107" type="noConversion"/>
  </si>
  <si>
    <t>正态分布</t>
    <phoneticPr fontId="107" type="noConversion"/>
  </si>
  <si>
    <r>
      <rPr>
        <i/>
        <sz val="12"/>
        <rFont val="宋体"/>
        <family val="3"/>
        <charset val="134"/>
      </rPr>
      <t>U</t>
    </r>
    <r>
      <rPr>
        <vertAlign val="subscript"/>
        <sz val="12"/>
        <rFont val="宋体"/>
        <family val="3"/>
        <charset val="134"/>
      </rPr>
      <t>B</t>
    </r>
    <phoneticPr fontId="107" type="noConversion"/>
  </si>
  <si>
    <t>（3）合成不确定度：</t>
    <phoneticPr fontId="107" type="noConversion"/>
  </si>
  <si>
    <r>
      <rPr>
        <i/>
        <sz val="12"/>
        <rFont val="Times New Roman"/>
        <family val="1"/>
      </rPr>
      <t>u</t>
    </r>
    <r>
      <rPr>
        <vertAlign val="subscript"/>
        <sz val="12"/>
        <rFont val="宋体"/>
        <family val="3"/>
        <charset val="134"/>
      </rPr>
      <t>c=</t>
    </r>
    <phoneticPr fontId="107" type="noConversion"/>
  </si>
  <si>
    <t>（4）扩展不确定度</t>
    <phoneticPr fontId="107" type="noConversion"/>
  </si>
  <si>
    <r>
      <rPr>
        <i/>
        <sz val="12"/>
        <rFont val="宋体"/>
        <family val="3"/>
        <charset val="134"/>
      </rPr>
      <t>U</t>
    </r>
    <r>
      <rPr>
        <sz val="12"/>
        <rFont val="宋体"/>
        <family val="3"/>
        <charset val="134"/>
      </rPr>
      <t>rel=</t>
    </r>
    <phoneticPr fontId="107" type="noConversion"/>
  </si>
  <si>
    <t>（5）报告不确定度</t>
    <phoneticPr fontId="107" type="noConversion"/>
  </si>
  <si>
    <t xml:space="preserve">    扩展不确定度为：</t>
    <phoneticPr fontId="107" type="noConversion"/>
  </si>
  <si>
    <t>量程/测量范围/类别：</t>
    <phoneticPr fontId="107" type="noConversion"/>
  </si>
  <si>
    <t>检定装置误差</t>
    <phoneticPr fontId="107" type="noConversion"/>
  </si>
  <si>
    <t>上级传递误差</t>
    <phoneticPr fontId="107" type="noConversion"/>
  </si>
  <si>
    <t>检定装置的最小分辨率-有功分量</t>
    <phoneticPr fontId="107" type="noConversion"/>
  </si>
  <si>
    <t>0.001mS</t>
    <phoneticPr fontId="107" type="noConversion"/>
  </si>
  <si>
    <t>项目/量程:</t>
    <phoneticPr fontId="107" type="noConversion"/>
  </si>
  <si>
    <t>直阻仪电阻</t>
    <phoneticPr fontId="107" type="noConversion"/>
  </si>
  <si>
    <t>评定点：</t>
    <phoneticPr fontId="107" type="noConversion"/>
  </si>
  <si>
    <t>mΩ</t>
    <phoneticPr fontId="107" type="noConversion"/>
  </si>
  <si>
    <r>
      <t>y</t>
    </r>
    <r>
      <rPr>
        <vertAlign val="subscript"/>
        <sz val="9"/>
        <rFont val="Times New Roman"/>
        <family val="1"/>
      </rPr>
      <t>1</t>
    </r>
    <phoneticPr fontId="107" type="noConversion"/>
  </si>
  <si>
    <r>
      <t>y</t>
    </r>
    <r>
      <rPr>
        <vertAlign val="subscript"/>
        <sz val="9"/>
        <rFont val="Times New Roman"/>
        <family val="1"/>
      </rPr>
      <t>2</t>
    </r>
    <phoneticPr fontId="107" type="noConversion"/>
  </si>
  <si>
    <r>
      <t>y</t>
    </r>
    <r>
      <rPr>
        <vertAlign val="subscript"/>
        <sz val="9"/>
        <rFont val="Times New Roman"/>
        <family val="1"/>
      </rPr>
      <t>3</t>
    </r>
    <phoneticPr fontId="107" type="noConversion"/>
  </si>
  <si>
    <r>
      <t>y</t>
    </r>
    <r>
      <rPr>
        <vertAlign val="subscript"/>
        <sz val="9"/>
        <rFont val="Times New Roman"/>
        <family val="1"/>
      </rPr>
      <t>4</t>
    </r>
    <phoneticPr fontId="107" type="noConversion"/>
  </si>
  <si>
    <r>
      <t>y</t>
    </r>
    <r>
      <rPr>
        <vertAlign val="subscript"/>
        <sz val="9"/>
        <rFont val="Times New Roman"/>
        <family val="1"/>
      </rPr>
      <t>5</t>
    </r>
    <phoneticPr fontId="107" type="noConversion"/>
  </si>
  <si>
    <r>
      <t>y</t>
    </r>
    <r>
      <rPr>
        <vertAlign val="subscript"/>
        <sz val="9"/>
        <rFont val="Times New Roman"/>
        <family val="1"/>
      </rPr>
      <t>6</t>
    </r>
    <phoneticPr fontId="107" type="noConversion"/>
  </si>
  <si>
    <r>
      <t>y</t>
    </r>
    <r>
      <rPr>
        <vertAlign val="subscript"/>
        <sz val="9"/>
        <rFont val="Times New Roman"/>
        <family val="1"/>
      </rPr>
      <t>7</t>
    </r>
    <phoneticPr fontId="107" type="noConversion"/>
  </si>
  <si>
    <r>
      <t>y</t>
    </r>
    <r>
      <rPr>
        <vertAlign val="subscript"/>
        <sz val="9"/>
        <rFont val="Times New Roman"/>
        <family val="1"/>
      </rPr>
      <t>8</t>
    </r>
    <phoneticPr fontId="107" type="noConversion"/>
  </si>
  <si>
    <r>
      <t>y</t>
    </r>
    <r>
      <rPr>
        <vertAlign val="subscript"/>
        <sz val="9"/>
        <rFont val="Times New Roman"/>
        <family val="1"/>
      </rPr>
      <t>9</t>
    </r>
    <phoneticPr fontId="107" type="noConversion"/>
  </si>
  <si>
    <r>
      <t>y</t>
    </r>
    <r>
      <rPr>
        <vertAlign val="subscript"/>
        <sz val="9"/>
        <rFont val="Times New Roman"/>
        <family val="1"/>
      </rPr>
      <t xml:space="preserve"> 10</t>
    </r>
    <phoneticPr fontId="107" type="noConversion"/>
  </si>
  <si>
    <r>
      <t>u</t>
    </r>
    <r>
      <rPr>
        <vertAlign val="subscript"/>
        <sz val="12"/>
        <rFont val="Times New Roman"/>
        <family val="1"/>
      </rPr>
      <t>Arel=</t>
    </r>
    <phoneticPr fontId="107" type="noConversion"/>
  </si>
  <si>
    <t>（2）</t>
    <phoneticPr fontId="107" type="noConversion"/>
  </si>
  <si>
    <t>不确定度B类评定：</t>
    <phoneticPr fontId="107" type="noConversion"/>
  </si>
  <si>
    <t>序号</t>
    <phoneticPr fontId="107" type="noConversion"/>
  </si>
  <si>
    <t>误差来源</t>
    <phoneticPr fontId="107" type="noConversion"/>
  </si>
  <si>
    <t xml:space="preserve">误差限（mΩ） </t>
    <phoneticPr fontId="107" type="noConversion"/>
  </si>
  <si>
    <t>误差分布状况</t>
    <phoneticPr fontId="107" type="noConversion"/>
  </si>
  <si>
    <t>k</t>
    <phoneticPr fontId="107" type="noConversion"/>
  </si>
  <si>
    <t>不确定度</t>
    <phoneticPr fontId="107" type="noConversion"/>
  </si>
  <si>
    <t>模拟大功率交直流标准电阻器误差引入的标准不确定度</t>
    <phoneticPr fontId="107" type="noConversion"/>
  </si>
  <si>
    <t>矩形分布</t>
    <phoneticPr fontId="107" type="noConversion"/>
  </si>
  <si>
    <t>上级传递误差引入的标准不确定度</t>
    <phoneticPr fontId="107" type="noConversion"/>
  </si>
  <si>
    <t>正态分布</t>
    <phoneticPr fontId="107" type="noConversion"/>
  </si>
  <si>
    <t>UB</t>
    <phoneticPr fontId="107" type="noConversion"/>
  </si>
  <si>
    <t>（3）合成不确定度：</t>
    <phoneticPr fontId="107" type="noConversion"/>
  </si>
  <si>
    <r>
      <rPr>
        <i/>
        <sz val="12"/>
        <rFont val="Times New Roman"/>
        <family val="1"/>
      </rPr>
      <t>u</t>
    </r>
    <r>
      <rPr>
        <vertAlign val="subscript"/>
        <sz val="12"/>
        <rFont val="宋体"/>
        <family val="3"/>
        <charset val="134"/>
      </rPr>
      <t>c=</t>
    </r>
    <phoneticPr fontId="107" type="noConversion"/>
  </si>
  <si>
    <t>（4）扩展不确定度</t>
    <phoneticPr fontId="107" type="noConversion"/>
  </si>
  <si>
    <r>
      <rPr>
        <i/>
        <sz val="12"/>
        <rFont val="宋体"/>
        <family val="3"/>
        <charset val="134"/>
      </rPr>
      <t>U</t>
    </r>
    <r>
      <rPr>
        <sz val="12"/>
        <rFont val="宋体"/>
        <family val="3"/>
        <charset val="134"/>
      </rPr>
      <t>rel=</t>
    </r>
    <phoneticPr fontId="107" type="noConversion"/>
  </si>
  <si>
    <t>2、</t>
    <phoneticPr fontId="107" type="noConversion"/>
  </si>
  <si>
    <t>（1）不确定度A类评定：</t>
    <phoneticPr fontId="107" type="noConversion"/>
  </si>
  <si>
    <t>10次</t>
    <phoneticPr fontId="107" type="noConversion"/>
  </si>
  <si>
    <t>评定点：</t>
    <phoneticPr fontId="107" type="noConversion"/>
  </si>
  <si>
    <t>A</t>
    <phoneticPr fontId="107" type="noConversion"/>
  </si>
  <si>
    <r>
      <t>y</t>
    </r>
    <r>
      <rPr>
        <vertAlign val="subscript"/>
        <sz val="9"/>
        <rFont val="Times New Roman"/>
        <family val="1"/>
      </rPr>
      <t>1</t>
    </r>
    <phoneticPr fontId="107" type="noConversion"/>
  </si>
  <si>
    <t>模拟大功率交直流标准电阻器测量直流电流引入的标准不确定度</t>
    <phoneticPr fontId="107" type="noConversion"/>
  </si>
  <si>
    <t>mΩ</t>
    <phoneticPr fontId="107" type="noConversion"/>
  </si>
  <si>
    <t>直阻仪电流</t>
    <phoneticPr fontId="107" type="noConversion"/>
  </si>
  <si>
    <t>回路电阻</t>
    <phoneticPr fontId="107" type="noConversion"/>
  </si>
  <si>
    <r>
      <t>y</t>
    </r>
    <r>
      <rPr>
        <vertAlign val="subscript"/>
        <sz val="9"/>
        <rFont val="Times New Roman"/>
        <family val="1"/>
      </rPr>
      <t>1</t>
    </r>
    <phoneticPr fontId="107" type="noConversion"/>
  </si>
  <si>
    <r>
      <t>y</t>
    </r>
    <r>
      <rPr>
        <vertAlign val="subscript"/>
        <sz val="9"/>
        <rFont val="Times New Roman"/>
        <family val="1"/>
      </rPr>
      <t>2</t>
    </r>
    <phoneticPr fontId="107" type="noConversion"/>
  </si>
  <si>
    <r>
      <t>y</t>
    </r>
    <r>
      <rPr>
        <vertAlign val="subscript"/>
        <sz val="9"/>
        <rFont val="Times New Roman"/>
        <family val="1"/>
      </rPr>
      <t>3</t>
    </r>
    <phoneticPr fontId="107" type="noConversion"/>
  </si>
  <si>
    <r>
      <t>y</t>
    </r>
    <r>
      <rPr>
        <vertAlign val="subscript"/>
        <sz val="9"/>
        <rFont val="Times New Roman"/>
        <family val="1"/>
      </rPr>
      <t>4</t>
    </r>
    <phoneticPr fontId="107" type="noConversion"/>
  </si>
  <si>
    <r>
      <t>y</t>
    </r>
    <r>
      <rPr>
        <vertAlign val="subscript"/>
        <sz val="9"/>
        <rFont val="Times New Roman"/>
        <family val="1"/>
      </rPr>
      <t>5</t>
    </r>
    <phoneticPr fontId="107" type="noConversion"/>
  </si>
  <si>
    <r>
      <t>y</t>
    </r>
    <r>
      <rPr>
        <vertAlign val="subscript"/>
        <sz val="9"/>
        <rFont val="Times New Roman"/>
        <family val="1"/>
      </rPr>
      <t>6</t>
    </r>
    <phoneticPr fontId="107" type="noConversion"/>
  </si>
  <si>
    <r>
      <t>y</t>
    </r>
    <r>
      <rPr>
        <vertAlign val="subscript"/>
        <sz val="9"/>
        <rFont val="Times New Roman"/>
        <family val="1"/>
      </rPr>
      <t>7</t>
    </r>
    <phoneticPr fontId="107" type="noConversion"/>
  </si>
  <si>
    <r>
      <t>y</t>
    </r>
    <r>
      <rPr>
        <vertAlign val="subscript"/>
        <sz val="9"/>
        <rFont val="Times New Roman"/>
        <family val="1"/>
      </rPr>
      <t>8</t>
    </r>
    <phoneticPr fontId="107" type="noConversion"/>
  </si>
  <si>
    <r>
      <t>y</t>
    </r>
    <r>
      <rPr>
        <vertAlign val="subscript"/>
        <sz val="9"/>
        <rFont val="Times New Roman"/>
        <family val="1"/>
      </rPr>
      <t>9</t>
    </r>
    <phoneticPr fontId="107" type="noConversion"/>
  </si>
  <si>
    <r>
      <t>y</t>
    </r>
    <r>
      <rPr>
        <vertAlign val="subscript"/>
        <sz val="9"/>
        <rFont val="Times New Roman"/>
        <family val="1"/>
      </rPr>
      <t xml:space="preserve"> 10</t>
    </r>
    <phoneticPr fontId="107" type="noConversion"/>
  </si>
  <si>
    <t xml:space="preserve">误差限（mΩ） </t>
    <phoneticPr fontId="107" type="noConversion"/>
  </si>
  <si>
    <t>模拟大功率交直流标准电阻器误差引入的标准不确定度</t>
    <phoneticPr fontId="107" type="noConversion"/>
  </si>
  <si>
    <t>矩形分布</t>
    <phoneticPr fontId="107" type="noConversion"/>
  </si>
  <si>
    <t>上级传递误差引入的标准不确定度</t>
    <phoneticPr fontId="107" type="noConversion"/>
  </si>
  <si>
    <t>UB</t>
    <phoneticPr fontId="107" type="noConversion"/>
  </si>
  <si>
    <t>2、</t>
    <phoneticPr fontId="107" type="noConversion"/>
  </si>
  <si>
    <t>回路电流</t>
    <phoneticPr fontId="107" type="noConversion"/>
  </si>
  <si>
    <t>A</t>
    <phoneticPr fontId="107" type="noConversion"/>
  </si>
  <si>
    <t>模拟大功率交直流标准电阻器测量直流电流引入的标准不确定度</t>
    <phoneticPr fontId="107" type="noConversion"/>
  </si>
  <si>
    <t>0.001Ω～1000Ω</t>
    <phoneticPr fontId="107" type="noConversion"/>
  </si>
  <si>
    <t>都包括</t>
    <phoneticPr fontId="107" type="noConversion"/>
  </si>
  <si>
    <t>Ω</t>
    <phoneticPr fontId="107" type="noConversion"/>
  </si>
  <si>
    <t>保留小数点后四位</t>
    <phoneticPr fontId="107" type="noConversion"/>
  </si>
  <si>
    <r>
      <t>U</t>
    </r>
    <r>
      <rPr>
        <sz val="12"/>
        <rFont val="宋体"/>
        <family val="3"/>
        <charset val="134"/>
      </rPr>
      <t>A计算时要除掉评定点的阻值</t>
    </r>
    <phoneticPr fontId="107" type="noConversion"/>
  </si>
  <si>
    <t>（2）</t>
    <phoneticPr fontId="107" type="noConversion"/>
  </si>
  <si>
    <t>不确定度B类评定：</t>
    <phoneticPr fontId="107" type="noConversion"/>
  </si>
  <si>
    <t>序号</t>
    <phoneticPr fontId="107" type="noConversion"/>
  </si>
  <si>
    <t>误差来源</t>
    <phoneticPr fontId="107" type="noConversion"/>
  </si>
  <si>
    <t>误差限值</t>
    <phoneticPr fontId="107" type="noConversion"/>
  </si>
  <si>
    <t>误差分布状况</t>
    <phoneticPr fontId="107" type="noConversion"/>
  </si>
  <si>
    <t>k</t>
    <phoneticPr fontId="107" type="noConversion"/>
  </si>
  <si>
    <t>不确定度</t>
    <phoneticPr fontId="107" type="noConversion"/>
  </si>
  <si>
    <t>保留小数点后五位</t>
    <phoneticPr fontId="107" type="noConversion"/>
  </si>
  <si>
    <t>比较仪匝数比误差引入的相对标准不确定度</t>
    <phoneticPr fontId="107" type="noConversion"/>
  </si>
  <si>
    <t>均匀分布</t>
    <phoneticPr fontId="107" type="noConversion"/>
  </si>
  <si>
    <t>正态分布</t>
    <phoneticPr fontId="107" type="noConversion"/>
  </si>
  <si>
    <t xml:space="preserve"> 做计量标准用的标准电阻阻值的测量不确定度引入的相对标准不确定度</t>
    <phoneticPr fontId="107" type="noConversion"/>
  </si>
  <si>
    <t>三角分布</t>
    <phoneticPr fontId="107" type="noConversion"/>
  </si>
  <si>
    <t>做计量标准用的标准电阻阻值年变化引入的相对标准不确定度</t>
    <phoneticPr fontId="107" type="noConversion"/>
  </si>
  <si>
    <t>温度变化引入的相对标准不确定度</t>
    <phoneticPr fontId="107" type="noConversion"/>
  </si>
  <si>
    <t>UB</t>
    <phoneticPr fontId="107" type="noConversion"/>
  </si>
  <si>
    <t>（3）合成不确定度：</t>
    <phoneticPr fontId="107" type="noConversion"/>
  </si>
  <si>
    <r>
      <rPr>
        <i/>
        <sz val="12"/>
        <rFont val="Times New Roman"/>
        <family val="1"/>
      </rPr>
      <t>u</t>
    </r>
    <r>
      <rPr>
        <vertAlign val="subscript"/>
        <sz val="12"/>
        <rFont val="宋体"/>
        <family val="3"/>
        <charset val="134"/>
      </rPr>
      <t>c=</t>
    </r>
    <phoneticPr fontId="107" type="noConversion"/>
  </si>
  <si>
    <t>（4）扩展不确定度</t>
    <phoneticPr fontId="107" type="noConversion"/>
  </si>
  <si>
    <r>
      <rPr>
        <i/>
        <sz val="12"/>
        <rFont val="宋体"/>
        <family val="3"/>
        <charset val="134"/>
      </rPr>
      <t>U</t>
    </r>
    <r>
      <rPr>
        <sz val="12"/>
        <rFont val="宋体"/>
        <family val="3"/>
        <charset val="134"/>
      </rPr>
      <t>rel=</t>
    </r>
    <phoneticPr fontId="107" type="noConversion"/>
  </si>
  <si>
    <t>2、</t>
    <phoneticPr fontId="107" type="noConversion"/>
  </si>
  <si>
    <t>项目/量程:</t>
    <phoneticPr fontId="107" type="noConversion"/>
  </si>
  <si>
    <t>（1）不确定度A类评定：</t>
    <phoneticPr fontId="107" type="noConversion"/>
  </si>
  <si>
    <t>10次</t>
    <phoneticPr fontId="107" type="noConversion"/>
  </si>
  <si>
    <t>评定点：</t>
    <phoneticPr fontId="107" type="noConversion"/>
  </si>
  <si>
    <t>Ω</t>
    <phoneticPr fontId="107" type="noConversion"/>
  </si>
  <si>
    <r>
      <t>y</t>
    </r>
    <r>
      <rPr>
        <vertAlign val="subscript"/>
        <sz val="9"/>
        <rFont val="Times New Roman"/>
        <family val="1"/>
      </rPr>
      <t>1</t>
    </r>
    <phoneticPr fontId="107" type="noConversion"/>
  </si>
  <si>
    <r>
      <t>y</t>
    </r>
    <r>
      <rPr>
        <vertAlign val="subscript"/>
        <sz val="9"/>
        <rFont val="Times New Roman"/>
        <family val="1"/>
      </rPr>
      <t>2</t>
    </r>
    <phoneticPr fontId="107" type="noConversion"/>
  </si>
  <si>
    <r>
      <t>y</t>
    </r>
    <r>
      <rPr>
        <vertAlign val="subscript"/>
        <sz val="9"/>
        <rFont val="Times New Roman"/>
        <family val="1"/>
      </rPr>
      <t>3</t>
    </r>
    <phoneticPr fontId="107" type="noConversion"/>
  </si>
  <si>
    <r>
      <t>y</t>
    </r>
    <r>
      <rPr>
        <vertAlign val="subscript"/>
        <sz val="9"/>
        <rFont val="Times New Roman"/>
        <family val="1"/>
      </rPr>
      <t>4</t>
    </r>
    <phoneticPr fontId="107" type="noConversion"/>
  </si>
  <si>
    <r>
      <t>y</t>
    </r>
    <r>
      <rPr>
        <vertAlign val="subscript"/>
        <sz val="9"/>
        <rFont val="Times New Roman"/>
        <family val="1"/>
      </rPr>
      <t>5</t>
    </r>
    <phoneticPr fontId="107" type="noConversion"/>
  </si>
  <si>
    <r>
      <t>y</t>
    </r>
    <r>
      <rPr>
        <vertAlign val="subscript"/>
        <sz val="9"/>
        <rFont val="Times New Roman"/>
        <family val="1"/>
      </rPr>
      <t>6</t>
    </r>
    <phoneticPr fontId="107" type="noConversion"/>
  </si>
  <si>
    <r>
      <t>y</t>
    </r>
    <r>
      <rPr>
        <vertAlign val="subscript"/>
        <sz val="9"/>
        <rFont val="Times New Roman"/>
        <family val="1"/>
      </rPr>
      <t>7</t>
    </r>
    <phoneticPr fontId="107" type="noConversion"/>
  </si>
  <si>
    <r>
      <t>y</t>
    </r>
    <r>
      <rPr>
        <vertAlign val="subscript"/>
        <sz val="9"/>
        <rFont val="Times New Roman"/>
        <family val="1"/>
      </rPr>
      <t>8</t>
    </r>
    <phoneticPr fontId="107" type="noConversion"/>
  </si>
  <si>
    <r>
      <t>y</t>
    </r>
    <r>
      <rPr>
        <vertAlign val="subscript"/>
        <sz val="9"/>
        <rFont val="Times New Roman"/>
        <family val="1"/>
      </rPr>
      <t>9</t>
    </r>
    <phoneticPr fontId="107" type="noConversion"/>
  </si>
  <si>
    <r>
      <t>y</t>
    </r>
    <r>
      <rPr>
        <vertAlign val="subscript"/>
        <sz val="9"/>
        <rFont val="Times New Roman"/>
        <family val="1"/>
      </rPr>
      <t xml:space="preserve"> 10</t>
    </r>
    <phoneticPr fontId="107" type="noConversion"/>
  </si>
  <si>
    <r>
      <t>u</t>
    </r>
    <r>
      <rPr>
        <vertAlign val="subscript"/>
        <sz val="12"/>
        <rFont val="Times New Roman"/>
        <family val="1"/>
      </rPr>
      <t>Arel=</t>
    </r>
    <phoneticPr fontId="107" type="noConversion"/>
  </si>
  <si>
    <t xml:space="preserve">误差限 </t>
    <phoneticPr fontId="107" type="noConversion"/>
  </si>
  <si>
    <t>恒流源稳定度引入的不确定度</t>
    <phoneticPr fontId="107" type="noConversion"/>
  </si>
  <si>
    <t>数字电压表示值误差引入的不确定度</t>
    <phoneticPr fontId="107" type="noConversion"/>
  </si>
  <si>
    <t>10000Ω～100000Ω</t>
    <phoneticPr fontId="107" type="noConversion"/>
  </si>
  <si>
    <t xml:space="preserve">误差限 </t>
    <phoneticPr fontId="107" type="noConversion"/>
  </si>
  <si>
    <t>标准电阻箱示值误差导致的相对标准不确定度</t>
    <phoneticPr fontId="107" type="noConversion"/>
  </si>
  <si>
    <t>灵敏度引入的误差导致的测量不确定度</t>
    <phoneticPr fontId="107" type="noConversion"/>
  </si>
  <si>
    <t>单电桥/双电桥</t>
    <phoneticPr fontId="107" type="noConversion"/>
  </si>
  <si>
    <t>1、</t>
    <phoneticPr fontId="107" type="noConversion"/>
  </si>
  <si>
    <t>0.001Ω～0.01Ω</t>
    <phoneticPr fontId="107" type="noConversion"/>
  </si>
  <si>
    <t>（1）不确定度A类评定：</t>
    <phoneticPr fontId="107" type="noConversion"/>
  </si>
  <si>
    <t>10次</t>
    <phoneticPr fontId="107" type="noConversion"/>
  </si>
  <si>
    <t>评定点：</t>
    <phoneticPr fontId="107" type="noConversion"/>
  </si>
  <si>
    <t>Ω</t>
    <phoneticPr fontId="107" type="noConversion"/>
  </si>
  <si>
    <r>
      <t>y</t>
    </r>
    <r>
      <rPr>
        <vertAlign val="subscript"/>
        <sz val="9"/>
        <rFont val="Times New Roman"/>
        <family val="1"/>
      </rPr>
      <t>1</t>
    </r>
    <phoneticPr fontId="107" type="noConversion"/>
  </si>
  <si>
    <r>
      <t>y</t>
    </r>
    <r>
      <rPr>
        <vertAlign val="subscript"/>
        <sz val="9"/>
        <rFont val="Times New Roman"/>
        <family val="1"/>
      </rPr>
      <t>2</t>
    </r>
    <phoneticPr fontId="107" type="noConversion"/>
  </si>
  <si>
    <r>
      <t>y</t>
    </r>
    <r>
      <rPr>
        <vertAlign val="subscript"/>
        <sz val="9"/>
        <rFont val="Times New Roman"/>
        <family val="1"/>
      </rPr>
      <t>3</t>
    </r>
    <phoneticPr fontId="107" type="noConversion"/>
  </si>
  <si>
    <r>
      <t>y</t>
    </r>
    <r>
      <rPr>
        <vertAlign val="subscript"/>
        <sz val="9"/>
        <rFont val="Times New Roman"/>
        <family val="1"/>
      </rPr>
      <t>4</t>
    </r>
    <phoneticPr fontId="107" type="noConversion"/>
  </si>
  <si>
    <r>
      <t>y</t>
    </r>
    <r>
      <rPr>
        <vertAlign val="subscript"/>
        <sz val="9"/>
        <rFont val="Times New Roman"/>
        <family val="1"/>
      </rPr>
      <t>5</t>
    </r>
    <phoneticPr fontId="107" type="noConversion"/>
  </si>
  <si>
    <r>
      <t>y</t>
    </r>
    <r>
      <rPr>
        <vertAlign val="subscript"/>
        <sz val="9"/>
        <rFont val="Times New Roman"/>
        <family val="1"/>
      </rPr>
      <t>6</t>
    </r>
    <phoneticPr fontId="107" type="noConversion"/>
  </si>
  <si>
    <r>
      <t>y</t>
    </r>
    <r>
      <rPr>
        <vertAlign val="subscript"/>
        <sz val="9"/>
        <rFont val="Times New Roman"/>
        <family val="1"/>
      </rPr>
      <t>7</t>
    </r>
    <phoneticPr fontId="107" type="noConversion"/>
  </si>
  <si>
    <r>
      <t>y</t>
    </r>
    <r>
      <rPr>
        <vertAlign val="subscript"/>
        <sz val="9"/>
        <rFont val="Times New Roman"/>
        <family val="1"/>
      </rPr>
      <t>8</t>
    </r>
    <phoneticPr fontId="107" type="noConversion"/>
  </si>
  <si>
    <r>
      <t>y</t>
    </r>
    <r>
      <rPr>
        <vertAlign val="subscript"/>
        <sz val="9"/>
        <rFont val="Times New Roman"/>
        <family val="1"/>
      </rPr>
      <t>9</t>
    </r>
    <phoneticPr fontId="107" type="noConversion"/>
  </si>
  <si>
    <r>
      <t>y</t>
    </r>
    <r>
      <rPr>
        <vertAlign val="subscript"/>
        <sz val="9"/>
        <rFont val="Times New Roman"/>
        <family val="1"/>
      </rPr>
      <t xml:space="preserve"> 10</t>
    </r>
    <phoneticPr fontId="107" type="noConversion"/>
  </si>
  <si>
    <r>
      <t>u</t>
    </r>
    <r>
      <rPr>
        <vertAlign val="subscript"/>
        <sz val="12"/>
        <rFont val="Times New Roman"/>
        <family val="1"/>
      </rPr>
      <t>Arel=</t>
    </r>
    <phoneticPr fontId="107" type="noConversion"/>
  </si>
  <si>
    <t>（2）</t>
    <phoneticPr fontId="107" type="noConversion"/>
  </si>
  <si>
    <t>不确定度B类评定：</t>
    <phoneticPr fontId="107" type="noConversion"/>
  </si>
  <si>
    <t>误差来源</t>
    <phoneticPr fontId="107" type="noConversion"/>
  </si>
  <si>
    <t>误差限</t>
    <phoneticPr fontId="107" type="noConversion"/>
  </si>
  <si>
    <t>误差分布状况</t>
    <phoneticPr fontId="107" type="noConversion"/>
  </si>
  <si>
    <t>不确定度</t>
    <phoneticPr fontId="107" type="noConversion"/>
  </si>
  <si>
    <t>电压表量程间的示值误差不同引入的相对标准不确定度</t>
    <phoneticPr fontId="107" type="noConversion"/>
  </si>
  <si>
    <t>均匀</t>
    <phoneticPr fontId="107" type="noConversion"/>
  </si>
  <si>
    <t>恒流源输出电流不稳引入的相对标准不确定度</t>
    <phoneticPr fontId="107" type="noConversion"/>
  </si>
  <si>
    <t>均匀</t>
    <phoneticPr fontId="107" type="noConversion"/>
  </si>
  <si>
    <t>标准电阻上级测量不确定度引入的相对标准不确定度</t>
    <phoneticPr fontId="107" type="noConversion"/>
  </si>
  <si>
    <t>正态</t>
    <phoneticPr fontId="107" type="noConversion"/>
  </si>
  <si>
    <t>标准电阻阻值年变化引入的相对标准不确定度</t>
    <phoneticPr fontId="107" type="noConversion"/>
  </si>
  <si>
    <t>（3）合成不确定度：</t>
    <phoneticPr fontId="107" type="noConversion"/>
  </si>
  <si>
    <r>
      <rPr>
        <i/>
        <sz val="12"/>
        <rFont val="Times New Roman"/>
        <family val="1"/>
      </rPr>
      <t>u</t>
    </r>
    <r>
      <rPr>
        <vertAlign val="subscript"/>
        <sz val="12"/>
        <rFont val="宋体"/>
        <family val="3"/>
        <charset val="134"/>
      </rPr>
      <t>c=</t>
    </r>
    <phoneticPr fontId="107" type="noConversion"/>
  </si>
  <si>
    <t>（4）扩展不确定度</t>
    <phoneticPr fontId="107" type="noConversion"/>
  </si>
  <si>
    <r>
      <rPr>
        <i/>
        <sz val="12"/>
        <rFont val="宋体"/>
        <family val="3"/>
        <charset val="134"/>
      </rPr>
      <t>U</t>
    </r>
    <r>
      <rPr>
        <sz val="12"/>
        <rFont val="宋体"/>
        <family val="3"/>
        <charset val="134"/>
      </rPr>
      <t>rel=</t>
    </r>
    <phoneticPr fontId="107" type="noConversion"/>
  </si>
  <si>
    <t>2、</t>
    <phoneticPr fontId="107" type="noConversion"/>
  </si>
  <si>
    <t>项目/量程:</t>
    <phoneticPr fontId="107" type="noConversion"/>
  </si>
  <si>
    <t>0.01Ω～0.1Ω</t>
    <phoneticPr fontId="107" type="noConversion"/>
  </si>
  <si>
    <t>（1）不确定度A类评定：</t>
    <phoneticPr fontId="107" type="noConversion"/>
  </si>
  <si>
    <t>10次</t>
    <phoneticPr fontId="107" type="noConversion"/>
  </si>
  <si>
    <t>评定点：</t>
    <phoneticPr fontId="107" type="noConversion"/>
  </si>
  <si>
    <t>Ω</t>
    <phoneticPr fontId="107" type="noConversion"/>
  </si>
  <si>
    <r>
      <t>y</t>
    </r>
    <r>
      <rPr>
        <vertAlign val="subscript"/>
        <sz val="9"/>
        <rFont val="Times New Roman"/>
        <family val="1"/>
      </rPr>
      <t>1</t>
    </r>
    <phoneticPr fontId="107" type="noConversion"/>
  </si>
  <si>
    <r>
      <t>y</t>
    </r>
    <r>
      <rPr>
        <vertAlign val="subscript"/>
        <sz val="9"/>
        <rFont val="Times New Roman"/>
        <family val="1"/>
      </rPr>
      <t>2</t>
    </r>
    <phoneticPr fontId="107" type="noConversion"/>
  </si>
  <si>
    <r>
      <t>y</t>
    </r>
    <r>
      <rPr>
        <vertAlign val="subscript"/>
        <sz val="9"/>
        <rFont val="Times New Roman"/>
        <family val="1"/>
      </rPr>
      <t>3</t>
    </r>
    <phoneticPr fontId="107" type="noConversion"/>
  </si>
  <si>
    <r>
      <t>y</t>
    </r>
    <r>
      <rPr>
        <vertAlign val="subscript"/>
        <sz val="9"/>
        <rFont val="Times New Roman"/>
        <family val="1"/>
      </rPr>
      <t>4</t>
    </r>
    <phoneticPr fontId="107" type="noConversion"/>
  </si>
  <si>
    <r>
      <t>y</t>
    </r>
    <r>
      <rPr>
        <vertAlign val="subscript"/>
        <sz val="9"/>
        <rFont val="Times New Roman"/>
        <family val="1"/>
      </rPr>
      <t>5</t>
    </r>
    <phoneticPr fontId="107" type="noConversion"/>
  </si>
  <si>
    <r>
      <t>y</t>
    </r>
    <r>
      <rPr>
        <vertAlign val="subscript"/>
        <sz val="9"/>
        <rFont val="Times New Roman"/>
        <family val="1"/>
      </rPr>
      <t>6</t>
    </r>
    <phoneticPr fontId="107" type="noConversion"/>
  </si>
  <si>
    <r>
      <t>y</t>
    </r>
    <r>
      <rPr>
        <vertAlign val="subscript"/>
        <sz val="9"/>
        <rFont val="Times New Roman"/>
        <family val="1"/>
      </rPr>
      <t>7</t>
    </r>
    <phoneticPr fontId="107" type="noConversion"/>
  </si>
  <si>
    <r>
      <t>y</t>
    </r>
    <r>
      <rPr>
        <vertAlign val="subscript"/>
        <sz val="9"/>
        <rFont val="Times New Roman"/>
        <family val="1"/>
      </rPr>
      <t>8</t>
    </r>
    <phoneticPr fontId="107" type="noConversion"/>
  </si>
  <si>
    <r>
      <t>y</t>
    </r>
    <r>
      <rPr>
        <vertAlign val="subscript"/>
        <sz val="9"/>
        <rFont val="Times New Roman"/>
        <family val="1"/>
      </rPr>
      <t>9</t>
    </r>
    <phoneticPr fontId="107" type="noConversion"/>
  </si>
  <si>
    <r>
      <t>y</t>
    </r>
    <r>
      <rPr>
        <vertAlign val="subscript"/>
        <sz val="9"/>
        <rFont val="Times New Roman"/>
        <family val="1"/>
      </rPr>
      <t xml:space="preserve"> 10</t>
    </r>
    <phoneticPr fontId="107" type="noConversion"/>
  </si>
  <si>
    <r>
      <t>u</t>
    </r>
    <r>
      <rPr>
        <vertAlign val="subscript"/>
        <sz val="12"/>
        <rFont val="Times New Roman"/>
        <family val="1"/>
      </rPr>
      <t>Arel=</t>
    </r>
    <phoneticPr fontId="107" type="noConversion"/>
  </si>
  <si>
    <t>（2）</t>
    <phoneticPr fontId="107" type="noConversion"/>
  </si>
  <si>
    <t>不确定度B类评定：</t>
    <phoneticPr fontId="107" type="noConversion"/>
  </si>
  <si>
    <t>误差来源</t>
    <phoneticPr fontId="107" type="noConversion"/>
  </si>
  <si>
    <t>误差限</t>
    <phoneticPr fontId="107" type="noConversion"/>
  </si>
  <si>
    <t>误差分布状况</t>
    <phoneticPr fontId="107" type="noConversion"/>
  </si>
  <si>
    <t>不确定度</t>
    <phoneticPr fontId="107" type="noConversion"/>
  </si>
  <si>
    <t>电压表量程间的示值误差不同引入的相对标准不确定度</t>
    <phoneticPr fontId="107" type="noConversion"/>
  </si>
  <si>
    <t>均匀</t>
    <phoneticPr fontId="107" type="noConversion"/>
  </si>
  <si>
    <t>恒流源输出电流不稳引入的相对标准不确定度</t>
    <phoneticPr fontId="107" type="noConversion"/>
  </si>
  <si>
    <t>标准电阻上级测量不确定度引入的相对标准不确定度</t>
    <phoneticPr fontId="107" type="noConversion"/>
  </si>
  <si>
    <t>正态</t>
    <phoneticPr fontId="107" type="noConversion"/>
  </si>
  <si>
    <t>标准电阻阻值年变化引入的相对标准不确定度</t>
    <phoneticPr fontId="107" type="noConversion"/>
  </si>
  <si>
    <t>UB</t>
    <phoneticPr fontId="107" type="noConversion"/>
  </si>
  <si>
    <t>（3）合成不确定度：</t>
    <phoneticPr fontId="107" type="noConversion"/>
  </si>
  <si>
    <r>
      <rPr>
        <i/>
        <sz val="12"/>
        <rFont val="Times New Roman"/>
        <family val="1"/>
      </rPr>
      <t>u</t>
    </r>
    <r>
      <rPr>
        <vertAlign val="subscript"/>
        <sz val="12"/>
        <rFont val="宋体"/>
        <family val="3"/>
        <charset val="134"/>
      </rPr>
      <t>c=</t>
    </r>
    <phoneticPr fontId="107" type="noConversion"/>
  </si>
  <si>
    <t>（4）扩展不确定度</t>
    <phoneticPr fontId="107" type="noConversion"/>
  </si>
  <si>
    <r>
      <rPr>
        <i/>
        <sz val="12"/>
        <rFont val="宋体"/>
        <family val="3"/>
        <charset val="134"/>
      </rPr>
      <t>U</t>
    </r>
    <r>
      <rPr>
        <sz val="12"/>
        <rFont val="宋体"/>
        <family val="3"/>
        <charset val="134"/>
      </rPr>
      <t>rel=</t>
    </r>
    <phoneticPr fontId="107" type="noConversion"/>
  </si>
  <si>
    <t>3、</t>
    <phoneticPr fontId="107" type="noConversion"/>
  </si>
  <si>
    <t>0.1Ω～1Ω</t>
    <phoneticPr fontId="107" type="noConversion"/>
  </si>
  <si>
    <t>（2）</t>
    <phoneticPr fontId="107" type="noConversion"/>
  </si>
  <si>
    <t>不确定度B类评定：</t>
    <phoneticPr fontId="107" type="noConversion"/>
  </si>
  <si>
    <t>误差来源</t>
    <phoneticPr fontId="107" type="noConversion"/>
  </si>
  <si>
    <t>误差限</t>
    <phoneticPr fontId="107" type="noConversion"/>
  </si>
  <si>
    <t>误差分布状况</t>
    <phoneticPr fontId="107" type="noConversion"/>
  </si>
  <si>
    <t>不确定度</t>
    <phoneticPr fontId="107" type="noConversion"/>
  </si>
  <si>
    <t>电压表量程间的示值误差不同引入的相对标准不确定度</t>
    <phoneticPr fontId="107" type="noConversion"/>
  </si>
  <si>
    <t>均匀</t>
    <phoneticPr fontId="107" type="noConversion"/>
  </si>
  <si>
    <t>恒流源输出电流不稳引入的相对标准不确定度</t>
    <phoneticPr fontId="107" type="noConversion"/>
  </si>
  <si>
    <t>标准电阻上级测量不确定度引入的相对标准不确定度</t>
    <phoneticPr fontId="107" type="noConversion"/>
  </si>
  <si>
    <t>正态</t>
    <phoneticPr fontId="107" type="noConversion"/>
  </si>
  <si>
    <t>4、</t>
    <phoneticPr fontId="107" type="noConversion"/>
  </si>
  <si>
    <t>1Ω～100kΩ</t>
    <phoneticPr fontId="107" type="noConversion"/>
  </si>
  <si>
    <r>
      <t>所有u</t>
    </r>
    <r>
      <rPr>
        <sz val="12"/>
        <rFont val="宋体"/>
        <family val="3"/>
        <charset val="134"/>
      </rPr>
      <t>b相同，只是ua不同</t>
    </r>
    <phoneticPr fontId="107" type="noConversion"/>
  </si>
  <si>
    <t>两边都包含</t>
    <phoneticPr fontId="107" type="noConversion"/>
  </si>
  <si>
    <t>接地电阻测试仪电阻</t>
    <phoneticPr fontId="107" type="noConversion"/>
  </si>
  <si>
    <t>电阻</t>
    <phoneticPr fontId="107" type="noConversion"/>
  </si>
  <si>
    <t>源稳定度</t>
    <phoneticPr fontId="107" type="noConversion"/>
  </si>
  <si>
    <t>误差限</t>
    <phoneticPr fontId="107" type="noConversion"/>
  </si>
  <si>
    <t>电压表量程间的示值误差不同引入的相对标准不确定度</t>
    <phoneticPr fontId="107" type="noConversion"/>
  </si>
  <si>
    <t>恒流源输出电流不稳引入的相对标准不确定度</t>
    <phoneticPr fontId="107" type="noConversion"/>
  </si>
  <si>
    <t>（2）</t>
    <phoneticPr fontId="107" type="noConversion"/>
  </si>
  <si>
    <t>不确定度B类评定：</t>
    <phoneticPr fontId="107" type="noConversion"/>
  </si>
  <si>
    <t>误差来源</t>
    <phoneticPr fontId="107" type="noConversion"/>
  </si>
  <si>
    <t>误差限</t>
    <phoneticPr fontId="107" type="noConversion"/>
  </si>
  <si>
    <t>误差分布状况</t>
    <phoneticPr fontId="107" type="noConversion"/>
  </si>
  <si>
    <t>不确定度</t>
    <phoneticPr fontId="107" type="noConversion"/>
  </si>
  <si>
    <t>电压表量程间的示值误差不同引入的相对标准不确定度</t>
    <phoneticPr fontId="107" type="noConversion"/>
  </si>
  <si>
    <t>均匀</t>
    <phoneticPr fontId="107" type="noConversion"/>
  </si>
  <si>
    <t>恒流源输出电流不稳引入的相对标准不确定度</t>
    <phoneticPr fontId="107" type="noConversion"/>
  </si>
  <si>
    <t>UB</t>
    <phoneticPr fontId="107" type="noConversion"/>
  </si>
  <si>
    <t>（3）合成不确定度：</t>
    <phoneticPr fontId="107" type="noConversion"/>
  </si>
  <si>
    <r>
      <rPr>
        <i/>
        <sz val="12"/>
        <rFont val="Times New Roman"/>
        <family val="1"/>
      </rPr>
      <t>u</t>
    </r>
    <r>
      <rPr>
        <vertAlign val="subscript"/>
        <sz val="12"/>
        <rFont val="宋体"/>
        <family val="3"/>
        <charset val="134"/>
      </rPr>
      <t>c=</t>
    </r>
    <phoneticPr fontId="107" type="noConversion"/>
  </si>
  <si>
    <t>（4）扩展不确定度</t>
    <phoneticPr fontId="107" type="noConversion"/>
  </si>
  <si>
    <r>
      <rPr>
        <i/>
        <sz val="12"/>
        <rFont val="宋体"/>
        <family val="3"/>
        <charset val="134"/>
      </rPr>
      <t>U</t>
    </r>
    <r>
      <rPr>
        <sz val="12"/>
        <rFont val="宋体"/>
        <family val="3"/>
        <charset val="134"/>
      </rPr>
      <t>rel=</t>
    </r>
    <phoneticPr fontId="107" type="noConversion"/>
  </si>
  <si>
    <t>恒流源稳定度</t>
    <phoneticPr fontId="107" type="noConversion"/>
  </si>
  <si>
    <t>1、</t>
    <phoneticPr fontId="107" type="noConversion"/>
  </si>
  <si>
    <t>kΩ</t>
    <phoneticPr fontId="107" type="noConversion"/>
  </si>
  <si>
    <r>
      <t>y</t>
    </r>
    <r>
      <rPr>
        <vertAlign val="subscript"/>
        <sz val="9"/>
        <rFont val="Times New Roman"/>
        <family val="1"/>
      </rPr>
      <t>1</t>
    </r>
    <phoneticPr fontId="107" type="noConversion"/>
  </si>
  <si>
    <r>
      <t>y</t>
    </r>
    <r>
      <rPr>
        <vertAlign val="subscript"/>
        <sz val="9"/>
        <rFont val="Times New Roman"/>
        <family val="1"/>
      </rPr>
      <t>3</t>
    </r>
    <phoneticPr fontId="107" type="noConversion"/>
  </si>
  <si>
    <r>
      <t>y</t>
    </r>
    <r>
      <rPr>
        <vertAlign val="subscript"/>
        <sz val="9"/>
        <rFont val="Times New Roman"/>
        <family val="1"/>
      </rPr>
      <t>4</t>
    </r>
    <phoneticPr fontId="107" type="noConversion"/>
  </si>
  <si>
    <r>
      <t>y</t>
    </r>
    <r>
      <rPr>
        <vertAlign val="subscript"/>
        <sz val="9"/>
        <rFont val="Times New Roman"/>
        <family val="1"/>
      </rPr>
      <t>5</t>
    </r>
    <phoneticPr fontId="107" type="noConversion"/>
  </si>
  <si>
    <r>
      <t>y</t>
    </r>
    <r>
      <rPr>
        <vertAlign val="subscript"/>
        <sz val="9"/>
        <rFont val="Times New Roman"/>
        <family val="1"/>
      </rPr>
      <t>6</t>
    </r>
    <phoneticPr fontId="107" type="noConversion"/>
  </si>
  <si>
    <r>
      <t>y</t>
    </r>
    <r>
      <rPr>
        <vertAlign val="subscript"/>
        <sz val="9"/>
        <rFont val="Times New Roman"/>
        <family val="1"/>
      </rPr>
      <t>7</t>
    </r>
    <phoneticPr fontId="107" type="noConversion"/>
  </si>
  <si>
    <r>
      <t>y</t>
    </r>
    <r>
      <rPr>
        <vertAlign val="subscript"/>
        <sz val="9"/>
        <rFont val="Times New Roman"/>
        <family val="1"/>
      </rPr>
      <t>8</t>
    </r>
    <phoneticPr fontId="107" type="noConversion"/>
  </si>
  <si>
    <r>
      <t>y</t>
    </r>
    <r>
      <rPr>
        <vertAlign val="subscript"/>
        <sz val="9"/>
        <rFont val="Times New Roman"/>
        <family val="1"/>
      </rPr>
      <t>9</t>
    </r>
    <phoneticPr fontId="107" type="noConversion"/>
  </si>
  <si>
    <r>
      <t>y</t>
    </r>
    <r>
      <rPr>
        <vertAlign val="subscript"/>
        <sz val="9"/>
        <rFont val="Times New Roman"/>
        <family val="1"/>
      </rPr>
      <t xml:space="preserve"> 10</t>
    </r>
    <phoneticPr fontId="107" type="noConversion"/>
  </si>
  <si>
    <r>
      <t>u</t>
    </r>
    <r>
      <rPr>
        <vertAlign val="subscript"/>
        <sz val="12"/>
        <rFont val="Times New Roman"/>
        <family val="1"/>
      </rPr>
      <t>Arel=</t>
    </r>
    <phoneticPr fontId="107" type="noConversion"/>
  </si>
  <si>
    <t>（2）</t>
    <phoneticPr fontId="107" type="noConversion"/>
  </si>
  <si>
    <t>不确定度B类评定：</t>
    <phoneticPr fontId="107" type="noConversion"/>
  </si>
  <si>
    <t>误差来源</t>
    <phoneticPr fontId="107" type="noConversion"/>
  </si>
  <si>
    <t>误差限</t>
    <phoneticPr fontId="107" type="noConversion"/>
  </si>
  <si>
    <t>概率分布</t>
    <phoneticPr fontId="107" type="noConversion"/>
  </si>
  <si>
    <t>k</t>
    <phoneticPr fontId="107" type="noConversion"/>
  </si>
  <si>
    <r>
      <t>不确定度</t>
    </r>
    <r>
      <rPr>
        <i/>
        <sz val="11"/>
        <rFont val="宋体"/>
        <family val="3"/>
        <charset val="134"/>
      </rPr>
      <t/>
    </r>
    <phoneticPr fontId="107" type="noConversion"/>
  </si>
  <si>
    <t>电压表量程间的示值误差不同引入的相对标准不确定度</t>
    <phoneticPr fontId="107" type="noConversion"/>
  </si>
  <si>
    <t>均匀</t>
    <phoneticPr fontId="107" type="noConversion"/>
  </si>
  <si>
    <t>电压源输出电压不稳定引入的相对标准不确定度</t>
    <phoneticPr fontId="107" type="noConversion"/>
  </si>
  <si>
    <t>标准电阻阻值年变化引入的相对标准不确定度</t>
    <phoneticPr fontId="107" type="noConversion"/>
  </si>
  <si>
    <t>高阻箱开关接触电阻变差引入的相对标准不确定度</t>
    <phoneticPr fontId="107" type="noConversion"/>
  </si>
  <si>
    <t>UB</t>
    <phoneticPr fontId="107" type="noConversion"/>
  </si>
  <si>
    <t>（3）合成不确定度：</t>
    <phoneticPr fontId="107" type="noConversion"/>
  </si>
  <si>
    <r>
      <rPr>
        <i/>
        <sz val="12"/>
        <rFont val="Times New Roman"/>
        <family val="1"/>
      </rPr>
      <t>u</t>
    </r>
    <r>
      <rPr>
        <vertAlign val="subscript"/>
        <sz val="12"/>
        <rFont val="宋体"/>
        <family val="3"/>
        <charset val="134"/>
      </rPr>
      <t>c=</t>
    </r>
    <phoneticPr fontId="107" type="noConversion"/>
  </si>
  <si>
    <t>（4）扩展不确定度</t>
    <phoneticPr fontId="107" type="noConversion"/>
  </si>
  <si>
    <r>
      <rPr>
        <i/>
        <sz val="12"/>
        <rFont val="宋体"/>
        <family val="3"/>
        <charset val="134"/>
      </rPr>
      <t>U</t>
    </r>
    <r>
      <rPr>
        <sz val="12"/>
        <rFont val="宋体"/>
        <family val="3"/>
        <charset val="134"/>
      </rPr>
      <t>rel=</t>
    </r>
    <phoneticPr fontId="107" type="noConversion"/>
  </si>
  <si>
    <t>2、</t>
    <phoneticPr fontId="107" type="noConversion"/>
  </si>
  <si>
    <t>项目/量程:</t>
    <phoneticPr fontId="107" type="noConversion"/>
  </si>
  <si>
    <t>（1）不确定度A类评定：</t>
    <phoneticPr fontId="107" type="noConversion"/>
  </si>
  <si>
    <t>10次</t>
    <phoneticPr fontId="107" type="noConversion"/>
  </si>
  <si>
    <t>评定点：</t>
    <phoneticPr fontId="107" type="noConversion"/>
  </si>
  <si>
    <t>GΩ</t>
    <phoneticPr fontId="107" type="noConversion"/>
  </si>
  <si>
    <r>
      <t>y</t>
    </r>
    <r>
      <rPr>
        <vertAlign val="subscript"/>
        <sz val="9"/>
        <rFont val="Times New Roman"/>
        <family val="1"/>
      </rPr>
      <t>2</t>
    </r>
    <phoneticPr fontId="107" type="noConversion"/>
  </si>
  <si>
    <r>
      <t>y</t>
    </r>
    <r>
      <rPr>
        <vertAlign val="subscript"/>
        <sz val="9"/>
        <rFont val="Times New Roman"/>
        <family val="1"/>
      </rPr>
      <t>3</t>
    </r>
    <phoneticPr fontId="107" type="noConversion"/>
  </si>
  <si>
    <r>
      <t>y</t>
    </r>
    <r>
      <rPr>
        <vertAlign val="subscript"/>
        <sz val="9"/>
        <rFont val="Times New Roman"/>
        <family val="1"/>
      </rPr>
      <t>4</t>
    </r>
    <phoneticPr fontId="107" type="noConversion"/>
  </si>
  <si>
    <r>
      <t>y</t>
    </r>
    <r>
      <rPr>
        <vertAlign val="subscript"/>
        <sz val="9"/>
        <rFont val="Times New Roman"/>
        <family val="1"/>
      </rPr>
      <t>5</t>
    </r>
    <phoneticPr fontId="107" type="noConversion"/>
  </si>
  <si>
    <r>
      <t>y</t>
    </r>
    <r>
      <rPr>
        <vertAlign val="subscript"/>
        <sz val="9"/>
        <rFont val="Times New Roman"/>
        <family val="1"/>
      </rPr>
      <t>6</t>
    </r>
    <phoneticPr fontId="107" type="noConversion"/>
  </si>
  <si>
    <r>
      <t>y</t>
    </r>
    <r>
      <rPr>
        <vertAlign val="subscript"/>
        <sz val="9"/>
        <rFont val="Times New Roman"/>
        <family val="1"/>
      </rPr>
      <t>7</t>
    </r>
    <phoneticPr fontId="107" type="noConversion"/>
  </si>
  <si>
    <r>
      <t>y</t>
    </r>
    <r>
      <rPr>
        <vertAlign val="subscript"/>
        <sz val="9"/>
        <rFont val="Times New Roman"/>
        <family val="1"/>
      </rPr>
      <t>8</t>
    </r>
    <phoneticPr fontId="107" type="noConversion"/>
  </si>
  <si>
    <r>
      <t>y</t>
    </r>
    <r>
      <rPr>
        <vertAlign val="subscript"/>
        <sz val="9"/>
        <rFont val="Times New Roman"/>
        <family val="1"/>
      </rPr>
      <t>9</t>
    </r>
    <phoneticPr fontId="107" type="noConversion"/>
  </si>
  <si>
    <r>
      <t>y</t>
    </r>
    <r>
      <rPr>
        <vertAlign val="subscript"/>
        <sz val="9"/>
        <rFont val="Times New Roman"/>
        <family val="1"/>
      </rPr>
      <t xml:space="preserve"> 10</t>
    </r>
    <phoneticPr fontId="107" type="noConversion"/>
  </si>
  <si>
    <r>
      <t>u</t>
    </r>
    <r>
      <rPr>
        <vertAlign val="subscript"/>
        <sz val="12"/>
        <rFont val="Times New Roman"/>
        <family val="1"/>
      </rPr>
      <t>Arel=</t>
    </r>
    <phoneticPr fontId="107" type="noConversion"/>
  </si>
  <si>
    <t>概率分布</t>
    <phoneticPr fontId="107" type="noConversion"/>
  </si>
  <si>
    <t>k</t>
    <phoneticPr fontId="107" type="noConversion"/>
  </si>
  <si>
    <r>
      <t>不确定度</t>
    </r>
    <r>
      <rPr>
        <i/>
        <sz val="11"/>
        <rFont val="宋体"/>
        <family val="3"/>
        <charset val="134"/>
      </rPr>
      <t/>
    </r>
    <phoneticPr fontId="107" type="noConversion"/>
  </si>
  <si>
    <t>电压源输出电压不稳定引入的相对标准不确定度</t>
    <phoneticPr fontId="107" type="noConversion"/>
  </si>
  <si>
    <t>标准电阻阻值年变化引入的相对标准不确定度</t>
    <phoneticPr fontId="107" type="noConversion"/>
  </si>
  <si>
    <t>分压箱分压比误差引入的相对标准不确定度</t>
    <phoneticPr fontId="107" type="noConversion"/>
  </si>
  <si>
    <t>100Ω～10GΩ</t>
    <phoneticPr fontId="107" type="noConversion"/>
  </si>
  <si>
    <t>包括10GΩ</t>
    <phoneticPr fontId="107" type="noConversion"/>
  </si>
  <si>
    <t>10GΩ～500GΩ</t>
    <phoneticPr fontId="107" type="noConversion"/>
  </si>
  <si>
    <t>不包括10GΩ</t>
    <phoneticPr fontId="107" type="noConversion"/>
  </si>
  <si>
    <t>电压示值(V)</t>
  </si>
  <si>
    <t>量限</t>
  </si>
  <si>
    <t>偏离零位</t>
    <phoneticPr fontId="2" type="noConversion"/>
  </si>
  <si>
    <r>
      <t>单相</t>
    </r>
    <r>
      <rPr>
        <sz val="11"/>
        <rFont val="Times New Roman"/>
        <family val="1"/>
      </rPr>
      <t>/</t>
    </r>
    <r>
      <rPr>
        <sz val="11"/>
        <rFont val="宋体"/>
        <family val="3"/>
        <charset val="134"/>
      </rPr>
      <t>三相平衡负载</t>
    </r>
    <r>
      <rPr>
        <sz val="11"/>
        <rFont val="Times New Roman"/>
        <family val="1"/>
      </rPr>
      <t xml:space="preserve"> </t>
    </r>
    <r>
      <rPr>
        <sz val="11"/>
        <rFont val="宋体"/>
        <family val="3"/>
        <charset val="134"/>
      </rPr>
      <t>基本误差</t>
    </r>
    <r>
      <rPr>
        <sz val="11"/>
        <rFont val="Times New Roman"/>
        <family val="1"/>
      </rPr>
      <t>/%</t>
    </r>
    <phoneticPr fontId="31" type="noConversion"/>
  </si>
  <si>
    <r>
      <t>0.01</t>
    </r>
    <r>
      <rPr>
        <i/>
        <sz val="11"/>
        <rFont val="Times New Roman"/>
        <family val="1"/>
      </rPr>
      <t>I</t>
    </r>
    <r>
      <rPr>
        <vertAlign val="subscript"/>
        <sz val="11"/>
        <rFont val="Times New Roman"/>
        <family val="1"/>
      </rPr>
      <t>n</t>
    </r>
    <phoneticPr fontId="31" type="noConversion"/>
  </si>
  <si>
    <t>粉色代表数据录入</t>
    <phoneticPr fontId="118" type="noConversion"/>
  </si>
  <si>
    <t>蓝色代表方案功能要确定</t>
    <phoneticPr fontId="118" type="noConversion"/>
  </si>
  <si>
    <t>JJG 724-1991 直流数字式欧姆表检定规程</t>
    <phoneticPr fontId="2" type="noConversion"/>
  </si>
  <si>
    <t>JJG 445-1986 直流标准电压源检定规程</t>
    <phoneticPr fontId="2" type="noConversion"/>
  </si>
  <si>
    <t>JJG 410-94 精密交流电压校准源检定规程</t>
    <phoneticPr fontId="2" type="noConversion"/>
  </si>
  <si>
    <t>潜动试验</t>
    <phoneticPr fontId="31" type="noConversion"/>
  </si>
  <si>
    <t>起动试验</t>
    <phoneticPr fontId="31" type="noConversion"/>
  </si>
  <si>
    <t>仪表常数试验</t>
    <phoneticPr fontId="31" type="noConversion"/>
  </si>
  <si>
    <t>时钟日计时误差</t>
    <phoneticPr fontId="31" type="noConversion"/>
  </si>
  <si>
    <t>测量范围</t>
    <phoneticPr fontId="77" type="noConversion"/>
  </si>
  <si>
    <t>外观检查</t>
    <phoneticPr fontId="77" type="noConversion"/>
  </si>
  <si>
    <t>输入电压</t>
    <phoneticPr fontId="77" type="noConversion"/>
  </si>
  <si>
    <t>测量误差</t>
    <phoneticPr fontId="5" type="noConversion"/>
  </si>
  <si>
    <t>220V</t>
    <phoneticPr fontId="99" type="noConversion"/>
  </si>
  <si>
    <t>标准仪器的示值误差</t>
    <phoneticPr fontId="99" type="noConversion"/>
  </si>
  <si>
    <t>100MΩ～1GΩ</t>
    <phoneticPr fontId="99" type="noConversion"/>
  </si>
  <si>
    <t>1GΩ～10GΩ</t>
    <phoneticPr fontId="99" type="noConversion"/>
  </si>
  <si>
    <t>10GΩ～100GΩ</t>
    <phoneticPr fontId="99" type="noConversion"/>
  </si>
  <si>
    <t>100kΩ～100MΩ</t>
    <phoneticPr fontId="99" type="noConversion"/>
  </si>
  <si>
    <t>修约</t>
    <phoneticPr fontId="99" type="noConversion"/>
  </si>
  <si>
    <t>标准仪器的示值误差</t>
    <phoneticPr fontId="99" type="noConversion"/>
  </si>
  <si>
    <t xml:space="preserve">JJG 596-2012电子式交流电能表检定规程  </t>
    <phoneticPr fontId="31" type="noConversion"/>
  </si>
  <si>
    <t>负载</t>
    <phoneticPr fontId="69" type="noConversion"/>
  </si>
  <si>
    <t>负载电流</t>
    <phoneticPr fontId="69" type="noConversion"/>
  </si>
  <si>
    <t>功率因数</t>
    <phoneticPr fontId="69" type="noConversion"/>
  </si>
  <si>
    <r>
      <rPr>
        <i/>
        <sz val="12"/>
        <rFont val="宋体"/>
        <family val="3"/>
        <charset val="134"/>
      </rPr>
      <t>U</t>
    </r>
    <r>
      <rPr>
        <sz val="6"/>
        <rFont val="宋体"/>
        <family val="3"/>
        <charset val="134"/>
      </rPr>
      <t>rel</t>
    </r>
    <r>
      <rPr>
        <sz val="12"/>
        <rFont val="宋体"/>
        <family val="3"/>
        <charset val="134"/>
      </rPr>
      <t>(</t>
    </r>
    <r>
      <rPr>
        <i/>
        <sz val="12"/>
        <rFont val="宋体"/>
        <family val="3"/>
        <charset val="134"/>
      </rPr>
      <t>k</t>
    </r>
    <r>
      <rPr>
        <sz val="12"/>
        <rFont val="宋体"/>
        <family val="3"/>
        <charset val="134"/>
      </rPr>
      <t>=2)</t>
    </r>
    <phoneticPr fontId="69" type="noConversion"/>
  </si>
  <si>
    <r>
      <t xml:space="preserve">单相 </t>
    </r>
    <r>
      <rPr>
        <sz val="12"/>
        <rFont val="宋体"/>
        <family val="3"/>
        <charset val="134"/>
      </rPr>
      <t xml:space="preserve"> </t>
    </r>
    <phoneticPr fontId="69" type="noConversion"/>
  </si>
  <si>
    <t>/</t>
    <phoneticPr fontId="69" type="noConversion"/>
  </si>
  <si>
    <t>/</t>
    <phoneticPr fontId="69" type="noConversion"/>
  </si>
  <si>
    <r>
      <t>0.0</t>
    </r>
    <r>
      <rPr>
        <sz val="12"/>
        <rFont val="宋体"/>
        <family val="3"/>
        <charset val="134"/>
      </rPr>
      <t>1</t>
    </r>
    <r>
      <rPr>
        <i/>
        <sz val="12"/>
        <rFont val="宋体"/>
        <family val="3"/>
        <charset val="134"/>
      </rPr>
      <t>I</t>
    </r>
    <r>
      <rPr>
        <vertAlign val="subscript"/>
        <sz val="12"/>
        <rFont val="宋体"/>
        <family val="3"/>
        <charset val="134"/>
      </rPr>
      <t>n</t>
    </r>
    <r>
      <rPr>
        <sz val="12"/>
        <rFont val="宋体"/>
        <family val="3"/>
        <charset val="134"/>
      </rPr>
      <t>～</t>
    </r>
    <r>
      <rPr>
        <i/>
        <sz val="12"/>
        <rFont val="宋体"/>
        <family val="3"/>
        <charset val="134"/>
      </rPr>
      <t>I</t>
    </r>
    <r>
      <rPr>
        <vertAlign val="subscript"/>
        <sz val="12"/>
        <rFont val="宋体"/>
        <family val="3"/>
        <charset val="134"/>
      </rPr>
      <t>max</t>
    </r>
    <phoneticPr fontId="69" type="noConversion"/>
  </si>
  <si>
    <r>
      <t>0.</t>
    </r>
    <r>
      <rPr>
        <sz val="12"/>
        <rFont val="宋体"/>
        <family val="3"/>
        <charset val="134"/>
      </rPr>
      <t>02</t>
    </r>
    <r>
      <rPr>
        <i/>
        <sz val="12"/>
        <rFont val="宋体"/>
        <family val="3"/>
        <charset val="134"/>
      </rPr>
      <t>I</t>
    </r>
    <r>
      <rPr>
        <vertAlign val="subscript"/>
        <sz val="12"/>
        <rFont val="宋体"/>
        <family val="3"/>
        <charset val="134"/>
      </rPr>
      <t>n</t>
    </r>
    <r>
      <rPr>
        <sz val="12"/>
        <rFont val="宋体"/>
        <family val="3"/>
        <charset val="134"/>
      </rPr>
      <t>～</t>
    </r>
    <r>
      <rPr>
        <i/>
        <sz val="12"/>
        <rFont val="宋体"/>
        <family val="3"/>
        <charset val="134"/>
      </rPr>
      <t>I</t>
    </r>
    <r>
      <rPr>
        <vertAlign val="subscript"/>
        <sz val="12"/>
        <rFont val="宋体"/>
        <family val="3"/>
        <charset val="134"/>
      </rPr>
      <t>max</t>
    </r>
    <phoneticPr fontId="69" type="noConversion"/>
  </si>
  <si>
    <r>
      <t>0.1</t>
    </r>
    <r>
      <rPr>
        <i/>
        <sz val="12"/>
        <rFont val="宋体"/>
        <family val="3"/>
        <charset val="134"/>
      </rPr>
      <t>I</t>
    </r>
    <r>
      <rPr>
        <vertAlign val="subscript"/>
        <sz val="12"/>
        <rFont val="宋体"/>
        <family val="3"/>
        <charset val="134"/>
      </rPr>
      <t>n</t>
    </r>
    <r>
      <rPr>
        <sz val="12"/>
        <rFont val="宋体"/>
        <family val="3"/>
        <charset val="134"/>
      </rPr>
      <t>～</t>
    </r>
    <r>
      <rPr>
        <i/>
        <sz val="12"/>
        <rFont val="宋体"/>
        <family val="3"/>
        <charset val="134"/>
      </rPr>
      <t>I</t>
    </r>
    <r>
      <rPr>
        <vertAlign val="subscript"/>
        <sz val="12"/>
        <rFont val="宋体"/>
        <family val="3"/>
        <charset val="134"/>
      </rPr>
      <t>max</t>
    </r>
    <phoneticPr fontId="69" type="noConversion"/>
  </si>
  <si>
    <r>
      <t>0.1</t>
    </r>
    <r>
      <rPr>
        <i/>
        <sz val="12"/>
        <rFont val="宋体"/>
        <family val="3"/>
        <charset val="134"/>
      </rPr>
      <t>I</t>
    </r>
    <r>
      <rPr>
        <vertAlign val="subscript"/>
        <sz val="12"/>
        <rFont val="宋体"/>
        <family val="3"/>
        <charset val="134"/>
      </rPr>
      <t>n</t>
    </r>
    <r>
      <rPr>
        <sz val="12"/>
        <rFont val="宋体"/>
        <family val="3"/>
        <charset val="134"/>
      </rPr>
      <t>～</t>
    </r>
    <r>
      <rPr>
        <i/>
        <sz val="12"/>
        <rFont val="宋体"/>
        <family val="3"/>
        <charset val="134"/>
      </rPr>
      <t>I</t>
    </r>
    <r>
      <rPr>
        <vertAlign val="subscript"/>
        <sz val="12"/>
        <rFont val="宋体"/>
        <family val="3"/>
        <charset val="134"/>
      </rPr>
      <t>max</t>
    </r>
    <phoneticPr fontId="69" type="noConversion"/>
  </si>
  <si>
    <t>0.5L、0.8C</t>
    <phoneticPr fontId="69" type="noConversion"/>
  </si>
  <si>
    <t>0.5C</t>
    <phoneticPr fontId="69" type="noConversion"/>
  </si>
  <si>
    <t>0.25L</t>
    <phoneticPr fontId="69" type="noConversion"/>
  </si>
  <si>
    <t>平衡负载</t>
    <phoneticPr fontId="69" type="noConversion"/>
  </si>
  <si>
    <t>不平衡负载</t>
    <phoneticPr fontId="69" type="noConversion"/>
  </si>
  <si>
    <r>
      <t>0.1</t>
    </r>
    <r>
      <rPr>
        <i/>
        <sz val="12"/>
        <rFont val="宋体"/>
        <family val="3"/>
        <charset val="134"/>
      </rPr>
      <t>I</t>
    </r>
    <r>
      <rPr>
        <vertAlign val="subscript"/>
        <sz val="12"/>
        <rFont val="宋体"/>
        <family val="3"/>
        <charset val="134"/>
      </rPr>
      <t>n</t>
    </r>
    <r>
      <rPr>
        <sz val="12"/>
        <rFont val="宋体"/>
        <family val="3"/>
        <charset val="134"/>
      </rPr>
      <t>～</t>
    </r>
    <r>
      <rPr>
        <i/>
        <sz val="12"/>
        <rFont val="宋体"/>
        <family val="3"/>
        <charset val="134"/>
      </rPr>
      <t>I</t>
    </r>
    <r>
      <rPr>
        <vertAlign val="subscript"/>
        <sz val="12"/>
        <rFont val="宋体"/>
        <family val="3"/>
        <charset val="134"/>
      </rPr>
      <t>max</t>
    </r>
    <phoneticPr fontId="69" type="noConversion"/>
  </si>
  <si>
    <r>
      <t>0.05</t>
    </r>
    <r>
      <rPr>
        <i/>
        <sz val="12"/>
        <rFont val="宋体"/>
        <family val="3"/>
        <charset val="134"/>
      </rPr>
      <t>I</t>
    </r>
    <r>
      <rPr>
        <vertAlign val="subscript"/>
        <sz val="12"/>
        <rFont val="宋体"/>
        <family val="3"/>
        <charset val="134"/>
      </rPr>
      <t>n</t>
    </r>
    <r>
      <rPr>
        <sz val="12"/>
        <rFont val="宋体"/>
        <family val="3"/>
        <charset val="134"/>
      </rPr>
      <t>～</t>
    </r>
    <r>
      <rPr>
        <i/>
        <sz val="12"/>
        <rFont val="宋体"/>
        <family val="3"/>
        <charset val="134"/>
      </rPr>
      <t>I</t>
    </r>
    <r>
      <rPr>
        <vertAlign val="subscript"/>
        <sz val="12"/>
        <rFont val="宋体"/>
        <family val="3"/>
        <charset val="134"/>
      </rPr>
      <t>max</t>
    </r>
    <phoneticPr fontId="69" type="noConversion"/>
  </si>
  <si>
    <t>0.5C</t>
    <phoneticPr fontId="69" type="noConversion"/>
  </si>
  <si>
    <r>
      <t>0.5L</t>
    </r>
    <r>
      <rPr>
        <sz val="11"/>
        <rFont val="宋体"/>
        <family val="3"/>
        <charset val="134"/>
      </rPr>
      <t/>
    </r>
    <phoneticPr fontId="69" type="noConversion"/>
  </si>
  <si>
    <r>
      <t>0.5L、0.8C、</t>
    </r>
    <r>
      <rPr>
        <sz val="12"/>
        <rFont val="宋体"/>
        <family val="3"/>
        <charset val="134"/>
      </rPr>
      <t>0.5C</t>
    </r>
    <phoneticPr fontId="69" type="noConversion"/>
  </si>
  <si>
    <t>0.25L</t>
    <phoneticPr fontId="69" type="noConversion"/>
  </si>
  <si>
    <r>
      <t>0.5L</t>
    </r>
    <r>
      <rPr>
        <sz val="11"/>
        <rFont val="宋体"/>
        <family val="3"/>
        <charset val="134"/>
      </rPr>
      <t/>
    </r>
    <phoneticPr fontId="69" type="noConversion"/>
  </si>
  <si>
    <r>
      <t>0.0</t>
    </r>
    <r>
      <rPr>
        <sz val="12"/>
        <rFont val="宋体"/>
        <family val="3"/>
        <charset val="134"/>
      </rPr>
      <t>1</t>
    </r>
    <r>
      <rPr>
        <i/>
        <sz val="12"/>
        <rFont val="宋体"/>
        <family val="3"/>
        <charset val="134"/>
      </rPr>
      <t>I</t>
    </r>
    <r>
      <rPr>
        <vertAlign val="subscript"/>
        <sz val="12"/>
        <rFont val="宋体"/>
        <family val="3"/>
        <charset val="134"/>
      </rPr>
      <t>n</t>
    </r>
    <r>
      <rPr>
        <sz val="12"/>
        <rFont val="宋体"/>
        <family val="3"/>
        <charset val="134"/>
      </rPr>
      <t>～</t>
    </r>
    <r>
      <rPr>
        <i/>
        <sz val="12"/>
        <rFont val="宋体"/>
        <family val="3"/>
        <charset val="134"/>
      </rPr>
      <t>I</t>
    </r>
    <r>
      <rPr>
        <vertAlign val="subscript"/>
        <sz val="12"/>
        <rFont val="宋体"/>
        <family val="3"/>
        <charset val="134"/>
      </rPr>
      <t>max</t>
    </r>
    <phoneticPr fontId="69" type="noConversion"/>
  </si>
  <si>
    <t>（电压100、电压57.7算法相同）</t>
  </si>
  <si>
    <r>
      <t>U</t>
    </r>
    <r>
      <rPr>
        <i/>
        <vertAlign val="subscript"/>
        <sz val="12"/>
        <rFont val="宋体"/>
        <family val="3"/>
        <charset val="134"/>
      </rPr>
      <t>A</t>
    </r>
    <phoneticPr fontId="77" type="noConversion"/>
  </si>
  <si>
    <r>
      <t>U</t>
    </r>
    <r>
      <rPr>
        <vertAlign val="subscript"/>
        <sz val="12"/>
        <rFont val="宋体"/>
        <family val="3"/>
        <charset val="134"/>
      </rPr>
      <t>B</t>
    </r>
    <phoneticPr fontId="77" type="noConversion"/>
  </si>
  <si>
    <t>uc</t>
    <phoneticPr fontId="77" type="noConversion"/>
  </si>
  <si>
    <r>
      <t>校准结果的不确定度（</t>
    </r>
    <r>
      <rPr>
        <i/>
        <sz val="12"/>
        <color indexed="8"/>
        <rFont val="宋体"/>
        <family val="3"/>
        <charset val="134"/>
      </rPr>
      <t>k</t>
    </r>
    <r>
      <rPr>
        <sz val="12"/>
        <color indexed="8"/>
        <rFont val="宋体"/>
        <family val="3"/>
        <charset val="134"/>
      </rPr>
      <t>=2）</t>
    </r>
    <phoneticPr fontId="77" type="noConversion"/>
  </si>
  <si>
    <t>量程</t>
    <phoneticPr fontId="77" type="noConversion"/>
  </si>
  <si>
    <t>DC1</t>
    <phoneticPr fontId="77" type="noConversion"/>
  </si>
  <si>
    <t>最大升降变差：</t>
  </si>
  <si>
    <t>最大基本误差：</t>
    <phoneticPr fontId="2" type="noConversion"/>
  </si>
  <si>
    <t>最大升降变差：</t>
    <phoneticPr fontId="2" type="noConversion"/>
  </si>
  <si>
    <t>检定、校准原始记录：</t>
    <phoneticPr fontId="2" type="noConversion"/>
  </si>
  <si>
    <t>检定、校准证书：</t>
    <phoneticPr fontId="2" type="noConversion"/>
  </si>
  <si>
    <t>合格/不合格</t>
    <phoneticPr fontId="2" type="noConversion"/>
  </si>
  <si>
    <t>偏离零位：</t>
    <phoneticPr fontId="2" type="noConversion"/>
  </si>
  <si>
    <t>等级</t>
    <phoneticPr fontId="2" type="noConversion"/>
  </si>
  <si>
    <t>棕色代表不确定度计算</t>
    <phoneticPr fontId="118" type="noConversion"/>
  </si>
  <si>
    <t>绿色代表误差计算</t>
    <phoneticPr fontId="118" type="noConversion"/>
  </si>
  <si>
    <t>不需要维护，
仅在数据录入环节填写对应数据</t>
    <phoneticPr fontId="2" type="noConversion"/>
  </si>
  <si>
    <t>合格、不合格，
检定、校准的原始和证书数据一致</t>
    <phoneticPr fontId="2" type="noConversion"/>
  </si>
  <si>
    <r>
      <t>校准结果的不确定度（</t>
    </r>
    <r>
      <rPr>
        <i/>
        <sz val="12"/>
        <color indexed="8"/>
        <rFont val="宋体"/>
        <family val="3"/>
        <charset val="134"/>
      </rPr>
      <t>k</t>
    </r>
    <r>
      <rPr>
        <sz val="12"/>
        <color indexed="8"/>
        <rFont val="宋体"/>
        <family val="3"/>
        <charset val="134"/>
      </rPr>
      <t>=2）</t>
    </r>
    <phoneticPr fontId="77" type="noConversion"/>
  </si>
  <si>
    <t>（5）报告不确定度</t>
    <phoneticPr fontId="124" type="noConversion"/>
  </si>
  <si>
    <t xml:space="preserve">    扩展不确定度为：</t>
    <phoneticPr fontId="124" type="noConversion"/>
  </si>
  <si>
    <t>数据录入，</t>
    <phoneticPr fontId="2" type="noConversion"/>
  </si>
  <si>
    <t>检定证书：</t>
    <phoneticPr fontId="2" type="noConversion"/>
  </si>
  <si>
    <t>校准证书：</t>
    <phoneticPr fontId="2" type="noConversion"/>
  </si>
  <si>
    <t>检测很成熟了，删除的检测项目不测试，因为当前没有检测条件，是毁灭性试验。</t>
    <phoneticPr fontId="2" type="noConversion"/>
  </si>
  <si>
    <t>1.1、基本误差和升降变差的检定：</t>
    <phoneticPr fontId="2" type="noConversion"/>
  </si>
  <si>
    <r>
      <t>校准结果的不确定度</t>
    </r>
    <r>
      <rPr>
        <sz val="11"/>
        <rFont val="宋体"/>
        <family val="3"/>
        <charset val="134"/>
      </rPr>
      <t>　　(</t>
    </r>
    <r>
      <rPr>
        <i/>
        <sz val="11"/>
        <rFont val="宋体"/>
        <family val="3"/>
        <charset val="134"/>
      </rPr>
      <t>k</t>
    </r>
    <r>
      <rPr>
        <sz val="11"/>
        <rFont val="宋体"/>
        <family val="3"/>
        <charset val="134"/>
      </rPr>
      <t>=2)</t>
    </r>
    <phoneticPr fontId="77" type="noConversion"/>
  </si>
  <si>
    <t>检定、校准原始：</t>
    <phoneticPr fontId="2" type="noConversion"/>
  </si>
  <si>
    <t>JJG 603-2006 频率表</t>
    <phoneticPr fontId="77" type="noConversion"/>
  </si>
  <si>
    <t>检定、校准原始：</t>
    <phoneticPr fontId="77" type="noConversion"/>
  </si>
  <si>
    <t>检定证书：</t>
    <phoneticPr fontId="77" type="noConversion"/>
  </si>
  <si>
    <t>校准证书：</t>
    <phoneticPr fontId="77" type="noConversion"/>
  </si>
  <si>
    <t>不测</t>
    <phoneticPr fontId="77" type="noConversion"/>
  </si>
  <si>
    <r>
      <t>指示值(</t>
    </r>
    <r>
      <rPr>
        <sz val="11"/>
        <rFont val="宋体"/>
        <family val="3"/>
        <charset val="134"/>
      </rPr>
      <t>Hz</t>
    </r>
    <r>
      <rPr>
        <sz val="11"/>
        <rFont val="宋体"/>
        <family val="3"/>
        <charset val="134"/>
      </rPr>
      <t>)</t>
    </r>
    <phoneticPr fontId="77" type="noConversion"/>
  </si>
  <si>
    <t>上升误差(%)</t>
    <phoneticPr fontId="77" type="noConversion"/>
  </si>
  <si>
    <t>最大基本误差：</t>
    <phoneticPr fontId="2" type="noConversion"/>
  </si>
  <si>
    <t>最大升降变差：</t>
    <phoneticPr fontId="2" type="noConversion"/>
  </si>
  <si>
    <t>档位：</t>
    <phoneticPr fontId="99" type="noConversion"/>
  </si>
  <si>
    <t>（5）报告不确定度</t>
    <phoneticPr fontId="2" type="noConversion"/>
  </si>
  <si>
    <t xml:space="preserve">    扩展不确定度为：</t>
    <phoneticPr fontId="2" type="noConversion"/>
  </si>
  <si>
    <r>
      <rPr>
        <i/>
        <sz val="12"/>
        <rFont val="宋体"/>
        <family val="3"/>
        <charset val="134"/>
      </rPr>
      <t xml:space="preserve">                  U</t>
    </r>
    <r>
      <rPr>
        <i/>
        <vertAlign val="subscript"/>
        <sz val="12"/>
        <rFont val="宋体"/>
        <family val="3"/>
        <charset val="134"/>
      </rPr>
      <t>A</t>
    </r>
    <r>
      <rPr>
        <sz val="12"/>
        <rFont val="Times New Roman"/>
        <family val="1"/>
      </rPr>
      <t>=</t>
    </r>
    <phoneticPr fontId="99" type="noConversion"/>
  </si>
  <si>
    <r>
      <rPr>
        <i/>
        <sz val="12"/>
        <rFont val="宋体"/>
        <family val="3"/>
        <charset val="134"/>
      </rPr>
      <t xml:space="preserve">                  </t>
    </r>
    <r>
      <rPr>
        <i/>
        <sz val="12"/>
        <rFont val="宋体"/>
        <family val="3"/>
        <charset val="134"/>
      </rPr>
      <t>U</t>
    </r>
    <r>
      <rPr>
        <vertAlign val="subscript"/>
        <sz val="12"/>
        <rFont val="宋体"/>
        <family val="3"/>
        <charset val="134"/>
      </rPr>
      <t>B</t>
    </r>
    <r>
      <rPr>
        <sz val="12"/>
        <rFont val="宋体"/>
        <family val="3"/>
        <charset val="134"/>
      </rPr>
      <t>=</t>
    </r>
    <phoneticPr fontId="99" type="noConversion"/>
  </si>
  <si>
    <r>
      <rPr>
        <i/>
        <sz val="12"/>
        <rFont val="宋体"/>
        <family val="3"/>
        <charset val="134"/>
      </rPr>
      <t xml:space="preserve">                  </t>
    </r>
    <r>
      <rPr>
        <i/>
        <sz val="12"/>
        <rFont val="Times New Roman"/>
        <family val="1"/>
      </rPr>
      <t>u</t>
    </r>
    <r>
      <rPr>
        <vertAlign val="subscript"/>
        <sz val="12"/>
        <rFont val="宋体"/>
        <family val="3"/>
        <charset val="134"/>
      </rPr>
      <t>c</t>
    </r>
    <r>
      <rPr>
        <sz val="12"/>
        <rFont val="宋体"/>
        <family val="3"/>
        <charset val="134"/>
      </rPr>
      <t>=</t>
    </r>
    <phoneticPr fontId="99" type="noConversion"/>
  </si>
  <si>
    <r>
      <rPr>
        <i/>
        <sz val="12"/>
        <rFont val="宋体"/>
        <family val="3"/>
        <charset val="134"/>
      </rPr>
      <t xml:space="preserve">                </t>
    </r>
    <r>
      <rPr>
        <i/>
        <sz val="12"/>
        <rFont val="宋体"/>
        <family val="3"/>
        <charset val="134"/>
      </rPr>
      <t>U</t>
    </r>
    <r>
      <rPr>
        <sz val="12"/>
        <rFont val="宋体"/>
        <family val="3"/>
        <charset val="134"/>
      </rPr>
      <t>rel=</t>
    </r>
    <phoneticPr fontId="99" type="noConversion"/>
  </si>
  <si>
    <r>
      <rPr>
        <sz val="12"/>
        <rFont val="宋体"/>
        <family val="3"/>
        <charset val="134"/>
      </rPr>
      <t>U</t>
    </r>
    <r>
      <rPr>
        <vertAlign val="subscript"/>
        <sz val="12"/>
        <rFont val="宋体"/>
        <family val="3"/>
        <charset val="134"/>
      </rPr>
      <t>A</t>
    </r>
    <r>
      <rPr>
        <sz val="12"/>
        <rFont val="宋体"/>
        <family val="3"/>
        <charset val="134"/>
      </rPr>
      <t>=</t>
    </r>
    <phoneticPr fontId="95" type="noConversion"/>
  </si>
  <si>
    <r>
      <rPr>
        <i/>
        <sz val="12"/>
        <rFont val="宋体"/>
        <family val="3"/>
        <charset val="134"/>
      </rPr>
      <t xml:space="preserve">     </t>
    </r>
    <r>
      <rPr>
        <i/>
        <sz val="12"/>
        <rFont val="宋体"/>
        <family val="3"/>
        <charset val="134"/>
      </rPr>
      <t>U</t>
    </r>
    <r>
      <rPr>
        <vertAlign val="subscript"/>
        <sz val="12"/>
        <rFont val="宋体"/>
        <family val="3"/>
        <charset val="134"/>
      </rPr>
      <t>B</t>
    </r>
    <r>
      <rPr>
        <sz val="12"/>
        <rFont val="宋体"/>
        <family val="3"/>
        <charset val="134"/>
      </rPr>
      <t>=</t>
    </r>
    <phoneticPr fontId="95" type="noConversion"/>
  </si>
  <si>
    <r>
      <t>y</t>
    </r>
    <r>
      <rPr>
        <vertAlign val="subscript"/>
        <sz val="9"/>
        <rFont val="Times New Roman"/>
        <family val="1"/>
      </rPr>
      <t>4</t>
    </r>
    <r>
      <rPr>
        <sz val="9"/>
        <rFont val="Times New Roman"/>
        <family val="1"/>
      </rPr>
      <t>/y</t>
    </r>
    <r>
      <rPr>
        <vertAlign val="subscript"/>
        <sz val="9"/>
        <rFont val="Times New Roman"/>
        <family val="1"/>
      </rPr>
      <t>9</t>
    </r>
    <phoneticPr fontId="99" type="noConversion"/>
  </si>
  <si>
    <r>
      <t>U</t>
    </r>
    <r>
      <rPr>
        <vertAlign val="subscript"/>
        <sz val="12"/>
        <rFont val="Times New Roman"/>
        <family val="1"/>
      </rPr>
      <t>A=</t>
    </r>
    <phoneticPr fontId="99" type="noConversion"/>
  </si>
  <si>
    <r>
      <rPr>
        <i/>
        <sz val="12"/>
        <rFont val="宋体"/>
        <family val="3"/>
        <charset val="134"/>
      </rPr>
      <t>U</t>
    </r>
    <r>
      <rPr>
        <vertAlign val="subscript"/>
        <sz val="12"/>
        <rFont val="宋体"/>
        <family val="3"/>
        <charset val="134"/>
      </rPr>
      <t>B</t>
    </r>
    <r>
      <rPr>
        <vertAlign val="subscript"/>
        <sz val="12"/>
        <rFont val="宋体"/>
        <family val="3"/>
        <charset val="134"/>
      </rPr>
      <t>=</t>
    </r>
    <phoneticPr fontId="99" type="noConversion"/>
  </si>
  <si>
    <r>
      <t>U</t>
    </r>
    <r>
      <rPr>
        <vertAlign val="subscript"/>
        <sz val="12"/>
        <rFont val="Times New Roman"/>
        <family val="1"/>
      </rPr>
      <t>A</t>
    </r>
    <r>
      <rPr>
        <i/>
        <sz val="12"/>
        <rFont val="Times New Roman"/>
        <family val="1"/>
      </rPr>
      <t>=</t>
    </r>
    <phoneticPr fontId="99" type="noConversion"/>
  </si>
  <si>
    <r>
      <t>U</t>
    </r>
    <r>
      <rPr>
        <vertAlign val="subscript"/>
        <sz val="12"/>
        <rFont val="Times New Roman"/>
        <family val="1"/>
      </rPr>
      <t>A</t>
    </r>
    <r>
      <rPr>
        <i/>
        <sz val="12"/>
        <rFont val="Times New Roman"/>
        <family val="1"/>
      </rPr>
      <t>=</t>
    </r>
    <phoneticPr fontId="99" type="noConversion"/>
  </si>
  <si>
    <r>
      <t>y</t>
    </r>
    <r>
      <rPr>
        <sz val="12"/>
        <rFont val="宋体"/>
        <family val="3"/>
        <charset val="134"/>
      </rPr>
      <t>化整为与三相的平衡负载有功电能误差一样</t>
    </r>
    <phoneticPr fontId="31" type="noConversion"/>
  </si>
  <si>
    <r>
      <rPr>
        <i/>
        <sz val="12"/>
        <rFont val="Times New Roman"/>
        <family val="1"/>
      </rPr>
      <t>U</t>
    </r>
    <r>
      <rPr>
        <vertAlign val="subscript"/>
        <sz val="12"/>
        <rFont val="Times New Roman"/>
        <family val="1"/>
      </rPr>
      <t>n</t>
    </r>
    <phoneticPr fontId="2" type="noConversion"/>
  </si>
  <si>
    <r>
      <rPr>
        <i/>
        <sz val="12"/>
        <rFont val="Times New Roman"/>
        <family val="1"/>
      </rPr>
      <t>I</t>
    </r>
    <r>
      <rPr>
        <vertAlign val="subscript"/>
        <sz val="12"/>
        <rFont val="Times New Roman"/>
        <family val="1"/>
      </rPr>
      <t>b</t>
    </r>
    <phoneticPr fontId="2" type="noConversion"/>
  </si>
  <si>
    <r>
      <t>cos</t>
    </r>
    <r>
      <rPr>
        <i/>
        <sz val="12"/>
        <rFont val="Times New Roman"/>
        <family val="1"/>
      </rPr>
      <t>φ</t>
    </r>
    <phoneticPr fontId="2" type="noConversion"/>
  </si>
  <si>
    <r>
      <rPr>
        <i/>
        <sz val="12"/>
        <rFont val="Times New Roman"/>
        <family val="1"/>
      </rPr>
      <t>I</t>
    </r>
    <r>
      <rPr>
        <vertAlign val="subscript"/>
        <sz val="12"/>
        <rFont val="Times New Roman"/>
        <family val="1"/>
      </rPr>
      <t>b</t>
    </r>
    <r>
      <rPr>
        <sz val="12"/>
        <rFont val="Times New Roman"/>
        <family val="1"/>
      </rPr>
      <t>(%)</t>
    </r>
    <phoneticPr fontId="2" type="noConversion"/>
  </si>
  <si>
    <r>
      <rPr>
        <i/>
        <sz val="12"/>
        <rFont val="Times New Roman"/>
        <family val="1"/>
      </rPr>
      <t>γ</t>
    </r>
    <r>
      <rPr>
        <sz val="12"/>
        <rFont val="Times New Roman"/>
        <family val="1"/>
      </rPr>
      <t>(%)</t>
    </r>
    <phoneticPr fontId="2" type="noConversion"/>
  </si>
  <si>
    <r>
      <t>s</t>
    </r>
    <r>
      <rPr>
        <sz val="12"/>
        <rFont val="Times New Roman"/>
        <family val="1"/>
      </rPr>
      <t>(%)</t>
    </r>
    <phoneticPr fontId="2" type="noConversion"/>
  </si>
  <si>
    <t>/</t>
    <phoneticPr fontId="2" type="noConversion"/>
  </si>
  <si>
    <t>0.5L</t>
    <phoneticPr fontId="2" type="noConversion"/>
  </si>
  <si>
    <t>0.8C</t>
    <phoneticPr fontId="2" type="noConversion"/>
  </si>
  <si>
    <t>1.0</t>
    <phoneticPr fontId="2" type="noConversion"/>
  </si>
  <si>
    <t>相线及测量模式</t>
    <phoneticPr fontId="2" type="noConversion"/>
  </si>
  <si>
    <t>7、 电能标准偏差估计值：</t>
    <phoneticPr fontId="31" type="noConversion"/>
  </si>
  <si>
    <t>相线及测量模式</t>
    <phoneticPr fontId="2" type="noConversion"/>
  </si>
  <si>
    <r>
      <rPr>
        <i/>
        <sz val="12"/>
        <rFont val="宋体"/>
        <family val="3"/>
        <charset val="134"/>
      </rPr>
      <t>U</t>
    </r>
    <r>
      <rPr>
        <vertAlign val="subscript"/>
        <sz val="12"/>
        <rFont val="宋体"/>
        <family val="3"/>
        <charset val="134"/>
      </rPr>
      <t>n</t>
    </r>
    <phoneticPr fontId="2" type="noConversion"/>
  </si>
  <si>
    <r>
      <rPr>
        <i/>
        <sz val="12"/>
        <rFont val="宋体"/>
        <family val="3"/>
        <charset val="134"/>
      </rPr>
      <t>I</t>
    </r>
    <r>
      <rPr>
        <vertAlign val="subscript"/>
        <sz val="12"/>
        <rFont val="宋体"/>
        <family val="3"/>
        <charset val="134"/>
      </rPr>
      <t>b</t>
    </r>
    <phoneticPr fontId="2" type="noConversion"/>
  </si>
  <si>
    <r>
      <t>cos</t>
    </r>
    <r>
      <rPr>
        <i/>
        <sz val="12"/>
        <rFont val="Times New Roman"/>
        <family val="1"/>
      </rPr>
      <t>φ</t>
    </r>
    <phoneticPr fontId="2" type="noConversion"/>
  </si>
  <si>
    <r>
      <rPr>
        <i/>
        <sz val="12"/>
        <rFont val="宋体"/>
        <family val="3"/>
        <charset val="134"/>
      </rPr>
      <t>I</t>
    </r>
    <r>
      <rPr>
        <vertAlign val="subscript"/>
        <sz val="12"/>
        <rFont val="宋体"/>
        <family val="3"/>
        <charset val="134"/>
      </rPr>
      <t>b</t>
    </r>
    <r>
      <rPr>
        <sz val="12"/>
        <rFont val="宋体"/>
        <family val="3"/>
        <charset val="134"/>
      </rPr>
      <t>(%)</t>
    </r>
    <phoneticPr fontId="2" type="noConversion"/>
  </si>
  <si>
    <r>
      <rPr>
        <i/>
        <sz val="12"/>
        <rFont val="宋体"/>
        <family val="3"/>
        <charset val="134"/>
      </rPr>
      <t>γ</t>
    </r>
    <r>
      <rPr>
        <sz val="12"/>
        <rFont val="宋体"/>
        <family val="3"/>
        <charset val="134"/>
      </rPr>
      <t>(%)</t>
    </r>
    <phoneticPr fontId="2" type="noConversion"/>
  </si>
  <si>
    <r>
      <t>s</t>
    </r>
    <r>
      <rPr>
        <sz val="12"/>
        <rFont val="宋体"/>
        <family val="3"/>
        <charset val="134"/>
      </rPr>
      <t>(%)</t>
    </r>
    <phoneticPr fontId="2" type="noConversion"/>
  </si>
  <si>
    <t>0.5L</t>
    <phoneticPr fontId="2" type="noConversion"/>
  </si>
  <si>
    <t>/</t>
    <phoneticPr fontId="2" type="noConversion"/>
  </si>
  <si>
    <t>/</t>
    <phoneticPr fontId="2" type="noConversion"/>
  </si>
  <si>
    <t>0.8C</t>
    <phoneticPr fontId="2" type="noConversion"/>
  </si>
  <si>
    <t>/</t>
    <phoneticPr fontId="2" type="noConversion"/>
  </si>
  <si>
    <t>/</t>
    <phoneticPr fontId="2" type="noConversion"/>
  </si>
  <si>
    <t>1.1</t>
  </si>
  <si>
    <t>0.6L</t>
  </si>
  <si>
    <t>校准结果的不确定度
(%)（k=2）</t>
    <phoneticPr fontId="2" type="noConversion"/>
  </si>
  <si>
    <t>校准结果的不确定度
(%)（k=2）</t>
    <phoneticPr fontId="31" type="noConversion"/>
  </si>
  <si>
    <t>单相-检定证书</t>
    <phoneticPr fontId="31" type="noConversion"/>
  </si>
  <si>
    <t>单相-校准证书</t>
    <phoneticPr fontId="31" type="noConversion"/>
  </si>
  <si>
    <t>检定、校准原始</t>
    <phoneticPr fontId="31" type="noConversion"/>
  </si>
  <si>
    <t>单相有功电能误差和标准偏差估计值</t>
    <phoneticPr fontId="31" type="noConversion"/>
  </si>
  <si>
    <t>与电能基本误差在证书中合并生成一个表</t>
    <phoneticPr fontId="31" type="noConversion"/>
  </si>
  <si>
    <t>检定、校准证书：</t>
    <phoneticPr fontId="31" type="noConversion"/>
  </si>
  <si>
    <t>检定、校准证书：</t>
    <phoneticPr fontId="31" type="noConversion"/>
  </si>
  <si>
    <t>/</t>
    <phoneticPr fontId="2" type="noConversion"/>
  </si>
  <si>
    <t>检定、校准原始</t>
    <phoneticPr fontId="31" type="noConversion"/>
  </si>
  <si>
    <t>=</t>
    <phoneticPr fontId="31" type="noConversion"/>
  </si>
  <si>
    <t>检定、校准原始</t>
    <phoneticPr fontId="31" type="noConversion"/>
  </si>
  <si>
    <r>
      <t>|</t>
    </r>
    <r>
      <rPr>
        <i/>
        <sz val="12"/>
        <rFont val="Times New Roman"/>
        <family val="1"/>
      </rPr>
      <t>γ</t>
    </r>
    <r>
      <rPr>
        <vertAlign val="subscript"/>
        <sz val="12"/>
        <rFont val="Times New Roman"/>
        <family val="1"/>
      </rPr>
      <t>max</t>
    </r>
    <r>
      <rPr>
        <sz val="12"/>
        <rFont val="Times New Roman"/>
        <family val="1"/>
      </rPr>
      <t>—</t>
    </r>
    <r>
      <rPr>
        <i/>
        <sz val="12"/>
        <rFont val="Times New Roman"/>
        <family val="1"/>
      </rPr>
      <t>γ</t>
    </r>
    <r>
      <rPr>
        <vertAlign val="subscript"/>
        <sz val="12"/>
        <rFont val="Times New Roman"/>
        <family val="1"/>
      </rPr>
      <t>min</t>
    </r>
    <r>
      <rPr>
        <sz val="12"/>
        <rFont val="Times New Roman"/>
        <family val="1"/>
      </rPr>
      <t xml:space="preserve"> |(%)</t>
    </r>
    <phoneticPr fontId="31" type="noConversion"/>
  </si>
  <si>
    <t xml:space="preserve">   </t>
    <phoneticPr fontId="31" type="noConversion"/>
  </si>
  <si>
    <t xml:space="preserve"> </t>
    <phoneticPr fontId="31" type="noConversion"/>
  </si>
  <si>
    <r>
      <rPr>
        <i/>
        <sz val="12"/>
        <rFont val="宋体"/>
        <family val="3"/>
        <charset val="134"/>
      </rPr>
      <t>U</t>
    </r>
    <r>
      <rPr>
        <vertAlign val="subscript"/>
        <sz val="12"/>
        <rFont val="宋体"/>
        <family val="3"/>
        <charset val="134"/>
      </rPr>
      <t>n</t>
    </r>
    <phoneticPr fontId="2" type="noConversion"/>
  </si>
  <si>
    <r>
      <rPr>
        <i/>
        <sz val="12"/>
        <rFont val="宋体"/>
        <family val="3"/>
        <charset val="134"/>
      </rPr>
      <t>I</t>
    </r>
    <r>
      <rPr>
        <vertAlign val="subscript"/>
        <sz val="12"/>
        <rFont val="宋体"/>
        <family val="3"/>
        <charset val="134"/>
      </rPr>
      <t>b</t>
    </r>
    <phoneticPr fontId="2" type="noConversion"/>
  </si>
  <si>
    <r>
      <t>cos</t>
    </r>
    <r>
      <rPr>
        <i/>
        <sz val="12"/>
        <rFont val="Symbol"/>
        <family val="1"/>
        <charset val="2"/>
      </rPr>
      <t>f</t>
    </r>
    <phoneticPr fontId="2" type="noConversion"/>
  </si>
  <si>
    <r>
      <rPr>
        <i/>
        <sz val="12"/>
        <rFont val="宋体"/>
        <family val="3"/>
        <charset val="134"/>
      </rPr>
      <t>I</t>
    </r>
    <r>
      <rPr>
        <vertAlign val="subscript"/>
        <sz val="12"/>
        <rFont val="宋体"/>
        <family val="3"/>
        <charset val="134"/>
      </rPr>
      <t>b</t>
    </r>
    <r>
      <rPr>
        <sz val="12"/>
        <rFont val="宋体"/>
        <family val="3"/>
        <charset val="134"/>
      </rPr>
      <t>(%)</t>
    </r>
    <phoneticPr fontId="2" type="noConversion"/>
  </si>
  <si>
    <r>
      <rPr>
        <i/>
        <sz val="12"/>
        <rFont val="宋体"/>
        <family val="3"/>
        <charset val="134"/>
      </rPr>
      <t>γ</t>
    </r>
    <r>
      <rPr>
        <sz val="12"/>
        <rFont val="宋体"/>
        <family val="3"/>
        <charset val="134"/>
      </rPr>
      <t>(%)</t>
    </r>
    <phoneticPr fontId="2" type="noConversion"/>
  </si>
  <si>
    <r>
      <t>s</t>
    </r>
    <r>
      <rPr>
        <sz val="12"/>
        <rFont val="宋体"/>
        <family val="3"/>
        <charset val="134"/>
      </rPr>
      <t>(%)</t>
    </r>
    <phoneticPr fontId="2" type="noConversion"/>
  </si>
  <si>
    <t>检定证书</t>
    <phoneticPr fontId="31" type="noConversion"/>
  </si>
  <si>
    <t>校准证书</t>
    <phoneticPr fontId="31" type="noConversion"/>
  </si>
  <si>
    <t>校准结果的不确定度
(%)（k=2）</t>
    <phoneticPr fontId="31" type="noConversion"/>
  </si>
  <si>
    <r>
      <t>校准结果的不确定度</t>
    </r>
    <r>
      <rPr>
        <sz val="10"/>
        <rFont val="宋体"/>
        <family val="3"/>
        <charset val="134"/>
      </rPr>
      <t>(%)（</t>
    </r>
    <r>
      <rPr>
        <i/>
        <sz val="10"/>
        <rFont val="宋体"/>
        <family val="3"/>
        <charset val="134"/>
      </rPr>
      <t>k</t>
    </r>
    <r>
      <rPr>
        <sz val="10"/>
        <rFont val="宋体"/>
        <family val="3"/>
        <charset val="134"/>
      </rPr>
      <t>=2）</t>
    </r>
    <phoneticPr fontId="2" type="noConversion"/>
  </si>
  <si>
    <r>
      <rPr>
        <i/>
        <sz val="12"/>
        <rFont val="宋体"/>
        <family val="3"/>
        <charset val="134"/>
      </rPr>
      <t xml:space="preserve"> I</t>
    </r>
    <r>
      <rPr>
        <vertAlign val="subscript"/>
        <sz val="12"/>
        <rFont val="宋体"/>
        <family val="3"/>
        <charset val="134"/>
      </rPr>
      <t>b</t>
    </r>
    <r>
      <rPr>
        <sz val="12"/>
        <rFont val="宋体"/>
        <family val="3"/>
        <charset val="134"/>
      </rPr>
      <t xml:space="preserve">(%)           </t>
    </r>
    <r>
      <rPr>
        <i/>
        <sz val="12"/>
        <rFont val="宋体"/>
        <family val="3"/>
        <charset val="134"/>
      </rPr>
      <t xml:space="preserve"> γ</t>
    </r>
    <r>
      <rPr>
        <sz val="12"/>
        <rFont val="宋体"/>
        <family val="3"/>
        <charset val="134"/>
      </rPr>
      <t>(%)</t>
    </r>
    <phoneticPr fontId="2" type="noConversion"/>
  </si>
  <si>
    <t>A相</t>
    <phoneticPr fontId="2" type="noConversion"/>
  </si>
  <si>
    <t>B相</t>
    <phoneticPr fontId="2" type="noConversion"/>
  </si>
  <si>
    <t>C相</t>
    <phoneticPr fontId="2" type="noConversion"/>
  </si>
  <si>
    <r>
      <t>功率因数(cos</t>
    </r>
    <r>
      <rPr>
        <i/>
        <sz val="12"/>
        <rFont val="Symbol"/>
        <family val="1"/>
        <charset val="2"/>
      </rPr>
      <t>q</t>
    </r>
    <r>
      <rPr>
        <sz val="12"/>
        <rFont val="宋体"/>
        <family val="3"/>
        <charset val="134"/>
      </rPr>
      <t>)</t>
    </r>
    <phoneticPr fontId="2" type="noConversion"/>
  </si>
  <si>
    <t>检定证书：</t>
    <phoneticPr fontId="31" type="noConversion"/>
  </si>
  <si>
    <t>校准证书：</t>
    <phoneticPr fontId="31" type="noConversion"/>
  </si>
  <si>
    <r>
      <t>校准结果的不确定度</t>
    </r>
    <r>
      <rPr>
        <i/>
        <sz val="12"/>
        <rFont val="宋体"/>
        <family val="3"/>
        <charset val="134"/>
      </rPr>
      <t>U</t>
    </r>
    <r>
      <rPr>
        <vertAlign val="subscript"/>
        <sz val="12"/>
        <rFont val="宋体"/>
        <family val="3"/>
        <charset val="134"/>
      </rPr>
      <t>rel</t>
    </r>
    <r>
      <rPr>
        <sz val="12"/>
        <rFont val="宋体"/>
        <family val="3"/>
        <charset val="134"/>
      </rPr>
      <t>(%)（</t>
    </r>
    <r>
      <rPr>
        <i/>
        <sz val="12"/>
        <rFont val="宋体"/>
        <family val="3"/>
        <charset val="134"/>
      </rPr>
      <t>k</t>
    </r>
    <r>
      <rPr>
        <sz val="12"/>
        <rFont val="宋体"/>
        <family val="3"/>
        <charset val="134"/>
      </rPr>
      <t>=2）</t>
    </r>
    <phoneticPr fontId="2" type="noConversion"/>
  </si>
  <si>
    <t>6、电能基本误差：</t>
    <phoneticPr fontId="31" type="noConversion"/>
  </si>
  <si>
    <t>三相</t>
    <phoneticPr fontId="31" type="noConversion"/>
  </si>
  <si>
    <t>检定、校准原始</t>
    <phoneticPr fontId="31" type="noConversion"/>
  </si>
  <si>
    <r>
      <t>8、</t>
    </r>
    <r>
      <rPr>
        <sz val="12"/>
        <rFont val="宋体"/>
        <family val="3"/>
        <charset val="134"/>
      </rPr>
      <t>24h</t>
    </r>
    <r>
      <rPr>
        <sz val="12"/>
        <rFont val="宋体"/>
        <family val="3"/>
        <charset val="134"/>
      </rPr>
      <t>变差</t>
    </r>
    <r>
      <rPr>
        <sz val="12"/>
        <rFont val="宋体"/>
        <family val="3"/>
        <charset val="134"/>
      </rPr>
      <t>(%)</t>
    </r>
    <r>
      <rPr>
        <sz val="12"/>
        <rFont val="宋体"/>
        <family val="3"/>
        <charset val="134"/>
      </rPr>
      <t>：</t>
    </r>
    <phoneticPr fontId="31" type="noConversion"/>
  </si>
  <si>
    <r>
      <t>9、</t>
    </r>
    <r>
      <rPr>
        <sz val="12"/>
        <rFont val="宋体"/>
        <family val="3"/>
        <charset val="134"/>
      </rPr>
      <t>8h</t>
    </r>
    <r>
      <rPr>
        <sz val="12"/>
        <rFont val="宋体"/>
        <family val="3"/>
        <charset val="134"/>
      </rPr>
      <t>变差改变量</t>
    </r>
    <r>
      <rPr>
        <sz val="12"/>
        <rFont val="宋体"/>
        <family val="3"/>
        <charset val="134"/>
      </rPr>
      <t xml:space="preserve">(%): </t>
    </r>
    <phoneticPr fontId="31" type="noConversion"/>
  </si>
  <si>
    <t>a.平衡负载时有功电能误差</t>
    <phoneticPr fontId="31" type="noConversion"/>
  </si>
  <si>
    <t>平衡负载时有功电能误差</t>
    <phoneticPr fontId="31" type="noConversion"/>
  </si>
  <si>
    <t>b.不平衡负载时有功电能误差</t>
    <phoneticPr fontId="31" type="noConversion"/>
  </si>
  <si>
    <t>不平衡负载时有功电能误差</t>
    <phoneticPr fontId="31" type="noConversion"/>
  </si>
  <si>
    <t>a.单相有功电能误差</t>
    <phoneticPr fontId="31" type="noConversion"/>
  </si>
  <si>
    <t>单相有功电能误差</t>
    <phoneticPr fontId="31" type="noConversion"/>
  </si>
  <si>
    <t>正向有功  经互感器接入</t>
    <phoneticPr fontId="31" type="noConversion"/>
  </si>
  <si>
    <t>反向有功  经互感器接入</t>
    <phoneticPr fontId="31" type="noConversion"/>
  </si>
  <si>
    <t>正向无功  经互感器接入</t>
    <phoneticPr fontId="31" type="noConversion"/>
  </si>
  <si>
    <t>反向无功  经互感器接入</t>
    <phoneticPr fontId="31" type="noConversion"/>
  </si>
  <si>
    <t>正向有功  直接接入</t>
    <phoneticPr fontId="31" type="noConversion"/>
  </si>
  <si>
    <t>反向有功  直接接入</t>
    <phoneticPr fontId="31" type="noConversion"/>
  </si>
  <si>
    <t>正向无功  直接接入</t>
    <phoneticPr fontId="31" type="noConversion"/>
  </si>
  <si>
    <t>反向无功  直接接入</t>
    <phoneticPr fontId="31" type="noConversion"/>
  </si>
  <si>
    <t>--</t>
    <phoneticPr fontId="131" type="noConversion"/>
  </si>
  <si>
    <r>
      <t xml:space="preserve">A) </t>
    </r>
    <r>
      <rPr>
        <sz val="12"/>
        <rFont val="宋体"/>
        <family val="3"/>
        <charset val="134"/>
      </rPr>
      <t>正向有功</t>
    </r>
    <phoneticPr fontId="31" type="noConversion"/>
  </si>
  <si>
    <t>经互感器接入</t>
    <phoneticPr fontId="31" type="noConversion"/>
  </si>
  <si>
    <r>
      <t>单相</t>
    </r>
    <r>
      <rPr>
        <sz val="11"/>
        <rFont val="Times New Roman"/>
        <family val="1"/>
      </rPr>
      <t>/</t>
    </r>
    <r>
      <rPr>
        <sz val="11"/>
        <rFont val="宋体"/>
        <family val="3"/>
        <charset val="134"/>
      </rPr>
      <t>三相平衡负载</t>
    </r>
    <r>
      <rPr>
        <sz val="11"/>
        <rFont val="Times New Roman"/>
        <family val="1"/>
      </rPr>
      <t xml:space="preserve"> </t>
    </r>
    <r>
      <rPr>
        <sz val="11"/>
        <rFont val="宋体"/>
        <family val="3"/>
        <charset val="134"/>
      </rPr>
      <t>基本误差</t>
    </r>
    <r>
      <rPr>
        <sz val="11"/>
        <rFont val="Times New Roman"/>
        <family val="1"/>
      </rPr>
      <t>/%</t>
    </r>
    <phoneticPr fontId="31" type="noConversion"/>
  </si>
  <si>
    <r>
      <t xml:space="preserve">B) </t>
    </r>
    <r>
      <rPr>
        <sz val="12"/>
        <rFont val="宋体"/>
        <family val="3"/>
        <charset val="134"/>
      </rPr>
      <t>反向有功</t>
    </r>
    <phoneticPr fontId="31" type="noConversion"/>
  </si>
  <si>
    <t>B) 反向有功</t>
  </si>
  <si>
    <t>同正向有功</t>
    <phoneticPr fontId="31" type="noConversion"/>
  </si>
  <si>
    <t>检定和校准的原始</t>
    <phoneticPr fontId="31" type="noConversion"/>
  </si>
  <si>
    <r>
      <t>单相</t>
    </r>
    <r>
      <rPr>
        <sz val="12"/>
        <rFont val="Times New Roman"/>
        <family val="1"/>
      </rPr>
      <t>/</t>
    </r>
    <r>
      <rPr>
        <sz val="12"/>
        <rFont val="宋体"/>
        <family val="3"/>
        <charset val="134"/>
      </rPr>
      <t>三相平衡负载</t>
    </r>
    <r>
      <rPr>
        <sz val="12"/>
        <rFont val="Times New Roman"/>
        <family val="1"/>
      </rPr>
      <t xml:space="preserve">  </t>
    </r>
    <r>
      <rPr>
        <sz val="12"/>
        <rFont val="宋体"/>
        <family val="3"/>
        <charset val="134"/>
      </rPr>
      <t>基本误差</t>
    </r>
    <r>
      <rPr>
        <sz val="12"/>
        <rFont val="Times New Roman"/>
        <family val="1"/>
      </rPr>
      <t>/%</t>
    </r>
    <phoneticPr fontId="131" type="noConversion"/>
  </si>
  <si>
    <t>负载电流</t>
    <phoneticPr fontId="131" type="noConversion"/>
  </si>
  <si>
    <r>
      <t>cos</t>
    </r>
    <r>
      <rPr>
        <i/>
        <sz val="12"/>
        <rFont val="Times New Roman"/>
        <family val="1"/>
      </rPr>
      <t>φ</t>
    </r>
    <r>
      <rPr>
        <sz val="12"/>
        <rFont val="Times New Roman"/>
        <family val="1"/>
      </rPr>
      <t>=1</t>
    </r>
    <phoneticPr fontId="131" type="noConversion"/>
  </si>
  <si>
    <r>
      <t>cos</t>
    </r>
    <r>
      <rPr>
        <i/>
        <sz val="12"/>
        <rFont val="Times New Roman"/>
        <family val="1"/>
      </rPr>
      <t>φ</t>
    </r>
    <r>
      <rPr>
        <sz val="12"/>
        <rFont val="Times New Roman"/>
        <family val="1"/>
      </rPr>
      <t>=0.5L</t>
    </r>
    <phoneticPr fontId="131" type="noConversion"/>
  </si>
  <si>
    <r>
      <t>cos</t>
    </r>
    <r>
      <rPr>
        <i/>
        <sz val="12"/>
        <rFont val="Times New Roman"/>
        <family val="1"/>
      </rPr>
      <t>φ</t>
    </r>
    <r>
      <rPr>
        <sz val="12"/>
        <rFont val="Times New Roman"/>
        <family val="1"/>
      </rPr>
      <t>=0.8C</t>
    </r>
    <phoneticPr fontId="131" type="noConversion"/>
  </si>
  <si>
    <r>
      <t>I</t>
    </r>
    <r>
      <rPr>
        <vertAlign val="subscript"/>
        <sz val="12"/>
        <rFont val="Times New Roman"/>
        <family val="1"/>
      </rPr>
      <t>max</t>
    </r>
    <phoneticPr fontId="131" type="noConversion"/>
  </si>
  <si>
    <t>+0.00</t>
    <phoneticPr fontId="131" type="noConversion"/>
  </si>
  <si>
    <t>-0.04</t>
    <phoneticPr fontId="131" type="noConversion"/>
  </si>
  <si>
    <t>+0.02</t>
    <phoneticPr fontId="131" type="noConversion"/>
  </si>
  <si>
    <r>
      <t>I</t>
    </r>
    <r>
      <rPr>
        <vertAlign val="subscript"/>
        <sz val="12"/>
        <rFont val="Times New Roman"/>
        <family val="1"/>
      </rPr>
      <t>n</t>
    </r>
    <phoneticPr fontId="131" type="noConversion"/>
  </si>
  <si>
    <r>
      <t>0.1</t>
    </r>
    <r>
      <rPr>
        <i/>
        <sz val="12"/>
        <rFont val="Times New Roman"/>
        <family val="1"/>
      </rPr>
      <t>I</t>
    </r>
    <r>
      <rPr>
        <vertAlign val="subscript"/>
        <sz val="12"/>
        <rFont val="Times New Roman"/>
        <family val="1"/>
      </rPr>
      <t>n</t>
    </r>
    <phoneticPr fontId="131" type="noConversion"/>
  </si>
  <si>
    <r>
      <t>0.05</t>
    </r>
    <r>
      <rPr>
        <i/>
        <sz val="12"/>
        <rFont val="Times New Roman"/>
        <family val="1"/>
      </rPr>
      <t>I</t>
    </r>
    <r>
      <rPr>
        <vertAlign val="subscript"/>
        <sz val="12"/>
        <rFont val="Times New Roman"/>
        <family val="1"/>
      </rPr>
      <t>n</t>
    </r>
    <phoneticPr fontId="131" type="noConversion"/>
  </si>
  <si>
    <t>+0.06</t>
    <phoneticPr fontId="131" type="noConversion"/>
  </si>
  <si>
    <r>
      <t>0.02</t>
    </r>
    <r>
      <rPr>
        <i/>
        <sz val="12"/>
        <rFont val="Times New Roman"/>
        <family val="1"/>
      </rPr>
      <t>I</t>
    </r>
    <r>
      <rPr>
        <vertAlign val="subscript"/>
        <sz val="12"/>
        <rFont val="Times New Roman"/>
        <family val="1"/>
      </rPr>
      <t>n</t>
    </r>
    <phoneticPr fontId="131" type="noConversion"/>
  </si>
  <si>
    <r>
      <t>0.01</t>
    </r>
    <r>
      <rPr>
        <i/>
        <sz val="12"/>
        <rFont val="Times New Roman"/>
        <family val="1"/>
      </rPr>
      <t>I</t>
    </r>
    <r>
      <rPr>
        <vertAlign val="subscript"/>
        <sz val="12"/>
        <rFont val="Times New Roman"/>
        <family val="1"/>
      </rPr>
      <t>n</t>
    </r>
    <phoneticPr fontId="131" type="noConversion"/>
  </si>
  <si>
    <r>
      <t>不平衡负载</t>
    </r>
    <r>
      <rPr>
        <sz val="12"/>
        <rFont val="Times New Roman"/>
        <family val="1"/>
      </rPr>
      <t xml:space="preserve">  </t>
    </r>
    <r>
      <rPr>
        <sz val="12"/>
        <rFont val="宋体"/>
        <family val="3"/>
        <charset val="134"/>
      </rPr>
      <t>基本误差</t>
    </r>
    <r>
      <rPr>
        <sz val="12"/>
        <rFont val="Times New Roman"/>
        <family val="1"/>
      </rPr>
      <t>/%</t>
    </r>
    <phoneticPr fontId="131" type="noConversion"/>
  </si>
  <si>
    <r>
      <t>A</t>
    </r>
    <r>
      <rPr>
        <sz val="12"/>
        <rFont val="宋体"/>
        <family val="3"/>
        <charset val="134"/>
      </rPr>
      <t>相</t>
    </r>
    <phoneticPr fontId="131" type="noConversion"/>
  </si>
  <si>
    <r>
      <t>B</t>
    </r>
    <r>
      <rPr>
        <sz val="12"/>
        <rFont val="宋体"/>
        <family val="3"/>
        <charset val="134"/>
      </rPr>
      <t>相</t>
    </r>
    <phoneticPr fontId="131" type="noConversion"/>
  </si>
  <si>
    <r>
      <t>C</t>
    </r>
    <r>
      <rPr>
        <sz val="12"/>
        <rFont val="宋体"/>
        <family val="3"/>
        <charset val="134"/>
      </rPr>
      <t>相</t>
    </r>
    <phoneticPr fontId="131" type="noConversion"/>
  </si>
  <si>
    <r>
      <t>cos</t>
    </r>
    <r>
      <rPr>
        <i/>
        <sz val="12"/>
        <rFont val="Times New Roman"/>
        <family val="1"/>
      </rPr>
      <t>θ</t>
    </r>
    <r>
      <rPr>
        <sz val="12"/>
        <rFont val="Times New Roman"/>
        <family val="1"/>
      </rPr>
      <t>=1</t>
    </r>
    <phoneticPr fontId="131" type="noConversion"/>
  </si>
  <si>
    <r>
      <t>cos</t>
    </r>
    <r>
      <rPr>
        <i/>
        <sz val="12"/>
        <rFont val="Times New Roman"/>
        <family val="1"/>
      </rPr>
      <t>θ</t>
    </r>
    <r>
      <rPr>
        <sz val="12"/>
        <rFont val="Times New Roman"/>
        <family val="1"/>
      </rPr>
      <t>=0.5L</t>
    </r>
    <phoneticPr fontId="131" type="noConversion"/>
  </si>
  <si>
    <t>-0.06</t>
    <phoneticPr fontId="131" type="noConversion"/>
  </si>
  <si>
    <t>-0.02</t>
    <phoneticPr fontId="131" type="noConversion"/>
  </si>
  <si>
    <t>-0.08</t>
    <phoneticPr fontId="131" type="noConversion"/>
  </si>
  <si>
    <t>+0.10</t>
    <phoneticPr fontId="131" type="noConversion"/>
  </si>
  <si>
    <r>
      <t>负载电流</t>
    </r>
    <r>
      <rPr>
        <sz val="12"/>
        <rFont val="Times New Roman"/>
        <family val="1"/>
      </rPr>
      <t xml:space="preserve"> </t>
    </r>
    <r>
      <rPr>
        <i/>
        <sz val="12"/>
        <rFont val="Times New Roman"/>
        <family val="1"/>
      </rPr>
      <t>I</t>
    </r>
    <r>
      <rPr>
        <vertAlign val="subscript"/>
        <sz val="12"/>
        <rFont val="Times New Roman"/>
        <family val="1"/>
      </rPr>
      <t>n</t>
    </r>
    <r>
      <rPr>
        <sz val="12"/>
        <rFont val="Times New Roman"/>
        <family val="1"/>
      </rPr>
      <t xml:space="preserve"> cos</t>
    </r>
    <r>
      <rPr>
        <i/>
        <sz val="12"/>
        <rFont val="Times New Roman"/>
        <family val="1"/>
      </rPr>
      <t>φ</t>
    </r>
    <r>
      <rPr>
        <sz val="12"/>
        <rFont val="Times New Roman"/>
        <family val="1"/>
      </rPr>
      <t>/cos</t>
    </r>
    <r>
      <rPr>
        <i/>
        <sz val="12"/>
        <rFont val="Times New Roman"/>
        <family val="1"/>
      </rPr>
      <t>θ</t>
    </r>
    <r>
      <rPr>
        <sz val="12"/>
        <rFont val="Times New Roman"/>
        <family val="1"/>
      </rPr>
      <t xml:space="preserve">=1 </t>
    </r>
    <r>
      <rPr>
        <sz val="12"/>
        <rFont val="宋体"/>
        <family val="3"/>
        <charset val="134"/>
      </rPr>
      <t>不平衡负载与平衡负载时误差之差</t>
    </r>
    <r>
      <rPr>
        <sz val="12"/>
        <rFont val="Times New Roman"/>
        <family val="1"/>
      </rPr>
      <t>/%</t>
    </r>
    <phoneticPr fontId="131" type="noConversion"/>
  </si>
  <si>
    <t>通过接口
获取试验数据</t>
    <phoneticPr fontId="31" type="noConversion"/>
  </si>
  <si>
    <t>备注2</t>
    <phoneticPr fontId="31" type="noConversion"/>
  </si>
  <si>
    <t>检定、校准证书：</t>
    <phoneticPr fontId="31" type="noConversion"/>
  </si>
  <si>
    <t>检定和校准的原始</t>
    <phoneticPr fontId="31" type="noConversion"/>
  </si>
  <si>
    <t>检定、校准的证书：</t>
    <phoneticPr fontId="31" type="noConversion"/>
  </si>
  <si>
    <t>-0.10</t>
    <phoneticPr fontId="131" type="noConversion"/>
  </si>
  <si>
    <t>检定和校准的原始</t>
    <phoneticPr fontId="31" type="noConversion"/>
  </si>
  <si>
    <t>检定和校准的证书</t>
    <phoneticPr fontId="31" type="noConversion"/>
  </si>
  <si>
    <r>
      <t>sin</t>
    </r>
    <r>
      <rPr>
        <i/>
        <sz val="12"/>
        <rFont val="Times New Roman"/>
        <family val="1"/>
      </rPr>
      <t>φ</t>
    </r>
    <r>
      <rPr>
        <sz val="12"/>
        <rFont val="Times New Roman"/>
        <family val="1"/>
      </rPr>
      <t>=1</t>
    </r>
    <phoneticPr fontId="131" type="noConversion"/>
  </si>
  <si>
    <r>
      <t>sin</t>
    </r>
    <r>
      <rPr>
        <i/>
        <sz val="12"/>
        <rFont val="Times New Roman"/>
        <family val="1"/>
      </rPr>
      <t>φ</t>
    </r>
    <r>
      <rPr>
        <sz val="12"/>
        <rFont val="Times New Roman"/>
        <family val="1"/>
      </rPr>
      <t>=0.5L</t>
    </r>
    <phoneticPr fontId="131" type="noConversion"/>
  </si>
  <si>
    <r>
      <t>sin</t>
    </r>
    <r>
      <rPr>
        <i/>
        <sz val="12"/>
        <rFont val="Times New Roman"/>
        <family val="1"/>
      </rPr>
      <t>φ</t>
    </r>
    <r>
      <rPr>
        <sz val="12"/>
        <rFont val="Times New Roman"/>
        <family val="1"/>
      </rPr>
      <t>=0.5C</t>
    </r>
    <phoneticPr fontId="131" type="noConversion"/>
  </si>
  <si>
    <r>
      <t>sin</t>
    </r>
    <r>
      <rPr>
        <i/>
        <sz val="12"/>
        <rFont val="Times New Roman"/>
        <family val="1"/>
      </rPr>
      <t>φ</t>
    </r>
    <r>
      <rPr>
        <sz val="12"/>
        <rFont val="Times New Roman"/>
        <family val="1"/>
      </rPr>
      <t>=0.25L</t>
    </r>
    <phoneticPr fontId="131" type="noConversion"/>
  </si>
  <si>
    <r>
      <t>sin</t>
    </r>
    <r>
      <rPr>
        <i/>
        <sz val="12"/>
        <rFont val="Times New Roman"/>
        <family val="1"/>
      </rPr>
      <t>φ</t>
    </r>
    <r>
      <rPr>
        <sz val="12"/>
        <rFont val="Times New Roman"/>
        <family val="1"/>
      </rPr>
      <t>=0.25C</t>
    </r>
    <phoneticPr fontId="131" type="noConversion"/>
  </si>
  <si>
    <t>+0.0</t>
    <phoneticPr fontId="131" type="noConversion"/>
  </si>
  <si>
    <t>-0.2</t>
    <phoneticPr fontId="131" type="noConversion"/>
  </si>
  <si>
    <r>
      <t>sin</t>
    </r>
    <r>
      <rPr>
        <i/>
        <sz val="12"/>
        <rFont val="Times New Roman"/>
        <family val="1"/>
      </rPr>
      <t>θ</t>
    </r>
    <r>
      <rPr>
        <sz val="12"/>
        <rFont val="Times New Roman"/>
        <family val="1"/>
      </rPr>
      <t>=1</t>
    </r>
    <phoneticPr fontId="131" type="noConversion"/>
  </si>
  <si>
    <r>
      <t>sin</t>
    </r>
    <r>
      <rPr>
        <i/>
        <sz val="12"/>
        <rFont val="Times New Roman"/>
        <family val="1"/>
      </rPr>
      <t>θ</t>
    </r>
    <r>
      <rPr>
        <sz val="12"/>
        <rFont val="Times New Roman"/>
        <family val="1"/>
      </rPr>
      <t>=0.5L</t>
    </r>
    <r>
      <rPr>
        <sz val="12"/>
        <rFont val="宋体"/>
        <family val="3"/>
        <charset val="134"/>
      </rPr>
      <t/>
    </r>
    <phoneticPr fontId="131" type="noConversion"/>
  </si>
  <si>
    <r>
      <t>sin</t>
    </r>
    <r>
      <rPr>
        <i/>
        <sz val="12"/>
        <rFont val="Times New Roman"/>
        <family val="1"/>
      </rPr>
      <t>θ</t>
    </r>
    <r>
      <rPr>
        <sz val="12"/>
        <rFont val="Times New Roman"/>
        <family val="1"/>
      </rPr>
      <t>=0.5C</t>
    </r>
    <phoneticPr fontId="131" type="noConversion"/>
  </si>
  <si>
    <r>
      <t>sin</t>
    </r>
    <r>
      <rPr>
        <i/>
        <sz val="12"/>
        <rFont val="Times New Roman"/>
        <family val="1"/>
      </rPr>
      <t>θ</t>
    </r>
    <r>
      <rPr>
        <sz val="12"/>
        <rFont val="Times New Roman"/>
        <family val="1"/>
      </rPr>
      <t>=0.5C</t>
    </r>
    <r>
      <rPr>
        <sz val="12"/>
        <rFont val="宋体"/>
        <family val="3"/>
        <charset val="134"/>
      </rPr>
      <t/>
    </r>
    <phoneticPr fontId="131" type="noConversion"/>
  </si>
  <si>
    <t>+0.2</t>
    <phoneticPr fontId="131" type="noConversion"/>
  </si>
  <si>
    <r>
      <t>负载电流</t>
    </r>
    <r>
      <rPr>
        <i/>
        <sz val="12"/>
        <rFont val="Times New Roman"/>
        <family val="1"/>
      </rPr>
      <t xml:space="preserve"> I</t>
    </r>
    <r>
      <rPr>
        <vertAlign val="subscript"/>
        <sz val="12"/>
        <rFont val="Times New Roman"/>
        <family val="1"/>
      </rPr>
      <t>n</t>
    </r>
    <r>
      <rPr>
        <sz val="12"/>
        <rFont val="Times New Roman"/>
        <family val="1"/>
      </rPr>
      <t xml:space="preserve"> sin</t>
    </r>
    <r>
      <rPr>
        <i/>
        <sz val="12"/>
        <rFont val="Times New Roman"/>
        <family val="1"/>
      </rPr>
      <t>φ</t>
    </r>
    <r>
      <rPr>
        <sz val="12"/>
        <rFont val="Times New Roman"/>
        <family val="1"/>
      </rPr>
      <t>/sin</t>
    </r>
    <r>
      <rPr>
        <i/>
        <sz val="12"/>
        <rFont val="Times New Roman"/>
        <family val="1"/>
      </rPr>
      <t>θ</t>
    </r>
    <r>
      <rPr>
        <sz val="12"/>
        <rFont val="Times New Roman"/>
        <family val="1"/>
      </rPr>
      <t xml:space="preserve">=1 </t>
    </r>
    <r>
      <rPr>
        <sz val="12"/>
        <rFont val="宋体"/>
        <family val="3"/>
        <charset val="134"/>
      </rPr>
      <t>不平衡负载与平衡负载时误差之差</t>
    </r>
    <r>
      <rPr>
        <sz val="12"/>
        <rFont val="Times New Roman"/>
        <family val="1"/>
      </rPr>
      <t>/%</t>
    </r>
    <phoneticPr fontId="131" type="noConversion"/>
  </si>
  <si>
    <r>
      <t xml:space="preserve">C) </t>
    </r>
    <r>
      <rPr>
        <sz val="12"/>
        <rFont val="宋体"/>
        <family val="3"/>
        <charset val="134"/>
      </rPr>
      <t>正向无功</t>
    </r>
    <phoneticPr fontId="31" type="noConversion"/>
  </si>
  <si>
    <t>C) 正向无功</t>
    <phoneticPr fontId="31" type="noConversion"/>
  </si>
  <si>
    <r>
      <t>A)</t>
    </r>
    <r>
      <rPr>
        <sz val="12"/>
        <rFont val="宋体"/>
        <family val="3"/>
        <charset val="134"/>
      </rPr>
      <t>正向有功</t>
    </r>
    <phoneticPr fontId="131" type="noConversion"/>
  </si>
  <si>
    <t>检定和校准的原始</t>
    <phoneticPr fontId="31" type="noConversion"/>
  </si>
  <si>
    <t>检定和校准的证书</t>
    <phoneticPr fontId="31" type="noConversion"/>
  </si>
  <si>
    <r>
      <t xml:space="preserve">D) </t>
    </r>
    <r>
      <rPr>
        <sz val="12"/>
        <rFont val="宋体"/>
        <family val="3"/>
        <charset val="134"/>
      </rPr>
      <t>反向无功</t>
    </r>
    <phoneticPr fontId="31" type="noConversion"/>
  </si>
  <si>
    <t>D)</t>
    <phoneticPr fontId="131" type="noConversion"/>
  </si>
  <si>
    <t>反向无功</t>
    <phoneticPr fontId="131" type="noConversion"/>
  </si>
  <si>
    <r>
      <t>D)</t>
    </r>
    <r>
      <rPr>
        <sz val="12"/>
        <rFont val="宋体"/>
        <family val="3"/>
        <charset val="134"/>
      </rPr>
      <t>反向无功</t>
    </r>
    <phoneticPr fontId="131" type="noConversion"/>
  </si>
  <si>
    <r>
      <t>日计时误差</t>
    </r>
    <r>
      <rPr>
        <sz val="12"/>
        <rFont val="Times New Roman"/>
        <family val="1"/>
      </rPr>
      <t>/(s/d)</t>
    </r>
    <phoneticPr fontId="31" type="noConversion"/>
  </si>
  <si>
    <t>检定证书：</t>
    <phoneticPr fontId="31" type="noConversion"/>
  </si>
  <si>
    <r>
      <t>7.</t>
    </r>
    <r>
      <rPr>
        <sz val="12"/>
        <rFont val="宋体"/>
        <family val="3"/>
        <charset val="134"/>
      </rPr>
      <t>时钟日计时误差：</t>
    </r>
    <phoneticPr fontId="31" type="noConversion"/>
  </si>
  <si>
    <t>校准证书：无</t>
    <phoneticPr fontId="31" type="noConversion"/>
  </si>
  <si>
    <t>时钟日计时误差：</t>
    <phoneticPr fontId="31" type="noConversion"/>
  </si>
  <si>
    <t>检定、校准原始：</t>
    <phoneticPr fontId="31" type="noConversion"/>
  </si>
  <si>
    <t>检定校准原始，校准证书：</t>
    <phoneticPr fontId="31" type="noConversion"/>
  </si>
  <si>
    <t>检定、校准原始</t>
    <phoneticPr fontId="31" type="noConversion"/>
  </si>
  <si>
    <t>-0.05</t>
    <phoneticPr fontId="131" type="noConversion"/>
  </si>
  <si>
    <r>
      <t>0.5</t>
    </r>
    <r>
      <rPr>
        <i/>
        <sz val="12"/>
        <rFont val="Times New Roman"/>
        <family val="1"/>
      </rPr>
      <t>I</t>
    </r>
    <r>
      <rPr>
        <vertAlign val="subscript"/>
        <sz val="12"/>
        <rFont val="Times New Roman"/>
        <family val="1"/>
      </rPr>
      <t>max</t>
    </r>
    <phoneticPr fontId="131" type="noConversion"/>
  </si>
  <si>
    <r>
      <t>I</t>
    </r>
    <r>
      <rPr>
        <vertAlign val="subscript"/>
        <sz val="12"/>
        <rFont val="Times New Roman"/>
        <family val="1"/>
      </rPr>
      <t>b</t>
    </r>
    <phoneticPr fontId="131" type="noConversion"/>
  </si>
  <si>
    <t>+0.05</t>
    <phoneticPr fontId="131" type="noConversion"/>
  </si>
  <si>
    <r>
      <t>0.2</t>
    </r>
    <r>
      <rPr>
        <i/>
        <sz val="12"/>
        <rFont val="Times New Roman"/>
        <family val="1"/>
      </rPr>
      <t>I</t>
    </r>
    <r>
      <rPr>
        <vertAlign val="subscript"/>
        <sz val="12"/>
        <rFont val="Times New Roman"/>
        <family val="1"/>
      </rPr>
      <t>b</t>
    </r>
    <phoneticPr fontId="131" type="noConversion"/>
  </si>
  <si>
    <r>
      <t>0.1</t>
    </r>
    <r>
      <rPr>
        <i/>
        <sz val="12"/>
        <rFont val="Times New Roman"/>
        <family val="1"/>
      </rPr>
      <t>I</t>
    </r>
    <r>
      <rPr>
        <vertAlign val="subscript"/>
        <sz val="12"/>
        <rFont val="Times New Roman"/>
        <family val="1"/>
      </rPr>
      <t>b</t>
    </r>
    <phoneticPr fontId="131" type="noConversion"/>
  </si>
  <si>
    <r>
      <t>0.05</t>
    </r>
    <r>
      <rPr>
        <i/>
        <sz val="12"/>
        <rFont val="Times New Roman"/>
        <family val="1"/>
      </rPr>
      <t>I</t>
    </r>
    <r>
      <rPr>
        <vertAlign val="subscript"/>
        <sz val="12"/>
        <rFont val="Times New Roman"/>
        <family val="1"/>
      </rPr>
      <t>b</t>
    </r>
    <phoneticPr fontId="131" type="noConversion"/>
  </si>
  <si>
    <t>+0.15</t>
    <phoneticPr fontId="131" type="noConversion"/>
  </si>
  <si>
    <t>+0.25</t>
    <phoneticPr fontId="131" type="noConversion"/>
  </si>
  <si>
    <r>
      <t>负载电流</t>
    </r>
    <r>
      <rPr>
        <sz val="12"/>
        <rFont val="Times New Roman"/>
        <family val="1"/>
      </rPr>
      <t xml:space="preserve"> </t>
    </r>
    <r>
      <rPr>
        <i/>
        <sz val="12"/>
        <rFont val="Times New Roman"/>
        <family val="1"/>
      </rPr>
      <t>I</t>
    </r>
    <r>
      <rPr>
        <vertAlign val="subscript"/>
        <sz val="12"/>
        <rFont val="Times New Roman"/>
        <family val="1"/>
      </rPr>
      <t>b</t>
    </r>
    <r>
      <rPr>
        <sz val="12"/>
        <rFont val="Times New Roman"/>
        <family val="1"/>
      </rPr>
      <t xml:space="preserve"> cos</t>
    </r>
    <r>
      <rPr>
        <i/>
        <sz val="12"/>
        <rFont val="Times New Roman"/>
        <family val="1"/>
      </rPr>
      <t>φ</t>
    </r>
    <r>
      <rPr>
        <sz val="12"/>
        <rFont val="Times New Roman"/>
        <family val="1"/>
      </rPr>
      <t>/cos</t>
    </r>
    <r>
      <rPr>
        <i/>
        <sz val="12"/>
        <rFont val="Times New Roman"/>
        <family val="1"/>
      </rPr>
      <t>θ</t>
    </r>
    <r>
      <rPr>
        <sz val="12"/>
        <rFont val="Times New Roman"/>
        <family val="1"/>
      </rPr>
      <t xml:space="preserve">=1 </t>
    </r>
    <r>
      <rPr>
        <sz val="12"/>
        <rFont val="宋体"/>
        <family val="3"/>
        <charset val="134"/>
      </rPr>
      <t>不平衡负载与平衡负载时误差之差</t>
    </r>
    <r>
      <rPr>
        <sz val="12"/>
        <rFont val="Times New Roman"/>
        <family val="1"/>
      </rPr>
      <t>/%</t>
    </r>
    <phoneticPr fontId="131" type="noConversion"/>
  </si>
  <si>
    <r>
      <t>A)</t>
    </r>
    <r>
      <rPr>
        <sz val="12"/>
        <rFont val="宋体"/>
        <family val="3"/>
        <charset val="134"/>
      </rPr>
      <t>正向有功</t>
    </r>
    <phoneticPr fontId="131" type="noConversion"/>
  </si>
  <si>
    <r>
      <t xml:space="preserve">B) </t>
    </r>
    <r>
      <rPr>
        <sz val="12"/>
        <rFont val="宋体"/>
        <family val="3"/>
        <charset val="134"/>
      </rPr>
      <t>反向有功</t>
    </r>
    <phoneticPr fontId="69" type="noConversion"/>
  </si>
  <si>
    <t>-0.15</t>
    <phoneticPr fontId="131" type="noConversion"/>
  </si>
  <si>
    <r>
      <t>B)</t>
    </r>
    <r>
      <rPr>
        <sz val="12"/>
        <rFont val="宋体"/>
        <family val="3"/>
        <charset val="134"/>
      </rPr>
      <t>反向有功</t>
    </r>
    <phoneticPr fontId="131" type="noConversion"/>
  </si>
  <si>
    <t>C)</t>
    <phoneticPr fontId="131" type="noConversion"/>
  </si>
  <si>
    <t>正向无功</t>
    <phoneticPr fontId="131" type="noConversion"/>
  </si>
  <si>
    <t>+0.4</t>
    <phoneticPr fontId="131" type="noConversion"/>
  </si>
  <si>
    <t>-1.0</t>
    <phoneticPr fontId="131" type="noConversion"/>
  </si>
  <si>
    <t>+1.0</t>
    <phoneticPr fontId="131" type="noConversion"/>
  </si>
  <si>
    <t>--</t>
    <phoneticPr fontId="131" type="noConversion"/>
  </si>
  <si>
    <r>
      <t>0.5</t>
    </r>
    <r>
      <rPr>
        <i/>
        <sz val="12"/>
        <rFont val="Times New Roman"/>
        <family val="1"/>
      </rPr>
      <t>I</t>
    </r>
    <r>
      <rPr>
        <vertAlign val="subscript"/>
        <sz val="12"/>
        <rFont val="Times New Roman"/>
        <family val="1"/>
      </rPr>
      <t>max</t>
    </r>
    <phoneticPr fontId="131" type="noConversion"/>
  </si>
  <si>
    <t>-0.6</t>
    <phoneticPr fontId="131" type="noConversion"/>
  </si>
  <si>
    <t>+0.0</t>
    <phoneticPr fontId="131" type="noConversion"/>
  </si>
  <si>
    <r>
      <t>I</t>
    </r>
    <r>
      <rPr>
        <vertAlign val="subscript"/>
        <sz val="12"/>
        <rFont val="Times New Roman"/>
        <family val="1"/>
      </rPr>
      <t>b</t>
    </r>
    <phoneticPr fontId="131" type="noConversion"/>
  </si>
  <si>
    <r>
      <t>0.2</t>
    </r>
    <r>
      <rPr>
        <i/>
        <sz val="12"/>
        <rFont val="Times New Roman"/>
        <family val="1"/>
      </rPr>
      <t>I</t>
    </r>
    <r>
      <rPr>
        <vertAlign val="subscript"/>
        <sz val="12"/>
        <rFont val="Times New Roman"/>
        <family val="1"/>
      </rPr>
      <t>b</t>
    </r>
    <phoneticPr fontId="131" type="noConversion"/>
  </si>
  <si>
    <t>+0.2</t>
    <phoneticPr fontId="131" type="noConversion"/>
  </si>
  <si>
    <r>
      <t>0.1</t>
    </r>
    <r>
      <rPr>
        <i/>
        <sz val="12"/>
        <rFont val="Times New Roman"/>
        <family val="1"/>
      </rPr>
      <t>I</t>
    </r>
    <r>
      <rPr>
        <vertAlign val="subscript"/>
        <sz val="12"/>
        <rFont val="Times New Roman"/>
        <family val="1"/>
      </rPr>
      <t>b</t>
    </r>
    <phoneticPr fontId="131" type="noConversion"/>
  </si>
  <si>
    <r>
      <t>0.05</t>
    </r>
    <r>
      <rPr>
        <i/>
        <sz val="12"/>
        <rFont val="Times New Roman"/>
        <family val="1"/>
      </rPr>
      <t>I</t>
    </r>
    <r>
      <rPr>
        <vertAlign val="subscript"/>
        <sz val="12"/>
        <rFont val="Times New Roman"/>
        <family val="1"/>
      </rPr>
      <t>b</t>
    </r>
    <phoneticPr fontId="131" type="noConversion"/>
  </si>
  <si>
    <r>
      <t>不平衡负载</t>
    </r>
    <r>
      <rPr>
        <sz val="12"/>
        <rFont val="Times New Roman"/>
        <family val="1"/>
      </rPr>
      <t xml:space="preserve">  </t>
    </r>
    <r>
      <rPr>
        <sz val="12"/>
        <rFont val="宋体"/>
        <family val="3"/>
        <charset val="134"/>
      </rPr>
      <t>基本误差</t>
    </r>
    <r>
      <rPr>
        <sz val="12"/>
        <rFont val="Times New Roman"/>
        <family val="1"/>
      </rPr>
      <t>/%</t>
    </r>
    <phoneticPr fontId="131" type="noConversion"/>
  </si>
  <si>
    <t>负载电流</t>
    <phoneticPr fontId="131" type="noConversion"/>
  </si>
  <si>
    <r>
      <t>A</t>
    </r>
    <r>
      <rPr>
        <sz val="12"/>
        <rFont val="宋体"/>
        <family val="3"/>
        <charset val="134"/>
      </rPr>
      <t>相</t>
    </r>
    <phoneticPr fontId="131" type="noConversion"/>
  </si>
  <si>
    <r>
      <t>B</t>
    </r>
    <r>
      <rPr>
        <sz val="12"/>
        <rFont val="宋体"/>
        <family val="3"/>
        <charset val="134"/>
      </rPr>
      <t>相</t>
    </r>
    <phoneticPr fontId="131" type="noConversion"/>
  </si>
  <si>
    <r>
      <t>C</t>
    </r>
    <r>
      <rPr>
        <sz val="12"/>
        <rFont val="宋体"/>
        <family val="3"/>
        <charset val="134"/>
      </rPr>
      <t>相</t>
    </r>
    <phoneticPr fontId="131" type="noConversion"/>
  </si>
  <si>
    <r>
      <t>sin</t>
    </r>
    <r>
      <rPr>
        <i/>
        <sz val="12"/>
        <rFont val="Times New Roman"/>
        <family val="1"/>
      </rPr>
      <t>θ</t>
    </r>
    <r>
      <rPr>
        <sz val="12"/>
        <rFont val="Times New Roman"/>
        <family val="1"/>
      </rPr>
      <t>=1</t>
    </r>
    <phoneticPr fontId="131" type="noConversion"/>
  </si>
  <si>
    <r>
      <t>sin</t>
    </r>
    <r>
      <rPr>
        <i/>
        <sz val="12"/>
        <rFont val="Times New Roman"/>
        <family val="1"/>
      </rPr>
      <t>θ</t>
    </r>
    <r>
      <rPr>
        <sz val="12"/>
        <rFont val="Times New Roman"/>
        <family val="1"/>
      </rPr>
      <t>=0.5L</t>
    </r>
    <r>
      <rPr>
        <sz val="12"/>
        <rFont val="宋体"/>
        <family val="3"/>
        <charset val="134"/>
      </rPr>
      <t/>
    </r>
    <phoneticPr fontId="131" type="noConversion"/>
  </si>
  <si>
    <r>
      <t>sin</t>
    </r>
    <r>
      <rPr>
        <i/>
        <sz val="12"/>
        <rFont val="Times New Roman"/>
        <family val="1"/>
      </rPr>
      <t>θ</t>
    </r>
    <r>
      <rPr>
        <sz val="12"/>
        <rFont val="Times New Roman"/>
        <family val="1"/>
      </rPr>
      <t>=0.5C</t>
    </r>
    <phoneticPr fontId="131" type="noConversion"/>
  </si>
  <si>
    <r>
      <t>sin</t>
    </r>
    <r>
      <rPr>
        <i/>
        <sz val="12"/>
        <rFont val="Times New Roman"/>
        <family val="1"/>
      </rPr>
      <t>θ</t>
    </r>
    <r>
      <rPr>
        <sz val="12"/>
        <rFont val="Times New Roman"/>
        <family val="1"/>
      </rPr>
      <t>=0.5C</t>
    </r>
    <r>
      <rPr>
        <sz val="12"/>
        <rFont val="宋体"/>
        <family val="3"/>
        <charset val="134"/>
      </rPr>
      <t/>
    </r>
    <phoneticPr fontId="131" type="noConversion"/>
  </si>
  <si>
    <r>
      <t>I</t>
    </r>
    <r>
      <rPr>
        <vertAlign val="subscript"/>
        <sz val="12"/>
        <rFont val="Times New Roman"/>
        <family val="1"/>
      </rPr>
      <t>max</t>
    </r>
    <phoneticPr fontId="131" type="noConversion"/>
  </si>
  <si>
    <t>-0.4</t>
    <phoneticPr fontId="131" type="noConversion"/>
  </si>
  <si>
    <t>-0.2</t>
    <phoneticPr fontId="131" type="noConversion"/>
  </si>
  <si>
    <r>
      <t>负载电流</t>
    </r>
    <r>
      <rPr>
        <sz val="12"/>
        <rFont val="Times New Roman"/>
        <family val="1"/>
      </rPr>
      <t xml:space="preserve"> </t>
    </r>
    <r>
      <rPr>
        <i/>
        <sz val="12"/>
        <rFont val="Times New Roman"/>
        <family val="1"/>
      </rPr>
      <t>I</t>
    </r>
    <r>
      <rPr>
        <vertAlign val="subscript"/>
        <sz val="12"/>
        <rFont val="Times New Roman"/>
        <family val="1"/>
      </rPr>
      <t>b</t>
    </r>
    <r>
      <rPr>
        <sz val="12"/>
        <rFont val="Times New Roman"/>
        <family val="1"/>
      </rPr>
      <t xml:space="preserve"> sin</t>
    </r>
    <r>
      <rPr>
        <i/>
        <sz val="12"/>
        <rFont val="Times New Roman"/>
        <family val="1"/>
      </rPr>
      <t>φ</t>
    </r>
    <r>
      <rPr>
        <sz val="12"/>
        <rFont val="Times New Roman"/>
        <family val="1"/>
      </rPr>
      <t>/sin</t>
    </r>
    <r>
      <rPr>
        <i/>
        <sz val="12"/>
        <rFont val="Times New Roman"/>
        <family val="1"/>
      </rPr>
      <t>θ</t>
    </r>
    <r>
      <rPr>
        <sz val="12"/>
        <rFont val="Times New Roman"/>
        <family val="1"/>
      </rPr>
      <t xml:space="preserve">=1 </t>
    </r>
    <r>
      <rPr>
        <sz val="12"/>
        <rFont val="宋体"/>
        <family val="3"/>
        <charset val="134"/>
      </rPr>
      <t>不平衡负载与平衡负载时误差之差</t>
    </r>
    <r>
      <rPr>
        <sz val="12"/>
        <rFont val="Times New Roman"/>
        <family val="1"/>
      </rPr>
      <t>/%</t>
    </r>
    <phoneticPr fontId="131" type="noConversion"/>
  </si>
  <si>
    <t>-0.6</t>
    <phoneticPr fontId="131" type="noConversion"/>
  </si>
  <si>
    <r>
      <t>sin</t>
    </r>
    <r>
      <rPr>
        <i/>
        <sz val="12"/>
        <rFont val="Times New Roman"/>
        <family val="1"/>
      </rPr>
      <t>θ</t>
    </r>
    <r>
      <rPr>
        <sz val="12"/>
        <rFont val="Times New Roman"/>
        <family val="1"/>
      </rPr>
      <t>=0.5L</t>
    </r>
    <phoneticPr fontId="131" type="noConversion"/>
  </si>
  <si>
    <r>
      <t>负载电流</t>
    </r>
    <r>
      <rPr>
        <sz val="12"/>
        <rFont val="Times New Roman"/>
        <family val="1"/>
      </rPr>
      <t xml:space="preserve"> </t>
    </r>
    <r>
      <rPr>
        <i/>
        <sz val="12"/>
        <rFont val="Times New Roman"/>
        <family val="1"/>
      </rPr>
      <t>I</t>
    </r>
    <r>
      <rPr>
        <vertAlign val="subscript"/>
        <sz val="12"/>
        <rFont val="Times New Roman"/>
        <family val="1"/>
      </rPr>
      <t>b</t>
    </r>
    <r>
      <rPr>
        <sz val="12"/>
        <rFont val="Times New Roman"/>
        <family val="1"/>
      </rPr>
      <t xml:space="preserve"> sin</t>
    </r>
    <r>
      <rPr>
        <i/>
        <sz val="12"/>
        <rFont val="Times New Roman"/>
        <family val="1"/>
      </rPr>
      <t>φ</t>
    </r>
    <r>
      <rPr>
        <sz val="12"/>
        <rFont val="Times New Roman"/>
        <family val="1"/>
      </rPr>
      <t>/sin</t>
    </r>
    <r>
      <rPr>
        <i/>
        <sz val="12"/>
        <rFont val="Times New Roman"/>
        <family val="1"/>
      </rPr>
      <t>θ</t>
    </r>
    <r>
      <rPr>
        <sz val="12"/>
        <rFont val="Times New Roman"/>
        <family val="1"/>
      </rPr>
      <t xml:space="preserve">=1 </t>
    </r>
    <r>
      <rPr>
        <sz val="12"/>
        <rFont val="宋体"/>
        <family val="3"/>
        <charset val="134"/>
      </rPr>
      <t>不平衡负载与平衡负载时误差之差</t>
    </r>
    <r>
      <rPr>
        <sz val="12"/>
        <rFont val="Times New Roman"/>
        <family val="1"/>
      </rPr>
      <t>/%</t>
    </r>
    <phoneticPr fontId="131" type="noConversion"/>
  </si>
  <si>
    <t>检定、校准原始，校准证书</t>
    <phoneticPr fontId="31" type="noConversion"/>
  </si>
  <si>
    <t>（4）扩展不确定度</t>
    <phoneticPr fontId="99" type="noConversion"/>
  </si>
  <si>
    <t>扩展不确定度</t>
    <phoneticPr fontId="99" type="noConversion"/>
  </si>
  <si>
    <t>探头</t>
    <phoneticPr fontId="99" type="noConversion"/>
  </si>
  <si>
    <t>钳形表</t>
    <phoneticPr fontId="99" type="noConversion"/>
  </si>
  <si>
    <r>
      <t>U</t>
    </r>
    <r>
      <rPr>
        <vertAlign val="subscript"/>
        <sz val="12"/>
        <rFont val="Times New Roman"/>
        <family val="1"/>
      </rPr>
      <t>A=</t>
    </r>
    <phoneticPr fontId="99" type="noConversion"/>
  </si>
  <si>
    <r>
      <rPr>
        <sz val="12"/>
        <rFont val="Times New Roman"/>
        <family val="1"/>
      </rPr>
      <t>U</t>
    </r>
    <r>
      <rPr>
        <vertAlign val="subscript"/>
        <sz val="12"/>
        <rFont val="Times New Roman"/>
        <family val="1"/>
      </rPr>
      <t>A=</t>
    </r>
    <phoneticPr fontId="99" type="noConversion"/>
  </si>
  <si>
    <t>变比示值</t>
    <phoneticPr fontId="2" type="noConversion"/>
  </si>
  <si>
    <t xml:space="preserve">    扩展不确定度为：</t>
    <phoneticPr fontId="2" type="noConversion"/>
  </si>
  <si>
    <r>
      <t xml:space="preserve"> 1.2×10</t>
    </r>
    <r>
      <rPr>
        <vertAlign val="superscript"/>
        <sz val="12"/>
        <rFont val="宋体"/>
        <family val="3"/>
        <charset val="134"/>
      </rPr>
      <t>-5</t>
    </r>
    <phoneticPr fontId="2" type="noConversion"/>
  </si>
  <si>
    <t>误差测量</t>
    <phoneticPr fontId="2" type="noConversion"/>
  </si>
  <si>
    <t>类别：</t>
    <phoneticPr fontId="136" type="noConversion"/>
  </si>
  <si>
    <t>整检装置误差</t>
    <phoneticPr fontId="136" type="noConversion"/>
  </si>
  <si>
    <t>上级传递误差</t>
    <phoneticPr fontId="136" type="noConversion"/>
  </si>
  <si>
    <t>正交分量(ˊ)</t>
    <phoneticPr fontId="136" type="noConversion"/>
  </si>
  <si>
    <t>（ˊ）</t>
    <phoneticPr fontId="136" type="noConversion"/>
  </si>
  <si>
    <t>0.0405（ˊ）</t>
    <phoneticPr fontId="136" type="noConversion"/>
  </si>
  <si>
    <r>
      <t>0.081</t>
    </r>
    <r>
      <rPr>
        <sz val="9"/>
        <rFont val="宋体"/>
        <family val="3"/>
        <charset val="134"/>
      </rPr>
      <t>（ˊ）</t>
    </r>
    <phoneticPr fontId="136" type="noConversion"/>
  </si>
  <si>
    <t>0.081（ˊ）</t>
    <phoneticPr fontId="136" type="noConversion"/>
  </si>
  <si>
    <t>不确定度</t>
    <phoneticPr fontId="2" type="noConversion"/>
  </si>
  <si>
    <t>（ˊ）</t>
    <phoneticPr fontId="136" type="noConversion"/>
  </si>
  <si>
    <t>同向分量(%)</t>
    <phoneticPr fontId="136" type="noConversion"/>
  </si>
  <si>
    <t>评定点：</t>
    <phoneticPr fontId="136" type="noConversion"/>
  </si>
  <si>
    <t>评定点：</t>
    <phoneticPr fontId="136" type="noConversion"/>
  </si>
  <si>
    <r>
      <rPr>
        <u/>
        <sz val="9"/>
        <rFont val="宋体"/>
        <family val="3"/>
        <charset val="134"/>
      </rPr>
      <t>三相四线</t>
    </r>
    <r>
      <rPr>
        <sz val="9"/>
        <rFont val="宋体"/>
        <family val="3"/>
        <charset val="134"/>
      </rPr>
      <t>方式，</t>
    </r>
    <r>
      <rPr>
        <sz val="9"/>
        <rFont val="Arial"/>
        <family val="2"/>
      </rPr>
      <t>AN</t>
    </r>
    <r>
      <rPr>
        <sz val="9"/>
        <rFont val="宋体"/>
        <family val="3"/>
        <charset val="134"/>
      </rPr>
      <t>的电压降：同向分量为</t>
    </r>
    <r>
      <rPr>
        <u/>
        <sz val="9"/>
        <rFont val="Arial"/>
        <family val="2"/>
      </rPr>
      <t>-1</t>
    </r>
    <r>
      <rPr>
        <u/>
        <sz val="9"/>
        <rFont val="宋体"/>
        <family val="3"/>
        <charset val="134"/>
      </rPr>
      <t>％</t>
    </r>
    <r>
      <rPr>
        <sz val="9"/>
        <rFont val="宋体"/>
        <family val="3"/>
        <charset val="134"/>
      </rPr>
      <t>，正交分量为</t>
    </r>
    <r>
      <rPr>
        <u/>
        <sz val="9"/>
        <rFont val="Arial"/>
        <family val="2"/>
      </rPr>
      <t>0</t>
    </r>
    <r>
      <rPr>
        <u/>
        <sz val="9"/>
        <rFont val="宋体"/>
        <family val="3"/>
        <charset val="134"/>
      </rPr>
      <t>ˊ</t>
    </r>
    <r>
      <rPr>
        <sz val="9"/>
        <rFont val="宋体"/>
        <family val="3"/>
        <charset val="134"/>
      </rPr>
      <t>，电压为</t>
    </r>
    <r>
      <rPr>
        <u/>
        <sz val="9"/>
        <rFont val="Arial"/>
        <family val="2"/>
      </rPr>
      <t>100%</t>
    </r>
    <phoneticPr fontId="136" type="noConversion"/>
  </si>
  <si>
    <r>
      <rPr>
        <u/>
        <sz val="9"/>
        <rFont val="宋体"/>
        <family val="3"/>
        <charset val="134"/>
      </rPr>
      <t>三相四线</t>
    </r>
    <r>
      <rPr>
        <sz val="9"/>
        <rFont val="宋体"/>
        <family val="3"/>
        <charset val="134"/>
      </rPr>
      <t>方式，AN的电压降：同向分量为</t>
    </r>
    <r>
      <rPr>
        <u/>
        <sz val="9"/>
        <rFont val="宋体"/>
        <family val="3"/>
        <charset val="134"/>
      </rPr>
      <t>-1％</t>
    </r>
    <r>
      <rPr>
        <sz val="9"/>
        <rFont val="宋体"/>
        <family val="3"/>
        <charset val="134"/>
      </rPr>
      <t>，正交分量为</t>
    </r>
    <r>
      <rPr>
        <u/>
        <sz val="9"/>
        <rFont val="宋体"/>
        <family val="3"/>
        <charset val="134"/>
      </rPr>
      <t>0ˊ</t>
    </r>
    <r>
      <rPr>
        <sz val="9"/>
        <rFont val="宋体"/>
        <family val="3"/>
        <charset val="134"/>
      </rPr>
      <t>，电压为</t>
    </r>
    <r>
      <rPr>
        <u/>
        <sz val="9"/>
        <rFont val="宋体"/>
        <family val="3"/>
        <charset val="134"/>
      </rPr>
      <t>100%</t>
    </r>
    <phoneticPr fontId="136" type="noConversion"/>
  </si>
  <si>
    <t>评定点：</t>
    <phoneticPr fontId="107" type="noConversion"/>
  </si>
  <si>
    <t>额定电压（V）</t>
    <phoneticPr fontId="136" type="noConversion"/>
  </si>
  <si>
    <t>负载（VA）</t>
    <phoneticPr fontId="136" type="noConversion"/>
  </si>
  <si>
    <t>功率因数</t>
    <phoneticPr fontId="136" type="noConversion"/>
  </si>
  <si>
    <t>检定装置的最小分辨率-无功分量</t>
    <phoneticPr fontId="107" type="noConversion"/>
  </si>
  <si>
    <t>有功分量和无功分量</t>
    <phoneticPr fontId="107" type="noConversion"/>
  </si>
  <si>
    <t>电压100V-有功</t>
    <phoneticPr fontId="107" type="noConversion"/>
  </si>
  <si>
    <t>电压100V-无功</t>
    <phoneticPr fontId="107" type="noConversion"/>
  </si>
  <si>
    <t>电压57.7V-有功</t>
    <phoneticPr fontId="107" type="noConversion"/>
  </si>
  <si>
    <t>0.01mS</t>
    <phoneticPr fontId="107" type="noConversion"/>
  </si>
  <si>
    <t>电压57.7V-无功</t>
    <phoneticPr fontId="107" type="noConversion"/>
  </si>
  <si>
    <t>额定电流（A）</t>
    <phoneticPr fontId="136" type="noConversion"/>
  </si>
  <si>
    <t>0.001Ω</t>
    <phoneticPr fontId="107" type="noConversion"/>
  </si>
  <si>
    <t>额定电流（V）</t>
    <phoneticPr fontId="136" type="noConversion"/>
  </si>
  <si>
    <t>电流5A-无功</t>
    <phoneticPr fontId="107" type="noConversion"/>
  </si>
  <si>
    <t>0.001Ω</t>
    <phoneticPr fontId="107" type="noConversion"/>
  </si>
  <si>
    <t>电流5A-有功</t>
    <phoneticPr fontId="107" type="noConversion"/>
  </si>
  <si>
    <t>电流5A/1A-有功</t>
    <phoneticPr fontId="107" type="noConversion"/>
  </si>
  <si>
    <t>电流5A/1A-无功</t>
    <phoneticPr fontId="107" type="noConversion"/>
  </si>
  <si>
    <t>规程名称：JJG 445-1986 直流标准电压源检定规程</t>
    <phoneticPr fontId="2" type="noConversion"/>
  </si>
  <si>
    <t>检定项目</t>
    <phoneticPr fontId="2" type="noConversion"/>
  </si>
  <si>
    <t>备注-单相</t>
    <phoneticPr fontId="2" type="noConversion"/>
  </si>
  <si>
    <t>外观检查</t>
    <phoneticPr fontId="2" type="noConversion"/>
  </si>
  <si>
    <t>合格、不合格</t>
    <phoneticPr fontId="2" type="noConversion"/>
  </si>
  <si>
    <t>直流电压输出</t>
    <phoneticPr fontId="2" type="noConversion"/>
  </si>
  <si>
    <t>类似基本误差，数据录入</t>
    <phoneticPr fontId="2" type="noConversion"/>
  </si>
  <si>
    <t>短期稳定度的测试</t>
    <phoneticPr fontId="2" type="noConversion"/>
  </si>
  <si>
    <t>-</t>
    <phoneticPr fontId="2" type="noConversion"/>
  </si>
  <si>
    <t>类似稳定误差，提供文本框输入</t>
    <phoneticPr fontId="2" type="noConversion"/>
  </si>
  <si>
    <t>线性误差</t>
    <phoneticPr fontId="2" type="noConversion"/>
  </si>
  <si>
    <t>合格、不合格</t>
    <phoneticPr fontId="2" type="noConversion"/>
  </si>
  <si>
    <t>负载调整率</t>
    <phoneticPr fontId="2" type="noConversion"/>
  </si>
  <si>
    <t>分辨力</t>
    <phoneticPr fontId="2" type="noConversion"/>
  </si>
  <si>
    <t>电源调整率</t>
    <phoneticPr fontId="2" type="noConversion"/>
  </si>
  <si>
    <t>纹波和噪声电压</t>
    <phoneticPr fontId="2" type="noConversion"/>
  </si>
  <si>
    <t>共模干扰抑制能力</t>
    <phoneticPr fontId="2" type="noConversion"/>
  </si>
  <si>
    <t>原始记录</t>
    <phoneticPr fontId="2" type="noConversion"/>
  </si>
  <si>
    <t>校准证书</t>
    <phoneticPr fontId="2" type="noConversion"/>
  </si>
  <si>
    <t>检定证书</t>
    <phoneticPr fontId="2" type="noConversion"/>
  </si>
  <si>
    <t>直流电压输出</t>
    <phoneticPr fontId="2" type="noConversion"/>
  </si>
  <si>
    <t>量程</t>
    <phoneticPr fontId="2" type="noConversion"/>
  </si>
  <si>
    <t>输出示值</t>
    <phoneticPr fontId="2" type="noConversion"/>
  </si>
  <si>
    <t>输出实际值</t>
    <phoneticPr fontId="2" type="noConversion"/>
  </si>
  <si>
    <t>相对误差</t>
    <phoneticPr fontId="2" type="noConversion"/>
  </si>
  <si>
    <r>
      <t xml:space="preserve">校准结果的不确定度
</t>
    </r>
    <r>
      <rPr>
        <i/>
        <sz val="11"/>
        <rFont val="宋体"/>
        <family val="3"/>
        <charset val="134"/>
      </rPr>
      <t>U</t>
    </r>
    <r>
      <rPr>
        <sz val="11"/>
        <rFont val="宋体"/>
        <family val="3"/>
        <charset val="134"/>
      </rPr>
      <t xml:space="preserve"> (</t>
    </r>
    <r>
      <rPr>
        <i/>
        <sz val="11"/>
        <rFont val="宋体"/>
        <family val="3"/>
        <charset val="134"/>
      </rPr>
      <t>k</t>
    </r>
    <r>
      <rPr>
        <sz val="11"/>
        <rFont val="宋体"/>
        <family val="3"/>
        <charset val="134"/>
      </rPr>
      <t xml:space="preserve">=2)   </t>
    </r>
    <phoneticPr fontId="2" type="noConversion"/>
  </si>
  <si>
    <t>指标</t>
    <phoneticPr fontId="2" type="noConversion"/>
  </si>
  <si>
    <t>相对误差</t>
    <phoneticPr fontId="2" type="noConversion"/>
  </si>
  <si>
    <t xml:space="preserve">校准结果的不确定度
U (k=2)  </t>
    <phoneticPr fontId="2" type="noConversion"/>
  </si>
  <si>
    <t>量程</t>
    <phoneticPr fontId="2" type="noConversion"/>
  </si>
  <si>
    <t>输出示值</t>
    <phoneticPr fontId="2" type="noConversion"/>
  </si>
  <si>
    <t>输出实际值</t>
    <phoneticPr fontId="2" type="noConversion"/>
  </si>
  <si>
    <t>V</t>
    <phoneticPr fontId="2" type="noConversion"/>
  </si>
  <si>
    <t>mV</t>
    <phoneticPr fontId="2" type="noConversion"/>
  </si>
  <si>
    <t>问题：</t>
    <phoneticPr fontId="2" type="noConversion"/>
  </si>
  <si>
    <t>灰色部分生成不打印，需要用户自己调整</t>
    <phoneticPr fontId="2" type="noConversion"/>
  </si>
  <si>
    <t>检定项目</t>
    <phoneticPr fontId="2" type="noConversion"/>
  </si>
  <si>
    <t>备注-单相</t>
    <phoneticPr fontId="2" type="noConversion"/>
  </si>
  <si>
    <t>外观检查</t>
    <phoneticPr fontId="2" type="noConversion"/>
  </si>
  <si>
    <t>合格、不合格</t>
    <phoneticPr fontId="2" type="noConversion"/>
  </si>
  <si>
    <t>类似基本误差，数据录入</t>
    <phoneticPr fontId="2" type="noConversion"/>
  </si>
  <si>
    <t>-</t>
    <phoneticPr fontId="2" type="noConversion"/>
  </si>
  <si>
    <t>类似稳定误差，文本框输入</t>
    <phoneticPr fontId="2" type="noConversion"/>
  </si>
  <si>
    <t>线性误差</t>
    <phoneticPr fontId="2" type="noConversion"/>
  </si>
  <si>
    <t>负载调整率</t>
    <phoneticPr fontId="2" type="noConversion"/>
  </si>
  <si>
    <t>分辨力</t>
    <phoneticPr fontId="2" type="noConversion"/>
  </si>
  <si>
    <t>电源调整率</t>
    <phoneticPr fontId="2" type="noConversion"/>
  </si>
  <si>
    <t>纹波和噪声电压</t>
    <phoneticPr fontId="2" type="noConversion"/>
  </si>
  <si>
    <t>共模干扰抑制能力</t>
    <phoneticPr fontId="2" type="noConversion"/>
  </si>
  <si>
    <t>原始记录</t>
    <phoneticPr fontId="2" type="noConversion"/>
  </si>
  <si>
    <t>单相、三相都引用</t>
    <phoneticPr fontId="2" type="noConversion"/>
  </si>
  <si>
    <t>误差=(输出示值-输出实际值)/量程</t>
    <phoneticPr fontId="2" type="noConversion"/>
  </si>
  <si>
    <t>校准证书</t>
    <phoneticPr fontId="2" type="noConversion"/>
  </si>
  <si>
    <t>检定证书</t>
    <phoneticPr fontId="2" type="noConversion"/>
  </si>
  <si>
    <t>量程</t>
    <phoneticPr fontId="2" type="noConversion"/>
  </si>
  <si>
    <t>输出示值</t>
    <phoneticPr fontId="2" type="noConversion"/>
  </si>
  <si>
    <t>输出实际值</t>
    <phoneticPr fontId="2" type="noConversion"/>
  </si>
  <si>
    <t>相对误差</t>
    <phoneticPr fontId="2" type="noConversion"/>
  </si>
  <si>
    <t>校准结果的不确定度</t>
  </si>
  <si>
    <t>数字表指标</t>
    <phoneticPr fontId="2" type="noConversion"/>
  </si>
  <si>
    <t>标准电阻指标</t>
    <phoneticPr fontId="2" type="noConversion"/>
  </si>
  <si>
    <t xml:space="preserve">U (k=2) </t>
  </si>
  <si>
    <t>mA</t>
    <phoneticPr fontId="2" type="noConversion"/>
  </si>
  <si>
    <t>V</t>
    <phoneticPr fontId="2" type="noConversion"/>
  </si>
  <si>
    <t>mA</t>
    <phoneticPr fontId="2" type="noConversion"/>
  </si>
  <si>
    <t>mA</t>
    <phoneticPr fontId="2" type="noConversion"/>
  </si>
  <si>
    <t>mA</t>
    <phoneticPr fontId="2" type="noConversion"/>
  </si>
  <si>
    <t>mA</t>
    <phoneticPr fontId="2" type="noConversion"/>
  </si>
  <si>
    <t>mA</t>
    <phoneticPr fontId="2" type="noConversion"/>
  </si>
  <si>
    <t>mA</t>
    <phoneticPr fontId="2" type="noConversion"/>
  </si>
  <si>
    <t>V</t>
    <phoneticPr fontId="2" type="noConversion"/>
  </si>
  <si>
    <t>mA</t>
    <phoneticPr fontId="2" type="noConversion"/>
  </si>
  <si>
    <t>V</t>
    <phoneticPr fontId="2" type="noConversion"/>
  </si>
  <si>
    <t>V</t>
    <phoneticPr fontId="2" type="noConversion"/>
  </si>
  <si>
    <t>mA</t>
    <phoneticPr fontId="2" type="noConversion"/>
  </si>
  <si>
    <t>mA</t>
    <phoneticPr fontId="2" type="noConversion"/>
  </si>
  <si>
    <t>V</t>
    <phoneticPr fontId="2" type="noConversion"/>
  </si>
  <si>
    <t>mA</t>
    <phoneticPr fontId="2" type="noConversion"/>
  </si>
  <si>
    <t>V</t>
    <phoneticPr fontId="2" type="noConversion"/>
  </si>
  <si>
    <t>mA</t>
    <phoneticPr fontId="2" type="noConversion"/>
  </si>
  <si>
    <t>mA</t>
    <phoneticPr fontId="2" type="noConversion"/>
  </si>
  <si>
    <t>V</t>
    <phoneticPr fontId="2" type="noConversion"/>
  </si>
  <si>
    <t>mA</t>
    <phoneticPr fontId="2" type="noConversion"/>
  </si>
  <si>
    <t>mA</t>
    <phoneticPr fontId="2" type="noConversion"/>
  </si>
  <si>
    <t>µA</t>
    <phoneticPr fontId="2" type="noConversion"/>
  </si>
  <si>
    <t>/</t>
    <phoneticPr fontId="2" type="noConversion"/>
  </si>
  <si>
    <t>/</t>
    <phoneticPr fontId="2" type="noConversion"/>
  </si>
  <si>
    <t>µA</t>
    <phoneticPr fontId="2" type="noConversion"/>
  </si>
  <si>
    <t>µA</t>
    <phoneticPr fontId="2" type="noConversion"/>
  </si>
  <si>
    <t>/</t>
    <phoneticPr fontId="2" type="noConversion"/>
  </si>
  <si>
    <t>/</t>
    <phoneticPr fontId="2" type="noConversion"/>
  </si>
  <si>
    <t>/</t>
    <phoneticPr fontId="2" type="noConversion"/>
  </si>
  <si>
    <t>/</t>
    <phoneticPr fontId="2" type="noConversion"/>
  </si>
  <si>
    <t>mA</t>
    <phoneticPr fontId="2" type="noConversion"/>
  </si>
  <si>
    <t>/</t>
    <phoneticPr fontId="2" type="noConversion"/>
  </si>
  <si>
    <t>A</t>
    <phoneticPr fontId="2" type="noConversion"/>
  </si>
  <si>
    <t>mV</t>
    <phoneticPr fontId="2" type="noConversion"/>
  </si>
  <si>
    <t>A</t>
    <phoneticPr fontId="2" type="noConversion"/>
  </si>
  <si>
    <t>mV</t>
    <phoneticPr fontId="2" type="noConversion"/>
  </si>
  <si>
    <t>mV</t>
    <phoneticPr fontId="2" type="noConversion"/>
  </si>
  <si>
    <t>规程名称：JJG(航天) 38-1987 直流标准电流源检定规程</t>
    <phoneticPr fontId="2" type="noConversion"/>
  </si>
  <si>
    <t>短期稳定度的测试</t>
    <phoneticPr fontId="25" type="noConversion"/>
  </si>
  <si>
    <t>JJG(航天)34-1999 交流数字电压表检定规程</t>
    <phoneticPr fontId="141" type="noConversion"/>
  </si>
  <si>
    <t>三相多功能标准表或者三相仪置检定项目</t>
    <phoneticPr fontId="141" type="noConversion"/>
  </si>
  <si>
    <r>
      <t>检定项目</t>
    </r>
    <r>
      <rPr>
        <sz val="12"/>
        <rFont val="宋体"/>
        <family val="3"/>
        <charset val="134"/>
      </rPr>
      <t xml:space="preserve">   </t>
    </r>
    <r>
      <rPr>
        <vertAlign val="superscript"/>
        <sz val="12"/>
        <rFont val="宋体"/>
        <family val="3"/>
        <charset val="134"/>
      </rPr>
      <t xml:space="preserve"> 检定类别</t>
    </r>
  </si>
  <si>
    <t>备注-单相</t>
    <phoneticPr fontId="141" type="noConversion"/>
  </si>
  <si>
    <t>外观及附件的检查</t>
    <phoneticPr fontId="141" type="noConversion"/>
  </si>
  <si>
    <t>合格、不合格</t>
    <phoneticPr fontId="141" type="noConversion"/>
  </si>
  <si>
    <t>工作正常性的检查</t>
    <phoneticPr fontId="141" type="noConversion"/>
  </si>
  <si>
    <t>数据录入</t>
    <phoneticPr fontId="141" type="noConversion"/>
  </si>
  <si>
    <t>原始记录（单相）</t>
    <phoneticPr fontId="141" type="noConversion"/>
  </si>
  <si>
    <t>校准证书（单相）</t>
    <phoneticPr fontId="141" type="noConversion"/>
  </si>
  <si>
    <t>检定证书（单相）</t>
    <phoneticPr fontId="141" type="noConversion"/>
  </si>
  <si>
    <t>量程</t>
    <phoneticPr fontId="141" type="noConversion"/>
  </si>
  <si>
    <t>标准值</t>
    <phoneticPr fontId="141" type="noConversion"/>
  </si>
  <si>
    <t>频率（Hz）</t>
    <phoneticPr fontId="141" type="noConversion"/>
  </si>
  <si>
    <t>显示值</t>
    <phoneticPr fontId="141" type="noConversion"/>
  </si>
  <si>
    <t>相对误差</t>
    <phoneticPr fontId="141" type="noConversion"/>
  </si>
  <si>
    <t xml:space="preserve">校准结果的不确定度       U (k=2) </t>
    <phoneticPr fontId="141" type="noConversion"/>
  </si>
  <si>
    <t>指标</t>
    <phoneticPr fontId="141" type="noConversion"/>
  </si>
  <si>
    <t>分辨力</t>
    <phoneticPr fontId="141" type="noConversion"/>
  </si>
  <si>
    <t>显示值</t>
    <phoneticPr fontId="141" type="noConversion"/>
  </si>
  <si>
    <t>相对误差</t>
    <phoneticPr fontId="141" type="noConversion"/>
  </si>
  <si>
    <t>校准结果的不确定度       U (k=2)</t>
    <phoneticPr fontId="141" type="noConversion"/>
  </si>
  <si>
    <r>
      <t>1</t>
    </r>
    <r>
      <rPr>
        <sz val="12"/>
        <rFont val="宋体"/>
        <family val="3"/>
        <charset val="134"/>
      </rPr>
      <t>k</t>
    </r>
    <phoneticPr fontId="141" type="noConversion"/>
  </si>
  <si>
    <t>原始记录（三相）</t>
    <phoneticPr fontId="141" type="noConversion"/>
  </si>
  <si>
    <t>三相（两列的三列的通道自己选择）</t>
    <phoneticPr fontId="141" type="noConversion"/>
  </si>
  <si>
    <t>校准证书（三相）</t>
    <phoneticPr fontId="141" type="noConversion"/>
  </si>
  <si>
    <t>检定证书（三相）</t>
    <phoneticPr fontId="141" type="noConversion"/>
  </si>
  <si>
    <t>1、</t>
    <phoneticPr fontId="141" type="noConversion"/>
  </si>
  <si>
    <t>校准证书只有不确定度，检定证书只有引用误差</t>
    <phoneticPr fontId="141" type="noConversion"/>
  </si>
  <si>
    <t>量程</t>
    <phoneticPr fontId="141" type="noConversion"/>
  </si>
  <si>
    <t>显示值</t>
    <phoneticPr fontId="141" type="noConversion"/>
  </si>
  <si>
    <t>标准值</t>
    <phoneticPr fontId="141" type="noConversion"/>
  </si>
  <si>
    <t>引用误差</t>
    <phoneticPr fontId="141" type="noConversion"/>
  </si>
  <si>
    <r>
      <rPr>
        <sz val="12"/>
        <rFont val="宋体"/>
        <family val="3"/>
        <charset val="134"/>
      </rPr>
      <t>校准结果的不确定度（</t>
    </r>
    <r>
      <rPr>
        <i/>
        <sz val="12"/>
        <rFont val="宋体"/>
        <family val="3"/>
        <charset val="134"/>
      </rPr>
      <t>k</t>
    </r>
    <r>
      <rPr>
        <sz val="12"/>
        <rFont val="宋体"/>
        <family val="3"/>
        <charset val="134"/>
      </rPr>
      <t xml:space="preserve">=2)  </t>
    </r>
    <phoneticPr fontId="141" type="noConversion"/>
  </si>
  <si>
    <r>
      <t>U</t>
    </r>
    <r>
      <rPr>
        <vertAlign val="subscript"/>
        <sz val="12"/>
        <rFont val="宋体"/>
        <family val="3"/>
        <charset val="134"/>
      </rPr>
      <t>1</t>
    </r>
    <phoneticPr fontId="141" type="noConversion"/>
  </si>
  <si>
    <r>
      <t>U</t>
    </r>
    <r>
      <rPr>
        <vertAlign val="subscript"/>
        <sz val="12"/>
        <rFont val="宋体"/>
        <family val="3"/>
        <charset val="134"/>
      </rPr>
      <t>2</t>
    </r>
    <r>
      <rPr>
        <sz val="12"/>
        <rFont val="宋体"/>
        <family val="3"/>
        <charset val="134"/>
      </rPr>
      <t/>
    </r>
    <phoneticPr fontId="141" type="noConversion"/>
  </si>
  <si>
    <t>引用误差=（标准值-显示值）/量程</t>
    <phoneticPr fontId="141" type="noConversion"/>
  </si>
  <si>
    <t>不确定度算法参考数表/数表-两相相位表进行计算。显示值小数位数不同，那么算法不同</t>
    <phoneticPr fontId="141" type="noConversion"/>
  </si>
  <si>
    <t>交流电压的显示值小数位数分1位、2位、3位、4位。</t>
    <phoneticPr fontId="141" type="noConversion"/>
  </si>
  <si>
    <r>
      <t>范围为：U</t>
    </r>
    <r>
      <rPr>
        <vertAlign val="subscript"/>
        <sz val="12"/>
        <rFont val="宋体"/>
        <family val="3"/>
        <charset val="134"/>
      </rPr>
      <t>0</t>
    </r>
    <r>
      <rPr>
        <sz val="12"/>
        <rFont val="宋体"/>
        <family val="3"/>
        <charset val="134"/>
      </rPr>
      <t>到U</t>
    </r>
    <r>
      <rPr>
        <vertAlign val="subscript"/>
        <sz val="12"/>
        <rFont val="宋体"/>
        <family val="3"/>
        <charset val="134"/>
      </rPr>
      <t>20</t>
    </r>
    <r>
      <rPr>
        <sz val="12"/>
        <rFont val="宋体"/>
        <family val="3"/>
        <charset val="134"/>
      </rPr>
      <t>,CH</t>
    </r>
    <r>
      <rPr>
        <vertAlign val="subscript"/>
        <sz val="12"/>
        <rFont val="宋体"/>
        <family val="3"/>
        <charset val="134"/>
      </rPr>
      <t>0</t>
    </r>
    <r>
      <rPr>
        <sz val="12"/>
        <rFont val="宋体"/>
        <family val="3"/>
        <charset val="134"/>
      </rPr>
      <t>到CH</t>
    </r>
    <r>
      <rPr>
        <vertAlign val="subscript"/>
        <sz val="12"/>
        <rFont val="宋体"/>
        <family val="3"/>
        <charset val="134"/>
      </rPr>
      <t>16</t>
    </r>
    <r>
      <rPr>
        <sz val="12"/>
        <rFont val="宋体"/>
        <family val="3"/>
        <charset val="134"/>
      </rPr>
      <t>，U</t>
    </r>
    <r>
      <rPr>
        <vertAlign val="subscript"/>
        <sz val="12"/>
        <rFont val="宋体"/>
        <family val="3"/>
        <charset val="134"/>
      </rPr>
      <t>A1</t>
    </r>
    <r>
      <rPr>
        <sz val="12"/>
        <rFont val="宋体"/>
        <family val="3"/>
        <charset val="134"/>
      </rPr>
      <t>到U</t>
    </r>
    <r>
      <rPr>
        <vertAlign val="subscript"/>
        <sz val="12"/>
        <rFont val="宋体"/>
        <family val="3"/>
        <charset val="134"/>
      </rPr>
      <t>A6</t>
    </r>
    <r>
      <rPr>
        <sz val="12"/>
        <rFont val="宋体"/>
        <family val="3"/>
        <charset val="134"/>
      </rPr>
      <t>，U</t>
    </r>
    <r>
      <rPr>
        <vertAlign val="subscript"/>
        <sz val="12"/>
        <rFont val="宋体"/>
        <family val="3"/>
        <charset val="134"/>
      </rPr>
      <t>B1</t>
    </r>
    <r>
      <rPr>
        <sz val="12"/>
        <rFont val="宋体"/>
        <family val="3"/>
        <charset val="134"/>
      </rPr>
      <t>到U</t>
    </r>
    <r>
      <rPr>
        <vertAlign val="subscript"/>
        <sz val="12"/>
        <rFont val="宋体"/>
        <family val="3"/>
        <charset val="134"/>
      </rPr>
      <t>B6</t>
    </r>
    <r>
      <rPr>
        <sz val="12"/>
        <rFont val="宋体"/>
        <family val="3"/>
        <charset val="134"/>
      </rPr>
      <t>，U</t>
    </r>
    <r>
      <rPr>
        <vertAlign val="subscript"/>
        <sz val="12"/>
        <rFont val="宋体"/>
        <family val="3"/>
        <charset val="134"/>
      </rPr>
      <t>C1</t>
    </r>
    <r>
      <rPr>
        <sz val="12"/>
        <rFont val="宋体"/>
        <family val="3"/>
        <charset val="134"/>
      </rPr>
      <t>到U</t>
    </r>
    <r>
      <rPr>
        <vertAlign val="subscript"/>
        <sz val="12"/>
        <rFont val="宋体"/>
        <family val="3"/>
        <charset val="134"/>
      </rPr>
      <t>C6</t>
    </r>
    <r>
      <rPr>
        <sz val="12"/>
        <rFont val="宋体"/>
        <family val="3"/>
        <charset val="134"/>
      </rPr>
      <t>，U</t>
    </r>
    <r>
      <rPr>
        <vertAlign val="subscript"/>
        <sz val="12"/>
        <rFont val="宋体"/>
        <family val="3"/>
        <charset val="134"/>
      </rPr>
      <t>01</t>
    </r>
    <r>
      <rPr>
        <sz val="12"/>
        <rFont val="宋体"/>
        <family val="3"/>
        <charset val="134"/>
      </rPr>
      <t>到U</t>
    </r>
    <r>
      <rPr>
        <vertAlign val="subscript"/>
        <sz val="12"/>
        <rFont val="宋体"/>
        <family val="3"/>
        <charset val="134"/>
      </rPr>
      <t>06</t>
    </r>
    <phoneticPr fontId="141" type="noConversion"/>
  </si>
  <si>
    <t>交流不确定度：小数点后三位，单位%</t>
    <phoneticPr fontId="141" type="noConversion"/>
  </si>
  <si>
    <t>注：显示值、标准值的单位与量程单位一致。</t>
    <phoneticPr fontId="141" type="noConversion"/>
  </si>
  <si>
    <t>1、</t>
    <phoneticPr fontId="141" type="noConversion"/>
  </si>
  <si>
    <t>量程</t>
    <phoneticPr fontId="141" type="noConversion"/>
  </si>
  <si>
    <t>显示值</t>
    <phoneticPr fontId="141" type="noConversion"/>
  </si>
  <si>
    <t>标准值</t>
    <phoneticPr fontId="141" type="noConversion"/>
  </si>
  <si>
    <t>引用误差</t>
    <phoneticPr fontId="141" type="noConversion"/>
  </si>
  <si>
    <r>
      <rPr>
        <i/>
        <sz val="12"/>
        <rFont val="宋体"/>
        <family val="3"/>
        <charset val="134"/>
      </rPr>
      <t>U</t>
    </r>
    <r>
      <rPr>
        <vertAlign val="subscript"/>
        <sz val="12"/>
        <rFont val="宋体"/>
        <family val="3"/>
        <charset val="134"/>
      </rPr>
      <t>rel</t>
    </r>
    <r>
      <rPr>
        <sz val="12"/>
        <rFont val="宋体"/>
        <family val="3"/>
        <charset val="134"/>
      </rPr>
      <t>（</t>
    </r>
    <r>
      <rPr>
        <i/>
        <sz val="12"/>
        <rFont val="宋体"/>
        <family val="3"/>
        <charset val="134"/>
      </rPr>
      <t>k</t>
    </r>
    <r>
      <rPr>
        <sz val="12"/>
        <rFont val="宋体"/>
        <family val="3"/>
        <charset val="134"/>
      </rPr>
      <t xml:space="preserve">=2)  </t>
    </r>
    <phoneticPr fontId="141" type="noConversion"/>
  </si>
  <si>
    <r>
      <t>U</t>
    </r>
    <r>
      <rPr>
        <vertAlign val="subscript"/>
        <sz val="12"/>
        <rFont val="宋体"/>
        <family val="3"/>
        <charset val="134"/>
      </rPr>
      <t>A</t>
    </r>
    <phoneticPr fontId="141" type="noConversion"/>
  </si>
  <si>
    <r>
      <t>U</t>
    </r>
    <r>
      <rPr>
        <vertAlign val="subscript"/>
        <sz val="12"/>
        <rFont val="宋体"/>
        <family val="3"/>
        <charset val="134"/>
      </rPr>
      <t>B</t>
    </r>
    <phoneticPr fontId="141" type="noConversion"/>
  </si>
  <si>
    <r>
      <t>U</t>
    </r>
    <r>
      <rPr>
        <vertAlign val="subscript"/>
        <sz val="12"/>
        <rFont val="宋体"/>
        <family val="3"/>
        <charset val="134"/>
      </rPr>
      <t>C</t>
    </r>
    <phoneticPr fontId="141" type="noConversion"/>
  </si>
  <si>
    <t>注：显示值、标准值的单位与量程单位一致。</t>
    <phoneticPr fontId="141" type="noConversion"/>
  </si>
  <si>
    <t>JJG 410-94 精密交流电压校准源检定规程</t>
    <phoneticPr fontId="141" type="noConversion"/>
  </si>
  <si>
    <t>检定项目</t>
    <phoneticPr fontId="141" type="noConversion"/>
  </si>
  <si>
    <t>备注单相</t>
    <phoneticPr fontId="141" type="noConversion"/>
  </si>
  <si>
    <t>外观检查</t>
    <phoneticPr fontId="141" type="noConversion"/>
  </si>
  <si>
    <t>合格、不合格</t>
    <phoneticPr fontId="141" type="noConversion"/>
  </si>
  <si>
    <t>伏特量程电压准确度</t>
    <phoneticPr fontId="141" type="noConversion"/>
  </si>
  <si>
    <t>毫伏量程电压准确度</t>
    <phoneticPr fontId="141" type="noConversion"/>
  </si>
  <si>
    <t>-</t>
    <phoneticPr fontId="141" type="noConversion"/>
  </si>
  <si>
    <t>频率准确度</t>
    <phoneticPr fontId="141" type="noConversion"/>
  </si>
  <si>
    <t>波形失真</t>
    <phoneticPr fontId="141" type="noConversion"/>
  </si>
  <si>
    <t>-</t>
    <phoneticPr fontId="141" type="noConversion"/>
  </si>
  <si>
    <t>合格、不合格</t>
    <phoneticPr fontId="141" type="noConversion"/>
  </si>
  <si>
    <t>单相</t>
    <phoneticPr fontId="141" type="noConversion"/>
  </si>
  <si>
    <t>数据录入</t>
    <phoneticPr fontId="141" type="noConversion"/>
  </si>
  <si>
    <t>电压短期稳定度</t>
    <phoneticPr fontId="141" type="noConversion"/>
  </si>
  <si>
    <t>提供文本框</t>
    <phoneticPr fontId="141" type="noConversion"/>
  </si>
  <si>
    <t>原始记录</t>
    <phoneticPr fontId="141" type="noConversion"/>
  </si>
  <si>
    <t>校准证书</t>
    <phoneticPr fontId="141" type="noConversion"/>
  </si>
  <si>
    <t>检定证书</t>
    <phoneticPr fontId="141" type="noConversion"/>
  </si>
  <si>
    <t>量程</t>
    <phoneticPr fontId="141" type="noConversion"/>
  </si>
  <si>
    <t>输出示值</t>
    <phoneticPr fontId="141" type="noConversion"/>
  </si>
  <si>
    <t>频率值</t>
    <phoneticPr fontId="141" type="noConversion"/>
  </si>
  <si>
    <t>输出实际值</t>
    <phoneticPr fontId="141" type="noConversion"/>
  </si>
  <si>
    <t>相对误差</t>
    <phoneticPr fontId="141" type="noConversion"/>
  </si>
  <si>
    <t>指标</t>
    <phoneticPr fontId="141" type="noConversion"/>
  </si>
  <si>
    <t>分辨力</t>
    <phoneticPr fontId="141" type="noConversion"/>
  </si>
  <si>
    <r>
      <t>（H</t>
    </r>
    <r>
      <rPr>
        <sz val="12"/>
        <rFont val="宋体"/>
        <family val="3"/>
        <charset val="134"/>
      </rPr>
      <t>z</t>
    </r>
    <r>
      <rPr>
        <sz val="12"/>
        <rFont val="宋体"/>
        <family val="3"/>
        <charset val="134"/>
      </rPr>
      <t>）</t>
    </r>
    <phoneticPr fontId="141" type="noConversion"/>
  </si>
  <si>
    <t>V</t>
    <phoneticPr fontId="141" type="noConversion"/>
  </si>
  <si>
    <t>mV</t>
    <phoneticPr fontId="141" type="noConversion"/>
  </si>
  <si>
    <t>检定项目</t>
    <phoneticPr fontId="141" type="noConversion"/>
  </si>
  <si>
    <t>备注单相</t>
    <phoneticPr fontId="141" type="noConversion"/>
  </si>
  <si>
    <t>外观检查</t>
    <phoneticPr fontId="141" type="noConversion"/>
  </si>
  <si>
    <t>合格、不合格</t>
    <phoneticPr fontId="141" type="noConversion"/>
  </si>
  <si>
    <t>工作正常性检查</t>
    <phoneticPr fontId="141" type="noConversion"/>
  </si>
  <si>
    <t>-</t>
    <phoneticPr fontId="141" type="noConversion"/>
  </si>
  <si>
    <t>数据录入</t>
    <phoneticPr fontId="141" type="noConversion"/>
  </si>
  <si>
    <t>电流稳定性</t>
    <phoneticPr fontId="141" type="noConversion"/>
  </si>
  <si>
    <t>提供文本框</t>
    <phoneticPr fontId="141" type="noConversion"/>
  </si>
  <si>
    <t>电流最高分辨率</t>
    <phoneticPr fontId="141" type="noConversion"/>
  </si>
  <si>
    <t>频率示值误差</t>
    <phoneticPr fontId="141" type="noConversion"/>
  </si>
  <si>
    <t>负载调整率</t>
    <phoneticPr fontId="141" type="noConversion"/>
  </si>
  <si>
    <t>波形失真度</t>
    <phoneticPr fontId="141" type="noConversion"/>
  </si>
  <si>
    <t>原始记录（是否使用变换器不要）</t>
    <phoneticPr fontId="141" type="noConversion"/>
  </si>
  <si>
    <t>校准证书</t>
    <phoneticPr fontId="141" type="noConversion"/>
  </si>
  <si>
    <t>检定证书</t>
    <phoneticPr fontId="141" type="noConversion"/>
  </si>
  <si>
    <t>量程</t>
    <phoneticPr fontId="141" type="noConversion"/>
  </si>
  <si>
    <t>是否使用变换器</t>
    <phoneticPr fontId="141" type="noConversion"/>
  </si>
  <si>
    <t>输出示值</t>
    <phoneticPr fontId="141" type="noConversion"/>
  </si>
  <si>
    <t>频率</t>
    <phoneticPr fontId="141" type="noConversion"/>
  </si>
  <si>
    <t>读数值</t>
    <phoneticPr fontId="141" type="noConversion"/>
  </si>
  <si>
    <t>输出实际值</t>
    <phoneticPr fontId="141" type="noConversion"/>
  </si>
  <si>
    <t>相对误差</t>
    <phoneticPr fontId="141" type="noConversion"/>
  </si>
  <si>
    <t>校准结果的不确定度</t>
    <phoneticPr fontId="141" type="noConversion"/>
  </si>
  <si>
    <t>数字表指标</t>
    <phoneticPr fontId="141" type="noConversion"/>
  </si>
  <si>
    <t>变换器指标</t>
    <phoneticPr fontId="141" type="noConversion"/>
  </si>
  <si>
    <t>分辨力</t>
    <phoneticPr fontId="141" type="noConversion"/>
  </si>
  <si>
    <t>A</t>
    <phoneticPr fontId="141" type="noConversion"/>
  </si>
  <si>
    <t>是</t>
    <phoneticPr fontId="141" type="noConversion"/>
  </si>
  <si>
    <t>V</t>
    <phoneticPr fontId="141" type="noConversion"/>
  </si>
  <si>
    <t>mA</t>
    <phoneticPr fontId="141" type="noConversion"/>
  </si>
  <si>
    <t>否</t>
    <phoneticPr fontId="141" type="noConversion"/>
  </si>
  <si>
    <t>mA</t>
    <phoneticPr fontId="141" type="noConversion"/>
  </si>
  <si>
    <t>/</t>
    <phoneticPr fontId="141" type="noConversion"/>
  </si>
  <si>
    <t>mA</t>
    <phoneticPr fontId="141" type="noConversion"/>
  </si>
  <si>
    <t>mA</t>
    <phoneticPr fontId="141" type="noConversion"/>
  </si>
  <si>
    <t>否</t>
    <phoneticPr fontId="141" type="noConversion"/>
  </si>
  <si>
    <t>/</t>
    <phoneticPr fontId="141" type="noConversion"/>
  </si>
  <si>
    <t>否</t>
    <phoneticPr fontId="141" type="noConversion"/>
  </si>
  <si>
    <t>/</t>
    <phoneticPr fontId="141" type="noConversion"/>
  </si>
  <si>
    <t>mA</t>
    <phoneticPr fontId="141" type="noConversion"/>
  </si>
  <si>
    <t>mA</t>
    <phoneticPr fontId="141" type="noConversion"/>
  </si>
  <si>
    <t>否</t>
    <phoneticPr fontId="141" type="noConversion"/>
  </si>
  <si>
    <t>/</t>
    <phoneticPr fontId="141" type="noConversion"/>
  </si>
  <si>
    <t>mA</t>
    <phoneticPr fontId="141" type="noConversion"/>
  </si>
  <si>
    <t>是</t>
    <phoneticPr fontId="141" type="noConversion"/>
  </si>
  <si>
    <t>V</t>
    <phoneticPr fontId="141" type="noConversion"/>
  </si>
  <si>
    <t>A</t>
    <phoneticPr fontId="141" type="noConversion"/>
  </si>
  <si>
    <t>问题：</t>
    <phoneticPr fontId="141" type="noConversion"/>
  </si>
  <si>
    <t>备注-单相</t>
    <phoneticPr fontId="141" type="noConversion"/>
  </si>
  <si>
    <t>外观检查</t>
    <phoneticPr fontId="141" type="noConversion"/>
  </si>
  <si>
    <t>合格、不合格</t>
    <phoneticPr fontId="141" type="noConversion"/>
  </si>
  <si>
    <t>数据录入，分三类，
为JJG 1072-2011 直流高压高值电阻器-高阻箱GZX92A-2015基本误差下
的电压表示值和2000-1074374的直流电压测量</t>
    <phoneticPr fontId="141" type="noConversion"/>
  </si>
  <si>
    <t>稳定误差</t>
    <phoneticPr fontId="141" type="noConversion"/>
  </si>
  <si>
    <t>-</t>
    <phoneticPr fontId="141" type="noConversion"/>
  </si>
  <si>
    <t>数据录入，文本框即可</t>
    <phoneticPr fontId="141" type="noConversion"/>
  </si>
  <si>
    <t>线性误差</t>
    <phoneticPr fontId="141" type="noConversion"/>
  </si>
  <si>
    <t>合格、不合格</t>
    <phoneticPr fontId="141" type="noConversion"/>
  </si>
  <si>
    <t>显示能力</t>
    <phoneticPr fontId="141" type="noConversion"/>
  </si>
  <si>
    <t>分辨力</t>
    <phoneticPr fontId="141" type="noConversion"/>
  </si>
  <si>
    <t>温度系数</t>
    <phoneticPr fontId="141" type="noConversion"/>
  </si>
  <si>
    <t>-</t>
    <phoneticPr fontId="141" type="noConversion"/>
  </si>
  <si>
    <t>合格、不合格</t>
    <phoneticPr fontId="141" type="noConversion"/>
  </si>
  <si>
    <t>电源电压变化的影响</t>
    <phoneticPr fontId="141" type="noConversion"/>
  </si>
  <si>
    <t>原始记录</t>
    <phoneticPr fontId="141" type="noConversion"/>
  </si>
  <si>
    <t>校准证书</t>
    <phoneticPr fontId="141" type="noConversion"/>
  </si>
  <si>
    <t>检定证书</t>
    <phoneticPr fontId="141" type="noConversion"/>
  </si>
  <si>
    <t>量程</t>
    <phoneticPr fontId="141" type="noConversion"/>
  </si>
  <si>
    <t>标准值</t>
    <phoneticPr fontId="141" type="noConversion"/>
  </si>
  <si>
    <t>显示值</t>
    <phoneticPr fontId="141" type="noConversion"/>
  </si>
  <si>
    <t>指标</t>
    <phoneticPr fontId="141" type="noConversion"/>
  </si>
  <si>
    <t>量程</t>
    <phoneticPr fontId="141" type="noConversion"/>
  </si>
  <si>
    <t>标准值</t>
    <phoneticPr fontId="141" type="noConversion"/>
  </si>
  <si>
    <t>+</t>
    <phoneticPr fontId="141" type="noConversion"/>
  </si>
  <si>
    <t>+</t>
    <phoneticPr fontId="141" type="noConversion"/>
  </si>
  <si>
    <t>U (k=2)</t>
  </si>
  <si>
    <t>/</t>
    <phoneticPr fontId="141" type="noConversion"/>
  </si>
  <si>
    <t>2.直流电压测量-通道（三相）</t>
    <phoneticPr fontId="141" type="noConversion"/>
  </si>
  <si>
    <t>直流电压测量</t>
  </si>
  <si>
    <t>显示值CH1</t>
    <phoneticPr fontId="141" type="noConversion"/>
  </si>
  <si>
    <t>相对误差</t>
    <phoneticPr fontId="141" type="noConversion"/>
  </si>
  <si>
    <t>指标</t>
    <phoneticPr fontId="141" type="noConversion"/>
  </si>
  <si>
    <t>分辨力</t>
    <phoneticPr fontId="141" type="noConversion"/>
  </si>
  <si>
    <t>单相/三相不做，只有直流做</t>
    <phoneticPr fontId="141" type="noConversion"/>
  </si>
  <si>
    <t>误差（%）</t>
    <phoneticPr fontId="141" type="noConversion"/>
  </si>
  <si>
    <t>允许误差（%）</t>
    <phoneticPr fontId="141" type="noConversion"/>
  </si>
  <si>
    <t>原始记录</t>
    <phoneticPr fontId="141" type="noConversion"/>
  </si>
  <si>
    <r>
      <t>4</t>
    </r>
    <r>
      <rPr>
        <sz val="12"/>
        <rFont val="黑体"/>
        <family val="3"/>
        <charset val="134"/>
      </rPr>
      <t>、三相</t>
    </r>
    <r>
      <rPr>
        <sz val="12"/>
        <rFont val="Times New Roman"/>
        <family val="1"/>
      </rPr>
      <t>-</t>
    </r>
    <r>
      <rPr>
        <sz val="12"/>
        <rFont val="黑体"/>
        <family val="3"/>
        <charset val="134"/>
      </rPr>
      <t>直流电压测量</t>
    </r>
    <phoneticPr fontId="141" type="noConversion"/>
  </si>
  <si>
    <t>两列、三列</t>
    <phoneticPr fontId="141" type="noConversion"/>
  </si>
  <si>
    <r>
      <rPr>
        <sz val="12"/>
        <rFont val="宋体"/>
        <family val="3"/>
        <charset val="134"/>
      </rPr>
      <t>显示值</t>
    </r>
    <r>
      <rPr>
        <sz val="12"/>
        <rFont val="Times New Roman"/>
        <family val="1"/>
      </rPr>
      <t>(V)</t>
    </r>
    <phoneticPr fontId="141" type="noConversion"/>
  </si>
  <si>
    <r>
      <rPr>
        <sz val="12"/>
        <rFont val="宋体"/>
        <family val="3"/>
        <charset val="134"/>
      </rPr>
      <t>标准值</t>
    </r>
    <r>
      <rPr>
        <sz val="12"/>
        <rFont val="Times New Roman"/>
        <family val="1"/>
      </rPr>
      <t>(V)</t>
    </r>
    <phoneticPr fontId="141" type="noConversion"/>
  </si>
  <si>
    <r>
      <rPr>
        <i/>
        <sz val="12"/>
        <rFont val="宋体"/>
        <family val="3"/>
        <charset val="134"/>
      </rPr>
      <t>U</t>
    </r>
    <r>
      <rPr>
        <vertAlign val="subscript"/>
        <sz val="12"/>
        <rFont val="宋体"/>
        <family val="3"/>
        <charset val="134"/>
      </rPr>
      <t>rel</t>
    </r>
    <r>
      <rPr>
        <sz val="12"/>
        <rFont val="宋体"/>
        <family val="3"/>
        <charset val="134"/>
      </rPr>
      <t>（</t>
    </r>
    <r>
      <rPr>
        <i/>
        <sz val="12"/>
        <rFont val="宋体"/>
        <family val="3"/>
        <charset val="134"/>
      </rPr>
      <t>k</t>
    </r>
    <r>
      <rPr>
        <sz val="12"/>
        <rFont val="宋体"/>
        <family val="3"/>
        <charset val="134"/>
      </rPr>
      <t xml:space="preserve">=2)  </t>
    </r>
    <phoneticPr fontId="141" type="noConversion"/>
  </si>
  <si>
    <t>相对误差=（显示值-标准值）/标准值</t>
    <phoneticPr fontId="141" type="noConversion"/>
  </si>
  <si>
    <r>
      <t>U</t>
    </r>
    <r>
      <rPr>
        <i/>
        <vertAlign val="subscript"/>
        <sz val="12"/>
        <rFont val="Times New Roman"/>
        <family val="1"/>
      </rPr>
      <t>0</t>
    </r>
    <phoneticPr fontId="141" type="noConversion"/>
  </si>
  <si>
    <r>
      <t>U</t>
    </r>
    <r>
      <rPr>
        <vertAlign val="subscript"/>
        <sz val="12"/>
        <rFont val="Times New Roman"/>
        <family val="1"/>
      </rPr>
      <t>2</t>
    </r>
    <phoneticPr fontId="141" type="noConversion"/>
  </si>
  <si>
    <r>
      <t>U</t>
    </r>
    <r>
      <rPr>
        <vertAlign val="subscript"/>
        <sz val="12"/>
        <rFont val="Times New Roman"/>
        <family val="1"/>
      </rPr>
      <t>4</t>
    </r>
    <phoneticPr fontId="141" type="noConversion"/>
  </si>
  <si>
    <t>不确定度算法，参考数表/DEWE3020的直流电压测量，根据显示值读取小数位数确定算法。比如小数点后两位，那么取800V对应的不确定度算法，如果小数点后三位，参考50V对应的不确定度算法。</t>
    <phoneticPr fontId="141" type="noConversion"/>
  </si>
  <si>
    <t>直流电压的显示值小数位数分2位、3位、4位。</t>
    <phoneticPr fontId="141" type="noConversion"/>
  </si>
  <si>
    <r>
      <t>U下标范围为：默认U</t>
    </r>
    <r>
      <rPr>
        <vertAlign val="subscript"/>
        <sz val="12"/>
        <rFont val="宋体"/>
        <family val="3"/>
        <charset val="134"/>
      </rPr>
      <t>1</t>
    </r>
    <r>
      <rPr>
        <sz val="12"/>
        <rFont val="宋体"/>
        <family val="3"/>
        <charset val="134"/>
      </rPr>
      <t xml:space="preserve"> 、U</t>
    </r>
    <r>
      <rPr>
        <vertAlign val="subscript"/>
        <sz val="12"/>
        <rFont val="宋体"/>
        <family val="3"/>
        <charset val="134"/>
      </rPr>
      <t>2</t>
    </r>
    <r>
      <rPr>
        <sz val="12"/>
        <rFont val="宋体"/>
        <family val="3"/>
        <charset val="134"/>
      </rPr>
      <t>或者是U</t>
    </r>
    <r>
      <rPr>
        <vertAlign val="subscript"/>
        <sz val="12"/>
        <rFont val="宋体"/>
        <family val="3"/>
        <charset val="134"/>
      </rPr>
      <t>A</t>
    </r>
    <r>
      <rPr>
        <sz val="12"/>
        <rFont val="宋体"/>
        <family val="3"/>
        <charset val="134"/>
      </rPr>
      <t>、U</t>
    </r>
    <r>
      <rPr>
        <vertAlign val="subscript"/>
        <sz val="12"/>
        <rFont val="宋体"/>
        <family val="3"/>
        <charset val="134"/>
      </rPr>
      <t>B</t>
    </r>
    <r>
      <rPr>
        <sz val="12"/>
        <rFont val="宋体"/>
        <family val="3"/>
        <charset val="134"/>
      </rPr>
      <t>、U</t>
    </r>
    <r>
      <rPr>
        <vertAlign val="subscript"/>
        <sz val="12"/>
        <rFont val="宋体"/>
        <family val="3"/>
        <charset val="134"/>
      </rPr>
      <t>C</t>
    </r>
    <phoneticPr fontId="141" type="noConversion"/>
  </si>
  <si>
    <r>
      <t>范围为：U</t>
    </r>
    <r>
      <rPr>
        <vertAlign val="subscript"/>
        <sz val="12"/>
        <rFont val="宋体"/>
        <family val="3"/>
        <charset val="134"/>
      </rPr>
      <t>0</t>
    </r>
    <r>
      <rPr>
        <sz val="12"/>
        <rFont val="宋体"/>
        <family val="3"/>
        <charset val="134"/>
      </rPr>
      <t>到U</t>
    </r>
    <r>
      <rPr>
        <vertAlign val="subscript"/>
        <sz val="12"/>
        <rFont val="宋体"/>
        <family val="3"/>
        <charset val="134"/>
      </rPr>
      <t>20</t>
    </r>
    <r>
      <rPr>
        <sz val="12"/>
        <rFont val="宋体"/>
        <family val="3"/>
        <charset val="134"/>
      </rPr>
      <t>,CH</t>
    </r>
    <r>
      <rPr>
        <vertAlign val="subscript"/>
        <sz val="12"/>
        <rFont val="宋体"/>
        <family val="3"/>
        <charset val="134"/>
      </rPr>
      <t>0</t>
    </r>
    <r>
      <rPr>
        <sz val="12"/>
        <rFont val="宋体"/>
        <family val="3"/>
        <charset val="134"/>
      </rPr>
      <t>到CH</t>
    </r>
    <r>
      <rPr>
        <vertAlign val="subscript"/>
        <sz val="12"/>
        <rFont val="宋体"/>
        <family val="3"/>
        <charset val="134"/>
      </rPr>
      <t>16</t>
    </r>
    <r>
      <rPr>
        <sz val="12"/>
        <rFont val="宋体"/>
        <family val="3"/>
        <charset val="134"/>
      </rPr>
      <t>，U</t>
    </r>
    <r>
      <rPr>
        <vertAlign val="subscript"/>
        <sz val="12"/>
        <rFont val="宋体"/>
        <family val="3"/>
        <charset val="134"/>
      </rPr>
      <t>A1</t>
    </r>
    <r>
      <rPr>
        <sz val="12"/>
        <rFont val="宋体"/>
        <family val="3"/>
        <charset val="134"/>
      </rPr>
      <t>到U</t>
    </r>
    <r>
      <rPr>
        <vertAlign val="subscript"/>
        <sz val="12"/>
        <rFont val="宋体"/>
        <family val="3"/>
        <charset val="134"/>
      </rPr>
      <t>A6</t>
    </r>
    <r>
      <rPr>
        <sz val="12"/>
        <rFont val="宋体"/>
        <family val="3"/>
        <charset val="134"/>
      </rPr>
      <t>，U</t>
    </r>
    <r>
      <rPr>
        <vertAlign val="subscript"/>
        <sz val="12"/>
        <rFont val="宋体"/>
        <family val="3"/>
        <charset val="134"/>
      </rPr>
      <t>B1</t>
    </r>
    <r>
      <rPr>
        <sz val="12"/>
        <rFont val="宋体"/>
        <family val="3"/>
        <charset val="134"/>
      </rPr>
      <t>到U</t>
    </r>
    <r>
      <rPr>
        <vertAlign val="subscript"/>
        <sz val="12"/>
        <rFont val="宋体"/>
        <family val="3"/>
        <charset val="134"/>
      </rPr>
      <t>B6</t>
    </r>
    <r>
      <rPr>
        <sz val="12"/>
        <rFont val="宋体"/>
        <family val="3"/>
        <charset val="134"/>
      </rPr>
      <t>，U</t>
    </r>
    <r>
      <rPr>
        <vertAlign val="subscript"/>
        <sz val="12"/>
        <rFont val="宋体"/>
        <family val="3"/>
        <charset val="134"/>
      </rPr>
      <t>C1</t>
    </r>
    <r>
      <rPr>
        <sz val="12"/>
        <rFont val="宋体"/>
        <family val="3"/>
        <charset val="134"/>
      </rPr>
      <t>到U</t>
    </r>
    <r>
      <rPr>
        <vertAlign val="subscript"/>
        <sz val="12"/>
        <rFont val="宋体"/>
        <family val="3"/>
        <charset val="134"/>
      </rPr>
      <t>C6</t>
    </r>
    <r>
      <rPr>
        <sz val="12"/>
        <rFont val="宋体"/>
        <family val="3"/>
        <charset val="134"/>
      </rPr>
      <t>，U</t>
    </r>
    <r>
      <rPr>
        <vertAlign val="subscript"/>
        <sz val="12"/>
        <rFont val="宋体"/>
        <family val="3"/>
        <charset val="134"/>
      </rPr>
      <t>01</t>
    </r>
    <r>
      <rPr>
        <sz val="12"/>
        <rFont val="宋体"/>
        <family val="3"/>
        <charset val="134"/>
      </rPr>
      <t>到U</t>
    </r>
    <r>
      <rPr>
        <vertAlign val="subscript"/>
        <sz val="12"/>
        <rFont val="宋体"/>
        <family val="3"/>
        <charset val="134"/>
      </rPr>
      <t>06</t>
    </r>
    <phoneticPr fontId="141" type="noConversion"/>
  </si>
  <si>
    <t>直流不确定度：小数点后三位，单位%</t>
    <phoneticPr fontId="141" type="noConversion"/>
  </si>
  <si>
    <r>
      <t>U</t>
    </r>
    <r>
      <rPr>
        <vertAlign val="subscript"/>
        <sz val="12"/>
        <rFont val="Times New Roman"/>
        <family val="1"/>
      </rPr>
      <t>1</t>
    </r>
    <phoneticPr fontId="141" type="noConversion"/>
  </si>
  <si>
    <r>
      <t>U</t>
    </r>
    <r>
      <rPr>
        <sz val="6"/>
        <rFont val="Times New Roman"/>
        <family val="1"/>
      </rPr>
      <t>3</t>
    </r>
    <phoneticPr fontId="141" type="noConversion"/>
  </si>
  <si>
    <r>
      <t>U</t>
    </r>
    <r>
      <rPr>
        <sz val="6"/>
        <rFont val="Times New Roman"/>
        <family val="1"/>
      </rPr>
      <t>5</t>
    </r>
    <phoneticPr fontId="141" type="noConversion"/>
  </si>
  <si>
    <r>
      <t>U</t>
    </r>
    <r>
      <rPr>
        <vertAlign val="subscript"/>
        <sz val="12"/>
        <rFont val="Times New Roman"/>
        <family val="1"/>
      </rPr>
      <t>1</t>
    </r>
    <phoneticPr fontId="141" type="noConversion"/>
  </si>
  <si>
    <r>
      <t>U</t>
    </r>
    <r>
      <rPr>
        <sz val="6"/>
        <rFont val="Times New Roman"/>
        <family val="1"/>
      </rPr>
      <t>3</t>
    </r>
    <phoneticPr fontId="141" type="noConversion"/>
  </si>
  <si>
    <r>
      <t>U</t>
    </r>
    <r>
      <rPr>
        <sz val="6"/>
        <rFont val="Times New Roman"/>
        <family val="1"/>
      </rPr>
      <t>5</t>
    </r>
    <phoneticPr fontId="141" type="noConversion"/>
  </si>
  <si>
    <r>
      <t>U</t>
    </r>
    <r>
      <rPr>
        <vertAlign val="subscript"/>
        <sz val="12"/>
        <rFont val="Times New Roman"/>
        <family val="1"/>
      </rPr>
      <t>6</t>
    </r>
    <phoneticPr fontId="141" type="noConversion"/>
  </si>
  <si>
    <r>
      <t>U</t>
    </r>
    <r>
      <rPr>
        <sz val="6"/>
        <rFont val="Times New Roman"/>
        <family val="1"/>
      </rPr>
      <t>7</t>
    </r>
    <phoneticPr fontId="141" type="noConversion"/>
  </si>
  <si>
    <t>/</t>
    <phoneticPr fontId="141" type="noConversion"/>
  </si>
  <si>
    <r>
      <t>U</t>
    </r>
    <r>
      <rPr>
        <vertAlign val="subscript"/>
        <sz val="12"/>
        <rFont val="Times New Roman"/>
        <family val="1"/>
      </rPr>
      <t>3</t>
    </r>
    <phoneticPr fontId="141" type="noConversion"/>
  </si>
  <si>
    <r>
      <t>U</t>
    </r>
    <r>
      <rPr>
        <vertAlign val="subscript"/>
        <sz val="12"/>
        <rFont val="Times New Roman"/>
        <family val="1"/>
      </rPr>
      <t>5</t>
    </r>
    <phoneticPr fontId="141" type="noConversion"/>
  </si>
  <si>
    <t>10V</t>
    <phoneticPr fontId="141" type="noConversion"/>
  </si>
  <si>
    <r>
      <t>U</t>
    </r>
    <r>
      <rPr>
        <vertAlign val="subscript"/>
        <sz val="12"/>
        <rFont val="Times New Roman"/>
        <family val="1"/>
      </rPr>
      <t>7</t>
    </r>
    <phoneticPr fontId="141" type="noConversion"/>
  </si>
  <si>
    <r>
      <t>U</t>
    </r>
    <r>
      <rPr>
        <vertAlign val="subscript"/>
        <sz val="12"/>
        <rFont val="Times New Roman"/>
        <family val="1"/>
      </rPr>
      <t>9</t>
    </r>
    <phoneticPr fontId="141" type="noConversion"/>
  </si>
  <si>
    <r>
      <t>U</t>
    </r>
    <r>
      <rPr>
        <vertAlign val="subscript"/>
        <sz val="12"/>
        <rFont val="Times New Roman"/>
        <family val="1"/>
      </rPr>
      <t>11</t>
    </r>
    <phoneticPr fontId="141" type="noConversion"/>
  </si>
  <si>
    <r>
      <t>U</t>
    </r>
    <r>
      <rPr>
        <vertAlign val="subscript"/>
        <sz val="12"/>
        <rFont val="Times New Roman"/>
        <family val="1"/>
      </rPr>
      <t>12</t>
    </r>
    <phoneticPr fontId="141" type="noConversion"/>
  </si>
  <si>
    <r>
      <t>U</t>
    </r>
    <r>
      <rPr>
        <vertAlign val="subscript"/>
        <sz val="12"/>
        <rFont val="Times New Roman"/>
        <family val="1"/>
      </rPr>
      <t>13</t>
    </r>
    <phoneticPr fontId="141" type="noConversion"/>
  </si>
  <si>
    <t>/</t>
    <phoneticPr fontId="141" type="noConversion"/>
  </si>
  <si>
    <r>
      <t>U</t>
    </r>
    <r>
      <rPr>
        <vertAlign val="subscript"/>
        <sz val="12"/>
        <rFont val="Times New Roman"/>
        <family val="1"/>
      </rPr>
      <t>12</t>
    </r>
    <phoneticPr fontId="141" type="noConversion"/>
  </si>
  <si>
    <r>
      <t>U</t>
    </r>
    <r>
      <rPr>
        <vertAlign val="subscript"/>
        <sz val="12"/>
        <rFont val="Times New Roman"/>
        <family val="1"/>
      </rPr>
      <t>13</t>
    </r>
    <phoneticPr fontId="141" type="noConversion"/>
  </si>
  <si>
    <r>
      <t>U</t>
    </r>
    <r>
      <rPr>
        <vertAlign val="subscript"/>
        <sz val="12"/>
        <rFont val="Times New Roman"/>
        <family val="1"/>
      </rPr>
      <t>15</t>
    </r>
    <phoneticPr fontId="141" type="noConversion"/>
  </si>
  <si>
    <r>
      <rPr>
        <sz val="10"/>
        <rFont val="宋体"/>
        <family val="3"/>
        <charset val="134"/>
      </rPr>
      <t>注：显示值、标准值的单位与量程单位一致。</t>
    </r>
    <phoneticPr fontId="141" type="noConversion"/>
  </si>
  <si>
    <t>直流数字电流表检定项目</t>
    <phoneticPr fontId="141" type="noConversion"/>
  </si>
  <si>
    <t>备注-单相</t>
    <phoneticPr fontId="141" type="noConversion"/>
  </si>
  <si>
    <t>合格、不合格</t>
    <phoneticPr fontId="141" type="noConversion"/>
  </si>
  <si>
    <t>数据录入</t>
    <phoneticPr fontId="141" type="noConversion"/>
  </si>
  <si>
    <t>稳定误差</t>
    <phoneticPr fontId="141" type="noConversion"/>
  </si>
  <si>
    <t>-</t>
    <phoneticPr fontId="141" type="noConversion"/>
  </si>
  <si>
    <t>文本框</t>
    <phoneticPr fontId="141" type="noConversion"/>
  </si>
  <si>
    <t>线性误差</t>
    <phoneticPr fontId="141" type="noConversion"/>
  </si>
  <si>
    <t>显示能力</t>
    <phoneticPr fontId="141" type="noConversion"/>
  </si>
  <si>
    <t>分辨力</t>
    <phoneticPr fontId="141" type="noConversion"/>
  </si>
  <si>
    <t>温度系数</t>
    <phoneticPr fontId="141" type="noConversion"/>
  </si>
  <si>
    <t>电源电压变化的影响</t>
    <phoneticPr fontId="141" type="noConversion"/>
  </si>
  <si>
    <t>原始记录</t>
    <phoneticPr fontId="141" type="noConversion"/>
  </si>
  <si>
    <t>校准证书</t>
    <phoneticPr fontId="141" type="noConversion"/>
  </si>
  <si>
    <t>检定证书</t>
    <phoneticPr fontId="141" type="noConversion"/>
  </si>
  <si>
    <t>量程</t>
    <phoneticPr fontId="141" type="noConversion"/>
  </si>
  <si>
    <t>标准值</t>
    <phoneticPr fontId="141" type="noConversion"/>
  </si>
  <si>
    <t>显示值</t>
    <phoneticPr fontId="141" type="noConversion"/>
  </si>
  <si>
    <r>
      <t xml:space="preserve">校准结果的不确定度
</t>
    </r>
    <r>
      <rPr>
        <i/>
        <sz val="11"/>
        <rFont val="宋体"/>
        <family val="3"/>
        <charset val="134"/>
      </rPr>
      <t>U</t>
    </r>
    <r>
      <rPr>
        <sz val="11"/>
        <rFont val="宋体"/>
        <family val="3"/>
        <charset val="134"/>
      </rPr>
      <t xml:space="preserve"> (</t>
    </r>
    <r>
      <rPr>
        <i/>
        <sz val="11"/>
        <rFont val="宋体"/>
        <family val="3"/>
        <charset val="134"/>
      </rPr>
      <t>k</t>
    </r>
    <r>
      <rPr>
        <sz val="11"/>
        <rFont val="宋体"/>
        <family val="3"/>
        <charset val="134"/>
      </rPr>
      <t xml:space="preserve">=2)   </t>
    </r>
    <phoneticPr fontId="141" type="noConversion"/>
  </si>
  <si>
    <t>指标</t>
    <phoneticPr fontId="141" type="noConversion"/>
  </si>
  <si>
    <t>+</t>
    <phoneticPr fontId="141" type="noConversion"/>
  </si>
  <si>
    <t xml:space="preserve">U (k=2)  </t>
  </si>
  <si>
    <r>
      <t>2</t>
    </r>
    <r>
      <rPr>
        <sz val="12"/>
        <rFont val="黑体"/>
        <family val="3"/>
        <charset val="134"/>
      </rPr>
      <t>、三相</t>
    </r>
    <r>
      <rPr>
        <sz val="12"/>
        <rFont val="Times New Roman"/>
        <family val="1"/>
      </rPr>
      <t>-</t>
    </r>
    <r>
      <rPr>
        <sz val="12"/>
        <rFont val="黑体"/>
        <family val="3"/>
        <charset val="134"/>
      </rPr>
      <t>直流电流测量</t>
    </r>
    <phoneticPr fontId="141" type="noConversion"/>
  </si>
  <si>
    <t>两列、三列</t>
    <phoneticPr fontId="141" type="noConversion"/>
  </si>
  <si>
    <r>
      <rPr>
        <sz val="12"/>
        <rFont val="宋体"/>
        <family val="3"/>
        <charset val="134"/>
      </rPr>
      <t>显示值</t>
    </r>
    <r>
      <rPr>
        <sz val="12"/>
        <rFont val="Times New Roman"/>
        <family val="1"/>
      </rPr>
      <t>(A)</t>
    </r>
    <phoneticPr fontId="141" type="noConversion"/>
  </si>
  <si>
    <r>
      <rPr>
        <sz val="12"/>
        <rFont val="宋体"/>
        <family val="3"/>
        <charset val="134"/>
      </rPr>
      <t>标准值</t>
    </r>
    <r>
      <rPr>
        <sz val="12"/>
        <rFont val="Times New Roman"/>
        <family val="1"/>
      </rPr>
      <t>(A)</t>
    </r>
    <phoneticPr fontId="141" type="noConversion"/>
  </si>
  <si>
    <t>相对误差=（显示值-标准值）/标准值</t>
    <phoneticPr fontId="141" type="noConversion"/>
  </si>
  <si>
    <r>
      <t>I</t>
    </r>
    <r>
      <rPr>
        <i/>
        <vertAlign val="subscript"/>
        <sz val="12"/>
        <rFont val="Times New Roman"/>
        <family val="1"/>
      </rPr>
      <t>0</t>
    </r>
    <phoneticPr fontId="141" type="noConversion"/>
  </si>
  <si>
    <r>
      <rPr>
        <i/>
        <sz val="12"/>
        <rFont val="Times New Roman"/>
        <family val="1"/>
      </rPr>
      <t>I</t>
    </r>
    <r>
      <rPr>
        <vertAlign val="subscript"/>
        <sz val="12"/>
        <rFont val="Times New Roman"/>
        <family val="1"/>
      </rPr>
      <t>2</t>
    </r>
    <phoneticPr fontId="141" type="noConversion"/>
  </si>
  <si>
    <r>
      <t>I</t>
    </r>
    <r>
      <rPr>
        <vertAlign val="subscript"/>
        <sz val="12"/>
        <rFont val="Times New Roman"/>
        <family val="1"/>
      </rPr>
      <t>4</t>
    </r>
    <phoneticPr fontId="141" type="noConversion"/>
  </si>
  <si>
    <t>不确定度算法，参考数表/DEWE3020的直流电压测量，根据显示值读取小数位数确定算法。比如小数点后两位，那么取800V对应的不确定度算法，如果小数点后三位，参考50V对应的不确定度算法。</t>
    <phoneticPr fontId="141" type="noConversion"/>
  </si>
  <si>
    <t>直流电压的显示值小数位数分2位、3位、4位。</t>
    <phoneticPr fontId="141" type="noConversion"/>
  </si>
  <si>
    <r>
      <t>I下标范围为：默认I</t>
    </r>
    <r>
      <rPr>
        <vertAlign val="subscript"/>
        <sz val="12"/>
        <rFont val="宋体"/>
        <family val="3"/>
        <charset val="134"/>
      </rPr>
      <t>1</t>
    </r>
    <r>
      <rPr>
        <sz val="12"/>
        <rFont val="宋体"/>
        <family val="3"/>
        <charset val="134"/>
      </rPr>
      <t xml:space="preserve"> 、</t>
    </r>
    <r>
      <rPr>
        <sz val="12"/>
        <rFont val="宋体"/>
        <family val="3"/>
        <charset val="134"/>
      </rPr>
      <t>I</t>
    </r>
    <r>
      <rPr>
        <vertAlign val="subscript"/>
        <sz val="12"/>
        <rFont val="宋体"/>
        <family val="3"/>
        <charset val="134"/>
      </rPr>
      <t>2</t>
    </r>
    <r>
      <rPr>
        <sz val="12"/>
        <rFont val="宋体"/>
        <family val="3"/>
        <charset val="134"/>
      </rPr>
      <t>或者是</t>
    </r>
    <r>
      <rPr>
        <sz val="12"/>
        <rFont val="宋体"/>
        <family val="3"/>
        <charset val="134"/>
      </rPr>
      <t>I</t>
    </r>
    <r>
      <rPr>
        <vertAlign val="subscript"/>
        <sz val="12"/>
        <rFont val="宋体"/>
        <family val="3"/>
        <charset val="134"/>
      </rPr>
      <t>A</t>
    </r>
    <r>
      <rPr>
        <sz val="12"/>
        <rFont val="宋体"/>
        <family val="3"/>
        <charset val="134"/>
      </rPr>
      <t>、</t>
    </r>
    <r>
      <rPr>
        <sz val="12"/>
        <rFont val="宋体"/>
        <family val="3"/>
        <charset val="134"/>
      </rPr>
      <t>I</t>
    </r>
    <r>
      <rPr>
        <vertAlign val="subscript"/>
        <sz val="12"/>
        <rFont val="宋体"/>
        <family val="3"/>
        <charset val="134"/>
      </rPr>
      <t>B</t>
    </r>
    <r>
      <rPr>
        <sz val="12"/>
        <rFont val="宋体"/>
        <family val="3"/>
        <charset val="134"/>
      </rPr>
      <t>、</t>
    </r>
    <r>
      <rPr>
        <sz val="12"/>
        <rFont val="宋体"/>
        <family val="3"/>
        <charset val="134"/>
      </rPr>
      <t>I</t>
    </r>
    <r>
      <rPr>
        <vertAlign val="subscript"/>
        <sz val="12"/>
        <rFont val="宋体"/>
        <family val="3"/>
        <charset val="134"/>
      </rPr>
      <t>C</t>
    </r>
    <phoneticPr fontId="141" type="noConversion"/>
  </si>
  <si>
    <r>
      <t>范围为：I</t>
    </r>
    <r>
      <rPr>
        <vertAlign val="subscript"/>
        <sz val="12"/>
        <rFont val="宋体"/>
        <family val="3"/>
        <charset val="134"/>
      </rPr>
      <t>0</t>
    </r>
    <r>
      <rPr>
        <sz val="12"/>
        <rFont val="宋体"/>
        <family val="3"/>
        <charset val="134"/>
      </rPr>
      <t>到</t>
    </r>
    <r>
      <rPr>
        <sz val="12"/>
        <rFont val="宋体"/>
        <family val="3"/>
        <charset val="134"/>
      </rPr>
      <t>I</t>
    </r>
    <r>
      <rPr>
        <vertAlign val="subscript"/>
        <sz val="12"/>
        <rFont val="宋体"/>
        <family val="3"/>
        <charset val="134"/>
      </rPr>
      <t>20</t>
    </r>
    <r>
      <rPr>
        <sz val="12"/>
        <rFont val="宋体"/>
        <family val="3"/>
        <charset val="134"/>
      </rPr>
      <t>,CH</t>
    </r>
    <r>
      <rPr>
        <vertAlign val="subscript"/>
        <sz val="12"/>
        <rFont val="宋体"/>
        <family val="3"/>
        <charset val="134"/>
      </rPr>
      <t>0</t>
    </r>
    <r>
      <rPr>
        <sz val="12"/>
        <rFont val="宋体"/>
        <family val="3"/>
        <charset val="134"/>
      </rPr>
      <t>到CH</t>
    </r>
    <r>
      <rPr>
        <vertAlign val="subscript"/>
        <sz val="12"/>
        <rFont val="宋体"/>
        <family val="3"/>
        <charset val="134"/>
      </rPr>
      <t>16</t>
    </r>
    <r>
      <rPr>
        <sz val="12"/>
        <rFont val="宋体"/>
        <family val="3"/>
        <charset val="134"/>
      </rPr>
      <t>，</t>
    </r>
    <r>
      <rPr>
        <sz val="12"/>
        <rFont val="宋体"/>
        <family val="3"/>
        <charset val="134"/>
      </rPr>
      <t>I</t>
    </r>
    <r>
      <rPr>
        <vertAlign val="subscript"/>
        <sz val="12"/>
        <rFont val="宋体"/>
        <family val="3"/>
        <charset val="134"/>
      </rPr>
      <t>A1</t>
    </r>
    <r>
      <rPr>
        <sz val="12"/>
        <rFont val="宋体"/>
        <family val="3"/>
        <charset val="134"/>
      </rPr>
      <t>到</t>
    </r>
    <r>
      <rPr>
        <sz val="12"/>
        <rFont val="宋体"/>
        <family val="3"/>
        <charset val="134"/>
      </rPr>
      <t>I</t>
    </r>
    <r>
      <rPr>
        <vertAlign val="subscript"/>
        <sz val="12"/>
        <rFont val="宋体"/>
        <family val="3"/>
        <charset val="134"/>
      </rPr>
      <t>A6</t>
    </r>
    <r>
      <rPr>
        <sz val="12"/>
        <rFont val="宋体"/>
        <family val="3"/>
        <charset val="134"/>
      </rPr>
      <t>，</t>
    </r>
    <r>
      <rPr>
        <sz val="12"/>
        <rFont val="宋体"/>
        <family val="3"/>
        <charset val="134"/>
      </rPr>
      <t>I</t>
    </r>
    <r>
      <rPr>
        <vertAlign val="subscript"/>
        <sz val="12"/>
        <rFont val="宋体"/>
        <family val="3"/>
        <charset val="134"/>
      </rPr>
      <t>B1</t>
    </r>
    <r>
      <rPr>
        <sz val="12"/>
        <rFont val="宋体"/>
        <family val="3"/>
        <charset val="134"/>
      </rPr>
      <t>到</t>
    </r>
    <r>
      <rPr>
        <sz val="12"/>
        <rFont val="宋体"/>
        <family val="3"/>
        <charset val="134"/>
      </rPr>
      <t>I</t>
    </r>
    <r>
      <rPr>
        <vertAlign val="subscript"/>
        <sz val="12"/>
        <rFont val="宋体"/>
        <family val="3"/>
        <charset val="134"/>
      </rPr>
      <t>B6</t>
    </r>
    <r>
      <rPr>
        <sz val="12"/>
        <rFont val="宋体"/>
        <family val="3"/>
        <charset val="134"/>
      </rPr>
      <t>，</t>
    </r>
    <r>
      <rPr>
        <sz val="12"/>
        <rFont val="宋体"/>
        <family val="3"/>
        <charset val="134"/>
      </rPr>
      <t>I</t>
    </r>
    <r>
      <rPr>
        <vertAlign val="subscript"/>
        <sz val="12"/>
        <rFont val="宋体"/>
        <family val="3"/>
        <charset val="134"/>
      </rPr>
      <t>C1</t>
    </r>
    <r>
      <rPr>
        <sz val="12"/>
        <rFont val="宋体"/>
        <family val="3"/>
        <charset val="134"/>
      </rPr>
      <t>到</t>
    </r>
    <r>
      <rPr>
        <sz val="12"/>
        <rFont val="宋体"/>
        <family val="3"/>
        <charset val="134"/>
      </rPr>
      <t>I</t>
    </r>
    <r>
      <rPr>
        <vertAlign val="subscript"/>
        <sz val="12"/>
        <rFont val="宋体"/>
        <family val="3"/>
        <charset val="134"/>
      </rPr>
      <t>C6</t>
    </r>
    <r>
      <rPr>
        <sz val="12"/>
        <rFont val="宋体"/>
        <family val="3"/>
        <charset val="134"/>
      </rPr>
      <t>，</t>
    </r>
    <r>
      <rPr>
        <sz val="12"/>
        <rFont val="宋体"/>
        <family val="3"/>
        <charset val="134"/>
      </rPr>
      <t>I</t>
    </r>
    <r>
      <rPr>
        <vertAlign val="subscript"/>
        <sz val="12"/>
        <rFont val="宋体"/>
        <family val="3"/>
        <charset val="134"/>
      </rPr>
      <t>01</t>
    </r>
    <r>
      <rPr>
        <sz val="12"/>
        <rFont val="宋体"/>
        <family val="3"/>
        <charset val="134"/>
      </rPr>
      <t>到</t>
    </r>
    <r>
      <rPr>
        <sz val="12"/>
        <rFont val="宋体"/>
        <family val="3"/>
        <charset val="134"/>
      </rPr>
      <t>I</t>
    </r>
    <r>
      <rPr>
        <vertAlign val="subscript"/>
        <sz val="12"/>
        <rFont val="宋体"/>
        <family val="3"/>
        <charset val="134"/>
      </rPr>
      <t>06</t>
    </r>
    <phoneticPr fontId="141" type="noConversion"/>
  </si>
  <si>
    <t>直流不确定度：小数点后三位，单位%</t>
    <phoneticPr fontId="141" type="noConversion"/>
  </si>
  <si>
    <t>校准证书</t>
    <phoneticPr fontId="141" type="noConversion"/>
  </si>
  <si>
    <t>检定证书</t>
    <phoneticPr fontId="141" type="noConversion"/>
  </si>
  <si>
    <r>
      <rPr>
        <sz val="12"/>
        <rFont val="宋体"/>
        <family val="3"/>
        <charset val="134"/>
      </rPr>
      <t>显示值</t>
    </r>
    <r>
      <rPr>
        <sz val="12"/>
        <rFont val="Times New Roman"/>
        <family val="1"/>
      </rPr>
      <t>(A)</t>
    </r>
    <phoneticPr fontId="141" type="noConversion"/>
  </si>
  <si>
    <t>JJG 724-1991 直流数字式欧姆表检定规程</t>
    <phoneticPr fontId="141" type="noConversion"/>
  </si>
  <si>
    <t>直流数字式欧姆表检定项目</t>
    <phoneticPr fontId="141" type="noConversion"/>
  </si>
  <si>
    <t>备注-单相</t>
    <phoneticPr fontId="141" type="noConversion"/>
  </si>
  <si>
    <t>外观检查</t>
    <phoneticPr fontId="141" type="noConversion"/>
  </si>
  <si>
    <t>合格、不合格</t>
    <phoneticPr fontId="141" type="noConversion"/>
  </si>
  <si>
    <t>基本误差</t>
    <phoneticPr fontId="141" type="noConversion"/>
  </si>
  <si>
    <t>数据录入，设计成两套模板，分源、流</t>
    <phoneticPr fontId="141" type="noConversion"/>
  </si>
  <si>
    <t>稳定误差</t>
    <phoneticPr fontId="141" type="noConversion"/>
  </si>
  <si>
    <t>-</t>
    <phoneticPr fontId="141" type="noConversion"/>
  </si>
  <si>
    <t>提供文本框即可</t>
    <phoneticPr fontId="141" type="noConversion"/>
  </si>
  <si>
    <t>线性误差</t>
    <phoneticPr fontId="141" type="noConversion"/>
  </si>
  <si>
    <t>显示能力</t>
    <phoneticPr fontId="141" type="noConversion"/>
  </si>
  <si>
    <t>分辨力</t>
    <phoneticPr fontId="141" type="noConversion"/>
  </si>
  <si>
    <t>1、基本误差</t>
    <phoneticPr fontId="141" type="noConversion"/>
  </si>
  <si>
    <t>表</t>
    <phoneticPr fontId="141" type="noConversion"/>
  </si>
  <si>
    <t>原始记录</t>
    <phoneticPr fontId="141" type="noConversion"/>
  </si>
  <si>
    <t>校准证书</t>
    <phoneticPr fontId="141" type="noConversion"/>
  </si>
  <si>
    <t>检定证书</t>
    <phoneticPr fontId="141" type="noConversion"/>
  </si>
  <si>
    <t>相对误差</t>
    <phoneticPr fontId="141" type="noConversion"/>
  </si>
  <si>
    <r>
      <t xml:space="preserve">测量结果不确定度
</t>
    </r>
    <r>
      <rPr>
        <i/>
        <sz val="11"/>
        <rFont val="宋体"/>
        <family val="3"/>
        <charset val="134"/>
      </rPr>
      <t>U</t>
    </r>
    <r>
      <rPr>
        <sz val="11"/>
        <rFont val="宋体"/>
        <family val="3"/>
        <charset val="134"/>
      </rPr>
      <t xml:space="preserve"> (</t>
    </r>
    <r>
      <rPr>
        <i/>
        <sz val="11"/>
        <rFont val="宋体"/>
        <family val="3"/>
        <charset val="134"/>
      </rPr>
      <t>k</t>
    </r>
    <r>
      <rPr>
        <sz val="11"/>
        <rFont val="宋体"/>
        <family val="3"/>
        <charset val="134"/>
      </rPr>
      <t xml:space="preserve">=2)   </t>
    </r>
    <phoneticPr fontId="141" type="noConversion"/>
  </si>
  <si>
    <t>指标</t>
    <phoneticPr fontId="141" type="noConversion"/>
  </si>
  <si>
    <t>100Ω</t>
    <phoneticPr fontId="141" type="noConversion"/>
  </si>
  <si>
    <t>1kΩ</t>
    <phoneticPr fontId="141" type="noConversion"/>
  </si>
  <si>
    <t>10kΩ</t>
    <phoneticPr fontId="141" type="noConversion"/>
  </si>
  <si>
    <t>100kΩ</t>
    <phoneticPr fontId="141" type="noConversion"/>
  </si>
  <si>
    <t>1MΩ</t>
    <phoneticPr fontId="141" type="noConversion"/>
  </si>
  <si>
    <t>10MΩ</t>
    <phoneticPr fontId="141" type="noConversion"/>
  </si>
  <si>
    <t>源</t>
    <phoneticPr fontId="141" type="noConversion"/>
  </si>
  <si>
    <t>输出示值</t>
    <phoneticPr fontId="141" type="noConversion"/>
  </si>
  <si>
    <t>输出实际值</t>
    <phoneticPr fontId="141" type="noConversion"/>
  </si>
  <si>
    <t>Ω</t>
    <phoneticPr fontId="141" type="noConversion"/>
  </si>
  <si>
    <t>kΩ</t>
    <phoneticPr fontId="141" type="noConversion"/>
  </si>
  <si>
    <t>MΩ</t>
    <phoneticPr fontId="141" type="noConversion"/>
  </si>
  <si>
    <t>问题：</t>
    <phoneticPr fontId="141" type="noConversion"/>
  </si>
  <si>
    <t>表与源能否共用一个模板</t>
    <phoneticPr fontId="141" type="noConversion"/>
  </si>
  <si>
    <t>计算小数点位数，多出的一列是什么意思，两个表怎么做</t>
    <phoneticPr fontId="141" type="noConversion"/>
  </si>
  <si>
    <t>三相多功能标准表或者三相仪置检定项目</t>
    <phoneticPr fontId="141" type="noConversion"/>
  </si>
  <si>
    <t>备注-单相</t>
    <phoneticPr fontId="141" type="noConversion"/>
  </si>
  <si>
    <t>外观及附件的检查</t>
    <phoneticPr fontId="141" type="noConversion"/>
  </si>
  <si>
    <t>合格、不合格</t>
    <phoneticPr fontId="141" type="noConversion"/>
  </si>
  <si>
    <t>工作正常性的检查</t>
    <phoneticPr fontId="141" type="noConversion"/>
  </si>
  <si>
    <t>数据录入</t>
    <phoneticPr fontId="141" type="noConversion"/>
  </si>
  <si>
    <t>原始记录</t>
    <phoneticPr fontId="141" type="noConversion"/>
  </si>
  <si>
    <t>校准证书</t>
    <phoneticPr fontId="141" type="noConversion"/>
  </si>
  <si>
    <t>检定证书</t>
    <phoneticPr fontId="141" type="noConversion"/>
  </si>
  <si>
    <t>量程</t>
    <phoneticPr fontId="141" type="noConversion"/>
  </si>
  <si>
    <t>标准值</t>
    <phoneticPr fontId="141" type="noConversion"/>
  </si>
  <si>
    <t>频率（Hz）</t>
    <phoneticPr fontId="141" type="noConversion"/>
  </si>
  <si>
    <t>显示值</t>
    <phoneticPr fontId="141" type="noConversion"/>
  </si>
  <si>
    <t>相对误差</t>
    <phoneticPr fontId="141" type="noConversion"/>
  </si>
  <si>
    <r>
      <t xml:space="preserve">校准结果的不确定度
</t>
    </r>
    <r>
      <rPr>
        <i/>
        <sz val="11"/>
        <rFont val="宋体"/>
        <family val="3"/>
        <charset val="134"/>
      </rPr>
      <t>U</t>
    </r>
    <r>
      <rPr>
        <sz val="11"/>
        <rFont val="宋体"/>
        <family val="3"/>
        <charset val="134"/>
      </rPr>
      <t xml:space="preserve"> (</t>
    </r>
    <r>
      <rPr>
        <i/>
        <sz val="11"/>
        <rFont val="宋体"/>
        <family val="3"/>
        <charset val="134"/>
      </rPr>
      <t>k</t>
    </r>
    <r>
      <rPr>
        <sz val="11"/>
        <rFont val="宋体"/>
        <family val="3"/>
        <charset val="134"/>
      </rPr>
      <t xml:space="preserve">=2)   </t>
    </r>
    <phoneticPr fontId="141" type="noConversion"/>
  </si>
  <si>
    <t>指标</t>
    <phoneticPr fontId="141" type="noConversion"/>
  </si>
  <si>
    <t>分辨力</t>
    <phoneticPr fontId="141" type="noConversion"/>
  </si>
  <si>
    <t>问题：</t>
    <phoneticPr fontId="141" type="noConversion"/>
  </si>
  <si>
    <t>三相（三列两列单位不一样通道不一样）</t>
    <phoneticPr fontId="141" type="noConversion"/>
  </si>
  <si>
    <t xml:space="preserve">2、 </t>
    <phoneticPr fontId="141" type="noConversion"/>
  </si>
  <si>
    <t>引用误差</t>
    <phoneticPr fontId="141" type="noConversion"/>
  </si>
  <si>
    <t>引用误差=（显示值-标准值）/量程</t>
    <phoneticPr fontId="141" type="noConversion"/>
  </si>
  <si>
    <r>
      <t>I</t>
    </r>
    <r>
      <rPr>
        <vertAlign val="subscript"/>
        <sz val="12"/>
        <rFont val="宋体"/>
        <family val="3"/>
        <charset val="134"/>
      </rPr>
      <t>1</t>
    </r>
    <phoneticPr fontId="141" type="noConversion"/>
  </si>
  <si>
    <r>
      <t>I</t>
    </r>
    <r>
      <rPr>
        <vertAlign val="subscript"/>
        <sz val="12"/>
        <rFont val="宋体"/>
        <family val="3"/>
        <charset val="134"/>
      </rPr>
      <t>2</t>
    </r>
    <r>
      <rPr>
        <sz val="12"/>
        <rFont val="宋体"/>
        <family val="3"/>
        <charset val="134"/>
      </rPr>
      <t/>
    </r>
    <phoneticPr fontId="141" type="noConversion"/>
  </si>
  <si>
    <t>不确定度算法，参考数表/数表-两相相位，根据显示值读取小数位数确定算法。</t>
    <phoneticPr fontId="141" type="noConversion"/>
  </si>
  <si>
    <t>交流电流的显示值小数位数分2位、3位、4位。</t>
    <phoneticPr fontId="141" type="noConversion"/>
  </si>
  <si>
    <r>
      <t>I下标范围为：默认I</t>
    </r>
    <r>
      <rPr>
        <vertAlign val="subscript"/>
        <sz val="12"/>
        <rFont val="宋体"/>
        <family val="3"/>
        <charset val="134"/>
      </rPr>
      <t>1</t>
    </r>
    <r>
      <rPr>
        <sz val="12"/>
        <rFont val="宋体"/>
        <family val="3"/>
        <charset val="134"/>
      </rPr>
      <t xml:space="preserve"> 、</t>
    </r>
    <r>
      <rPr>
        <sz val="12"/>
        <rFont val="宋体"/>
        <family val="3"/>
        <charset val="134"/>
      </rPr>
      <t>I</t>
    </r>
    <r>
      <rPr>
        <vertAlign val="subscript"/>
        <sz val="12"/>
        <rFont val="宋体"/>
        <family val="3"/>
        <charset val="134"/>
      </rPr>
      <t>2</t>
    </r>
    <r>
      <rPr>
        <sz val="12"/>
        <rFont val="宋体"/>
        <family val="3"/>
        <charset val="134"/>
      </rPr>
      <t>或者是</t>
    </r>
    <r>
      <rPr>
        <sz val="12"/>
        <rFont val="宋体"/>
        <family val="3"/>
        <charset val="134"/>
      </rPr>
      <t>I</t>
    </r>
    <r>
      <rPr>
        <vertAlign val="subscript"/>
        <sz val="12"/>
        <rFont val="宋体"/>
        <family val="3"/>
        <charset val="134"/>
      </rPr>
      <t>A</t>
    </r>
    <r>
      <rPr>
        <sz val="12"/>
        <rFont val="宋体"/>
        <family val="3"/>
        <charset val="134"/>
      </rPr>
      <t>、</t>
    </r>
    <r>
      <rPr>
        <sz val="12"/>
        <rFont val="宋体"/>
        <family val="3"/>
        <charset val="134"/>
      </rPr>
      <t>I</t>
    </r>
    <r>
      <rPr>
        <vertAlign val="subscript"/>
        <sz val="12"/>
        <rFont val="宋体"/>
        <family val="3"/>
        <charset val="134"/>
      </rPr>
      <t>B</t>
    </r>
    <r>
      <rPr>
        <sz val="12"/>
        <rFont val="宋体"/>
        <family val="3"/>
        <charset val="134"/>
      </rPr>
      <t>、</t>
    </r>
    <r>
      <rPr>
        <sz val="12"/>
        <rFont val="宋体"/>
        <family val="3"/>
        <charset val="134"/>
      </rPr>
      <t>I</t>
    </r>
    <r>
      <rPr>
        <vertAlign val="subscript"/>
        <sz val="12"/>
        <rFont val="宋体"/>
        <family val="3"/>
        <charset val="134"/>
      </rPr>
      <t>C</t>
    </r>
    <phoneticPr fontId="141" type="noConversion"/>
  </si>
  <si>
    <r>
      <t>范围为：I</t>
    </r>
    <r>
      <rPr>
        <vertAlign val="subscript"/>
        <sz val="12"/>
        <rFont val="宋体"/>
        <family val="3"/>
        <charset val="134"/>
      </rPr>
      <t>0</t>
    </r>
    <r>
      <rPr>
        <sz val="12"/>
        <rFont val="宋体"/>
        <family val="3"/>
        <charset val="134"/>
      </rPr>
      <t>到</t>
    </r>
    <r>
      <rPr>
        <sz val="12"/>
        <rFont val="宋体"/>
        <family val="3"/>
        <charset val="134"/>
      </rPr>
      <t>I</t>
    </r>
    <r>
      <rPr>
        <vertAlign val="subscript"/>
        <sz val="12"/>
        <rFont val="宋体"/>
        <family val="3"/>
        <charset val="134"/>
      </rPr>
      <t>20</t>
    </r>
    <r>
      <rPr>
        <sz val="12"/>
        <rFont val="宋体"/>
        <family val="3"/>
        <charset val="134"/>
      </rPr>
      <t>,CH</t>
    </r>
    <r>
      <rPr>
        <vertAlign val="subscript"/>
        <sz val="12"/>
        <rFont val="宋体"/>
        <family val="3"/>
        <charset val="134"/>
      </rPr>
      <t>0</t>
    </r>
    <r>
      <rPr>
        <sz val="12"/>
        <rFont val="宋体"/>
        <family val="3"/>
        <charset val="134"/>
      </rPr>
      <t>到CH</t>
    </r>
    <r>
      <rPr>
        <vertAlign val="subscript"/>
        <sz val="12"/>
        <rFont val="宋体"/>
        <family val="3"/>
        <charset val="134"/>
      </rPr>
      <t>16</t>
    </r>
    <r>
      <rPr>
        <sz val="12"/>
        <rFont val="宋体"/>
        <family val="3"/>
        <charset val="134"/>
      </rPr>
      <t>，</t>
    </r>
    <r>
      <rPr>
        <sz val="12"/>
        <rFont val="宋体"/>
        <family val="3"/>
        <charset val="134"/>
      </rPr>
      <t>I</t>
    </r>
    <r>
      <rPr>
        <vertAlign val="subscript"/>
        <sz val="12"/>
        <rFont val="宋体"/>
        <family val="3"/>
        <charset val="134"/>
      </rPr>
      <t>A1</t>
    </r>
    <r>
      <rPr>
        <sz val="12"/>
        <rFont val="宋体"/>
        <family val="3"/>
        <charset val="134"/>
      </rPr>
      <t>到</t>
    </r>
    <r>
      <rPr>
        <sz val="12"/>
        <rFont val="宋体"/>
        <family val="3"/>
        <charset val="134"/>
      </rPr>
      <t>I</t>
    </r>
    <r>
      <rPr>
        <vertAlign val="subscript"/>
        <sz val="12"/>
        <rFont val="宋体"/>
        <family val="3"/>
        <charset val="134"/>
      </rPr>
      <t>A6</t>
    </r>
    <r>
      <rPr>
        <sz val="12"/>
        <rFont val="宋体"/>
        <family val="3"/>
        <charset val="134"/>
      </rPr>
      <t>，</t>
    </r>
    <r>
      <rPr>
        <sz val="12"/>
        <rFont val="宋体"/>
        <family val="3"/>
        <charset val="134"/>
      </rPr>
      <t>I</t>
    </r>
    <r>
      <rPr>
        <vertAlign val="subscript"/>
        <sz val="12"/>
        <rFont val="宋体"/>
        <family val="3"/>
        <charset val="134"/>
      </rPr>
      <t>B1</t>
    </r>
    <r>
      <rPr>
        <sz val="12"/>
        <rFont val="宋体"/>
        <family val="3"/>
        <charset val="134"/>
      </rPr>
      <t>到</t>
    </r>
    <r>
      <rPr>
        <sz val="12"/>
        <rFont val="宋体"/>
        <family val="3"/>
        <charset val="134"/>
      </rPr>
      <t>I</t>
    </r>
    <r>
      <rPr>
        <vertAlign val="subscript"/>
        <sz val="12"/>
        <rFont val="宋体"/>
        <family val="3"/>
        <charset val="134"/>
      </rPr>
      <t>B6</t>
    </r>
    <r>
      <rPr>
        <sz val="12"/>
        <rFont val="宋体"/>
        <family val="3"/>
        <charset val="134"/>
      </rPr>
      <t>，</t>
    </r>
    <r>
      <rPr>
        <sz val="12"/>
        <rFont val="宋体"/>
        <family val="3"/>
        <charset val="134"/>
      </rPr>
      <t>I</t>
    </r>
    <r>
      <rPr>
        <vertAlign val="subscript"/>
        <sz val="12"/>
        <rFont val="宋体"/>
        <family val="3"/>
        <charset val="134"/>
      </rPr>
      <t>C1</t>
    </r>
    <r>
      <rPr>
        <sz val="12"/>
        <rFont val="宋体"/>
        <family val="3"/>
        <charset val="134"/>
      </rPr>
      <t>到</t>
    </r>
    <r>
      <rPr>
        <sz val="12"/>
        <rFont val="宋体"/>
        <family val="3"/>
        <charset val="134"/>
      </rPr>
      <t>I</t>
    </r>
    <r>
      <rPr>
        <vertAlign val="subscript"/>
        <sz val="12"/>
        <rFont val="宋体"/>
        <family val="3"/>
        <charset val="134"/>
      </rPr>
      <t>C6</t>
    </r>
    <r>
      <rPr>
        <sz val="12"/>
        <rFont val="宋体"/>
        <family val="3"/>
        <charset val="134"/>
      </rPr>
      <t>，</t>
    </r>
    <r>
      <rPr>
        <sz val="12"/>
        <rFont val="宋体"/>
        <family val="3"/>
        <charset val="134"/>
      </rPr>
      <t>I</t>
    </r>
    <r>
      <rPr>
        <vertAlign val="subscript"/>
        <sz val="12"/>
        <rFont val="宋体"/>
        <family val="3"/>
        <charset val="134"/>
      </rPr>
      <t>01</t>
    </r>
    <r>
      <rPr>
        <sz val="12"/>
        <rFont val="宋体"/>
        <family val="3"/>
        <charset val="134"/>
      </rPr>
      <t>到</t>
    </r>
    <r>
      <rPr>
        <sz val="12"/>
        <rFont val="宋体"/>
        <family val="3"/>
        <charset val="134"/>
      </rPr>
      <t>I</t>
    </r>
    <r>
      <rPr>
        <vertAlign val="subscript"/>
        <sz val="12"/>
        <rFont val="宋体"/>
        <family val="3"/>
        <charset val="134"/>
      </rPr>
      <t>06</t>
    </r>
    <phoneticPr fontId="141" type="noConversion"/>
  </si>
  <si>
    <t>交流不确定度：小数点后三位，单位%</t>
    <phoneticPr fontId="141" type="noConversion"/>
  </si>
  <si>
    <t xml:space="preserve">3、 </t>
    <phoneticPr fontId="141" type="noConversion"/>
  </si>
  <si>
    <r>
      <rPr>
        <i/>
        <sz val="12"/>
        <rFont val="宋体"/>
        <family val="3"/>
        <charset val="134"/>
      </rPr>
      <t>U</t>
    </r>
    <r>
      <rPr>
        <vertAlign val="subscript"/>
        <sz val="12"/>
        <rFont val="宋体"/>
        <family val="3"/>
        <charset val="134"/>
      </rPr>
      <t>rel</t>
    </r>
    <r>
      <rPr>
        <sz val="12"/>
        <rFont val="宋体"/>
        <family val="3"/>
        <charset val="134"/>
      </rPr>
      <t>（</t>
    </r>
    <r>
      <rPr>
        <i/>
        <sz val="12"/>
        <rFont val="宋体"/>
        <family val="3"/>
        <charset val="134"/>
      </rPr>
      <t>k</t>
    </r>
    <r>
      <rPr>
        <sz val="12"/>
        <rFont val="宋体"/>
        <family val="3"/>
        <charset val="134"/>
      </rPr>
      <t xml:space="preserve">=2)  </t>
    </r>
    <phoneticPr fontId="141" type="noConversion"/>
  </si>
  <si>
    <r>
      <t>I</t>
    </r>
    <r>
      <rPr>
        <vertAlign val="subscript"/>
        <sz val="12"/>
        <rFont val="宋体"/>
        <family val="3"/>
        <charset val="134"/>
      </rPr>
      <t>A</t>
    </r>
    <phoneticPr fontId="141" type="noConversion"/>
  </si>
  <si>
    <r>
      <t>I</t>
    </r>
    <r>
      <rPr>
        <vertAlign val="subscript"/>
        <sz val="12"/>
        <rFont val="宋体"/>
        <family val="3"/>
        <charset val="134"/>
      </rPr>
      <t>B</t>
    </r>
    <phoneticPr fontId="141" type="noConversion"/>
  </si>
  <si>
    <r>
      <t>I</t>
    </r>
    <r>
      <rPr>
        <vertAlign val="subscript"/>
        <sz val="12"/>
        <rFont val="宋体"/>
        <family val="3"/>
        <charset val="134"/>
      </rPr>
      <t>C</t>
    </r>
    <phoneticPr fontId="141" type="noConversion"/>
  </si>
  <si>
    <t xml:space="preserve">规程名称：JJG 603-2006 频率表检定规程 </t>
    <phoneticPr fontId="141" type="noConversion"/>
  </si>
  <si>
    <t>备注</t>
    <phoneticPr fontId="141" type="noConversion"/>
  </si>
  <si>
    <t>合格，不合格，/</t>
    <phoneticPr fontId="141" type="noConversion"/>
  </si>
  <si>
    <t>绝缘电阻</t>
    <phoneticPr fontId="141" type="noConversion"/>
  </si>
  <si>
    <t>基本误差</t>
    <phoneticPr fontId="141" type="noConversion"/>
  </si>
  <si>
    <t>原始记录</t>
    <phoneticPr fontId="141" type="noConversion"/>
  </si>
  <si>
    <t>1、频率输出（A相：57.7V）</t>
    <phoneticPr fontId="141" type="noConversion"/>
  </si>
  <si>
    <t>显示值</t>
    <phoneticPr fontId="141" type="noConversion"/>
  </si>
  <si>
    <t>标准值</t>
    <phoneticPr fontId="141" type="noConversion"/>
  </si>
  <si>
    <r>
      <t>校准结果的不确定度</t>
    </r>
    <r>
      <rPr>
        <vertAlign val="subscript"/>
        <sz val="12"/>
        <rFont val="宋体"/>
        <family val="3"/>
        <charset val="134"/>
      </rPr>
      <t xml:space="preserve"> </t>
    </r>
    <r>
      <rPr>
        <sz val="12"/>
        <rFont val="宋体"/>
        <family val="3"/>
        <charset val="134"/>
      </rPr>
      <t xml:space="preserve">（k=2)  </t>
    </r>
    <phoneticPr fontId="141" type="noConversion"/>
  </si>
  <si>
    <t>相对误差=（显示值-标准值）/标准值*100</t>
    <phoneticPr fontId="141" type="noConversion"/>
  </si>
  <si>
    <t>44.999Hz</t>
    <phoneticPr fontId="141" type="noConversion"/>
  </si>
  <si>
    <r>
      <t>小数点后3位，单位</t>
    </r>
    <r>
      <rPr>
        <sz val="12"/>
        <rFont val="宋体"/>
        <family val="3"/>
        <charset val="134"/>
      </rPr>
      <t>%</t>
    </r>
    <phoneticPr fontId="141" type="noConversion"/>
  </si>
  <si>
    <r>
      <t>Urel （k=2) 参考仪置</t>
    </r>
    <r>
      <rPr>
        <sz val="12"/>
        <rFont val="宋体"/>
        <family val="3"/>
        <charset val="134"/>
      </rPr>
      <t>/仪置-三相四</t>
    </r>
    <phoneticPr fontId="141" type="noConversion"/>
  </si>
  <si>
    <t>问题：</t>
    <phoneticPr fontId="141" type="noConversion"/>
  </si>
  <si>
    <t>计算小数位数</t>
    <phoneticPr fontId="141" type="noConversion"/>
  </si>
  <si>
    <t>规程名称：JJG 440-2008 工频单相相位表检定规程</t>
    <phoneticPr fontId="141" type="noConversion"/>
  </si>
  <si>
    <t>三相多功能标准表或者三相仪置检定项目</t>
    <phoneticPr fontId="141" type="noConversion"/>
  </si>
  <si>
    <t>备注三相</t>
    <phoneticPr fontId="141" type="noConversion"/>
  </si>
  <si>
    <t>不测</t>
    <phoneticPr fontId="141" type="noConversion"/>
  </si>
  <si>
    <t>工频耐压</t>
    <phoneticPr fontId="141" type="noConversion"/>
  </si>
  <si>
    <t>基本误差和升降变差</t>
    <phoneticPr fontId="141" type="noConversion"/>
  </si>
  <si>
    <t>工作位置改变影响</t>
    <phoneticPr fontId="141" type="noConversion"/>
  </si>
  <si>
    <t>频率影响</t>
    <phoneticPr fontId="141" type="noConversion"/>
  </si>
  <si>
    <t>端钮极性</t>
    <phoneticPr fontId="141" type="noConversion"/>
  </si>
  <si>
    <t>2、</t>
    <phoneticPr fontId="141" type="noConversion"/>
  </si>
  <si>
    <r>
      <t>相位测量（1</t>
    </r>
    <r>
      <rPr>
        <sz val="12"/>
        <rFont val="宋体"/>
        <family val="3"/>
        <charset val="134"/>
      </rPr>
      <t>00V/5A，</t>
    </r>
    <r>
      <rPr>
        <sz val="12"/>
        <rFont val="宋体"/>
        <family val="3"/>
        <charset val="134"/>
      </rPr>
      <t>50Hz）</t>
    </r>
    <phoneticPr fontId="141" type="noConversion"/>
  </si>
  <si>
    <t>相位</t>
    <phoneticPr fontId="141" type="noConversion"/>
  </si>
  <si>
    <t>绝对误差</t>
    <phoneticPr fontId="141" type="noConversion"/>
  </si>
  <si>
    <r>
      <rPr>
        <i/>
        <sz val="11"/>
        <rFont val="宋体"/>
        <family val="3"/>
        <charset val="134"/>
      </rPr>
      <t>校准结果的不确定度</t>
    </r>
    <r>
      <rPr>
        <vertAlign val="subscript"/>
        <sz val="11"/>
        <rFont val="宋体"/>
        <family val="3"/>
        <charset val="134"/>
      </rPr>
      <t xml:space="preserve">
</t>
    </r>
    <r>
      <rPr>
        <sz val="11"/>
        <rFont val="宋体"/>
        <family val="3"/>
        <charset val="134"/>
      </rPr>
      <t>（k=2）</t>
    </r>
    <phoneticPr fontId="141" type="noConversion"/>
  </si>
  <si>
    <t>参考数表/数表两相和仪置/仪置三相三、三相四</t>
    <phoneticPr fontId="141" type="noConversion"/>
  </si>
  <si>
    <r>
      <t>U</t>
    </r>
    <r>
      <rPr>
        <vertAlign val="subscript"/>
        <sz val="12"/>
        <rFont val="宋体"/>
        <family val="3"/>
        <charset val="134"/>
      </rPr>
      <t>1</t>
    </r>
    <r>
      <rPr>
        <sz val="12"/>
        <rFont val="宋体"/>
        <family val="3"/>
        <charset val="134"/>
      </rPr>
      <t>-</t>
    </r>
    <r>
      <rPr>
        <i/>
        <sz val="12"/>
        <rFont val="宋体"/>
        <family val="3"/>
        <charset val="134"/>
      </rPr>
      <t>I</t>
    </r>
    <r>
      <rPr>
        <vertAlign val="subscript"/>
        <sz val="12"/>
        <rFont val="宋体"/>
        <family val="3"/>
        <charset val="134"/>
      </rPr>
      <t>2</t>
    </r>
    <phoneticPr fontId="141" type="noConversion"/>
  </si>
  <si>
    <t>Urel（k=2）算法参考上述表格、下标根据列数默认即可</t>
    <phoneticPr fontId="141" type="noConversion"/>
  </si>
  <si>
    <r>
      <t>绝对误差=显示值</t>
    </r>
    <r>
      <rPr>
        <sz val="12"/>
        <rFont val="宋体"/>
        <family val="3"/>
        <charset val="134"/>
      </rPr>
      <t>-标准值</t>
    </r>
    <phoneticPr fontId="141" type="noConversion"/>
  </si>
  <si>
    <t>问题：</t>
    <phoneticPr fontId="141" type="noConversion"/>
  </si>
  <si>
    <t>显示值的列数有一列、两列、三列。</t>
    <phoneticPr fontId="141" type="noConversion"/>
  </si>
  <si>
    <t>计算小数位数</t>
    <phoneticPr fontId="141" type="noConversion"/>
  </si>
  <si>
    <r>
      <t>规程名称：JJG 410</t>
    </r>
    <r>
      <rPr>
        <sz val="12"/>
        <rFont val="宋体"/>
        <family val="3"/>
        <charset val="134"/>
      </rPr>
      <t>-</t>
    </r>
    <r>
      <rPr>
        <sz val="12"/>
        <rFont val="宋体"/>
        <family val="3"/>
        <charset val="134"/>
      </rPr>
      <t>94</t>
    </r>
    <r>
      <rPr>
        <sz val="12"/>
        <rFont val="宋体"/>
        <family val="3"/>
        <charset val="134"/>
      </rPr>
      <t xml:space="preserve"> 精密交流电压校准源检定规程</t>
    </r>
    <phoneticPr fontId="141" type="noConversion"/>
  </si>
  <si>
    <t>检定项目</t>
    <phoneticPr fontId="141" type="noConversion"/>
  </si>
  <si>
    <t>备注三相</t>
    <phoneticPr fontId="141" type="noConversion"/>
  </si>
  <si>
    <t>外观检查</t>
    <phoneticPr fontId="141" type="noConversion"/>
  </si>
  <si>
    <t>不测</t>
    <phoneticPr fontId="141" type="noConversion"/>
  </si>
  <si>
    <t>伏特量程电压准确度</t>
    <phoneticPr fontId="141" type="noConversion"/>
  </si>
  <si>
    <t>毫伏量程电压准确度</t>
    <phoneticPr fontId="141" type="noConversion"/>
  </si>
  <si>
    <t>-</t>
    <phoneticPr fontId="141" type="noConversion"/>
  </si>
  <si>
    <t>频率准确度</t>
    <phoneticPr fontId="141" type="noConversion"/>
  </si>
  <si>
    <t>波形失真</t>
    <phoneticPr fontId="141" type="noConversion"/>
  </si>
  <si>
    <t>电压误差</t>
    <phoneticPr fontId="141" type="noConversion"/>
  </si>
  <si>
    <t>数据录入</t>
    <phoneticPr fontId="141" type="noConversion"/>
  </si>
  <si>
    <t>电压短期稳定度</t>
    <phoneticPr fontId="141" type="noConversion"/>
  </si>
  <si>
    <t>校准证书</t>
    <phoneticPr fontId="141" type="noConversion"/>
  </si>
  <si>
    <t>检定证书</t>
    <phoneticPr fontId="141" type="noConversion"/>
  </si>
  <si>
    <t>原始记录</t>
    <phoneticPr fontId="141" type="noConversion"/>
  </si>
  <si>
    <t>引用误差=（显示值-标准值）/量程</t>
    <phoneticPr fontId="141" type="noConversion"/>
  </si>
  <si>
    <t>不确定度算法，根据列数参考仪置/仪置三相三、仪置三相四</t>
    <phoneticPr fontId="141" type="noConversion"/>
  </si>
  <si>
    <r>
      <rPr>
        <i/>
        <sz val="12"/>
        <rFont val="宋体"/>
        <family val="3"/>
        <charset val="134"/>
      </rPr>
      <t>校准结果的不确定度</t>
    </r>
    <r>
      <rPr>
        <sz val="12"/>
        <rFont val="宋体"/>
        <family val="3"/>
        <charset val="134"/>
      </rPr>
      <t>（</t>
    </r>
    <r>
      <rPr>
        <i/>
        <sz val="12"/>
        <rFont val="宋体"/>
        <family val="3"/>
        <charset val="134"/>
      </rPr>
      <t>k</t>
    </r>
    <r>
      <rPr>
        <sz val="12"/>
        <rFont val="宋体"/>
        <family val="3"/>
        <charset val="134"/>
      </rPr>
      <t xml:space="preserve">=2)  </t>
    </r>
    <phoneticPr fontId="141" type="noConversion"/>
  </si>
  <si>
    <t>交流电压的显示值小数位数分2位、3位、4位。</t>
    <phoneticPr fontId="141" type="noConversion"/>
  </si>
  <si>
    <r>
      <t>U</t>
    </r>
    <r>
      <rPr>
        <vertAlign val="subscript"/>
        <sz val="12"/>
        <rFont val="宋体"/>
        <family val="3"/>
        <charset val="134"/>
      </rPr>
      <t>A</t>
    </r>
    <phoneticPr fontId="141" type="noConversion"/>
  </si>
  <si>
    <r>
      <t>U</t>
    </r>
    <r>
      <rPr>
        <vertAlign val="subscript"/>
        <sz val="12"/>
        <rFont val="宋体"/>
        <family val="3"/>
        <charset val="134"/>
      </rPr>
      <t>B</t>
    </r>
    <phoneticPr fontId="141" type="noConversion"/>
  </si>
  <si>
    <r>
      <t>U</t>
    </r>
    <r>
      <rPr>
        <vertAlign val="subscript"/>
        <sz val="12"/>
        <rFont val="宋体"/>
        <family val="3"/>
        <charset val="134"/>
      </rPr>
      <t>C</t>
    </r>
    <phoneticPr fontId="141" type="noConversion"/>
  </si>
  <si>
    <t>交流不确定度：小数点后三位，单位%</t>
    <phoneticPr fontId="141" type="noConversion"/>
  </si>
  <si>
    <t>注：显示值、标准值的单位与量程单位一致。</t>
    <phoneticPr fontId="141" type="noConversion"/>
  </si>
  <si>
    <t>1、</t>
    <phoneticPr fontId="141" type="noConversion"/>
  </si>
  <si>
    <t>量程</t>
    <phoneticPr fontId="141" type="noConversion"/>
  </si>
  <si>
    <t>显示值</t>
    <phoneticPr fontId="141" type="noConversion"/>
  </si>
  <si>
    <t>标准值</t>
    <phoneticPr fontId="141" type="noConversion"/>
  </si>
  <si>
    <t>引用误差</t>
    <phoneticPr fontId="141" type="noConversion"/>
  </si>
  <si>
    <r>
      <rPr>
        <i/>
        <sz val="12"/>
        <rFont val="宋体"/>
        <family val="3"/>
        <charset val="134"/>
      </rPr>
      <t>U</t>
    </r>
    <r>
      <rPr>
        <vertAlign val="subscript"/>
        <sz val="12"/>
        <rFont val="宋体"/>
        <family val="3"/>
        <charset val="134"/>
      </rPr>
      <t>rel</t>
    </r>
    <r>
      <rPr>
        <sz val="12"/>
        <rFont val="宋体"/>
        <family val="3"/>
        <charset val="134"/>
      </rPr>
      <t>（</t>
    </r>
    <r>
      <rPr>
        <i/>
        <sz val="12"/>
        <rFont val="宋体"/>
        <family val="3"/>
        <charset val="134"/>
      </rPr>
      <t>k</t>
    </r>
    <r>
      <rPr>
        <sz val="12"/>
        <rFont val="宋体"/>
        <family val="3"/>
        <charset val="134"/>
      </rPr>
      <t xml:space="preserve">=2)  </t>
    </r>
    <phoneticPr fontId="141" type="noConversion"/>
  </si>
  <si>
    <r>
      <t>U</t>
    </r>
    <r>
      <rPr>
        <vertAlign val="subscript"/>
        <sz val="12"/>
        <rFont val="宋体"/>
        <family val="3"/>
        <charset val="134"/>
      </rPr>
      <t>CB</t>
    </r>
    <phoneticPr fontId="141" type="noConversion"/>
  </si>
  <si>
    <r>
      <rPr>
        <sz val="12"/>
        <rFont val="宋体"/>
        <family val="3"/>
        <charset val="134"/>
      </rPr>
      <t>U</t>
    </r>
    <r>
      <rPr>
        <vertAlign val="subscript"/>
        <sz val="12"/>
        <rFont val="宋体"/>
        <family val="3"/>
        <charset val="134"/>
      </rPr>
      <t>AB</t>
    </r>
    <phoneticPr fontId="141" type="noConversion"/>
  </si>
  <si>
    <t>注：显示值与标准值的单位与量程单位一致。</t>
    <phoneticPr fontId="141" type="noConversion"/>
  </si>
  <si>
    <t>问题：</t>
    <phoneticPr fontId="141" type="noConversion"/>
  </si>
  <si>
    <t>表头统一，计算小数位数</t>
    <phoneticPr fontId="141" type="noConversion"/>
  </si>
  <si>
    <t>规程名称：JJG 780-92 交流数字功率表检定规程</t>
    <phoneticPr fontId="141" type="noConversion"/>
  </si>
  <si>
    <t>检定项目</t>
    <phoneticPr fontId="141" type="noConversion"/>
  </si>
  <si>
    <t>备注-三相</t>
    <phoneticPr fontId="141" type="noConversion"/>
  </si>
  <si>
    <t>外观检查</t>
    <phoneticPr fontId="141" type="noConversion"/>
  </si>
  <si>
    <t>不测</t>
    <phoneticPr fontId="141" type="noConversion"/>
  </si>
  <si>
    <t>绝缘电阻</t>
    <phoneticPr fontId="141" type="noConversion"/>
  </si>
  <si>
    <t>-</t>
    <phoneticPr fontId="141" type="noConversion"/>
  </si>
  <si>
    <t>分三相四线、三相三线</t>
    <phoneticPr fontId="141" type="noConversion"/>
  </si>
  <si>
    <t>年稳定度和附加误差</t>
    <phoneticPr fontId="141" type="noConversion"/>
  </si>
  <si>
    <t>原始记录</t>
    <phoneticPr fontId="141" type="noConversion"/>
  </si>
  <si>
    <t>5、</t>
    <phoneticPr fontId="141" type="noConversion"/>
  </si>
  <si>
    <t>校准证书</t>
    <phoneticPr fontId="141" type="noConversion"/>
  </si>
  <si>
    <t>检定证书</t>
    <phoneticPr fontId="141" type="noConversion"/>
  </si>
  <si>
    <t xml:space="preserve">三相四线有功功率输出 </t>
    <phoneticPr fontId="141" type="noConversion"/>
  </si>
  <si>
    <t>额定  条件</t>
    <phoneticPr fontId="141" type="noConversion"/>
  </si>
  <si>
    <t>功率因数</t>
    <phoneticPr fontId="141" type="noConversion"/>
  </si>
  <si>
    <t>显示值(W)</t>
    <phoneticPr fontId="141" type="noConversion"/>
  </si>
  <si>
    <t>标准值(W)</t>
    <phoneticPr fontId="141" type="noConversion"/>
  </si>
  <si>
    <t>引用误差</t>
    <phoneticPr fontId="141" type="noConversion"/>
  </si>
  <si>
    <r>
      <t xml:space="preserve">  </t>
    </r>
    <r>
      <rPr>
        <i/>
        <sz val="12"/>
        <rFont val="宋体"/>
        <family val="3"/>
        <charset val="134"/>
      </rPr>
      <t>校准结果的不确定度</t>
    </r>
    <r>
      <rPr>
        <sz val="12"/>
        <rFont val="宋体"/>
        <family val="3"/>
        <charset val="134"/>
      </rPr>
      <t xml:space="preserve">（k=2)  </t>
    </r>
    <phoneticPr fontId="141" type="noConversion"/>
  </si>
  <si>
    <t>额定  条件</t>
    <phoneticPr fontId="141" type="noConversion"/>
  </si>
  <si>
    <t>标准值(W)</t>
    <phoneticPr fontId="141" type="noConversion"/>
  </si>
  <si>
    <t xml:space="preserve">  Urel （k=2)参考仪置三相四。算法统一。小数点后3位，单位%</t>
    <phoneticPr fontId="141" type="noConversion"/>
  </si>
  <si>
    <t>/5A</t>
    <phoneticPr fontId="141" type="noConversion"/>
  </si>
  <si>
    <t>0.5L</t>
    <phoneticPr fontId="141" type="noConversion"/>
  </si>
  <si>
    <t>0.5C</t>
    <phoneticPr fontId="141" type="noConversion"/>
  </si>
  <si>
    <t>0.5C</t>
    <phoneticPr fontId="141" type="noConversion"/>
  </si>
  <si>
    <t>(2)三相三线有功功率输出</t>
    <phoneticPr fontId="141" type="noConversion"/>
  </si>
  <si>
    <t>功率因数</t>
    <phoneticPr fontId="141" type="noConversion"/>
  </si>
  <si>
    <t>显示值(W)</t>
    <phoneticPr fontId="141" type="noConversion"/>
  </si>
  <si>
    <t>引用误差</t>
    <phoneticPr fontId="141" type="noConversion"/>
  </si>
  <si>
    <r>
      <t xml:space="preserve">  </t>
    </r>
    <r>
      <rPr>
        <i/>
        <sz val="12"/>
        <rFont val="宋体"/>
        <family val="3"/>
        <charset val="134"/>
      </rPr>
      <t>校准结果的不确定度</t>
    </r>
    <r>
      <rPr>
        <sz val="12"/>
        <rFont val="宋体"/>
        <family val="3"/>
        <charset val="134"/>
      </rPr>
      <t xml:space="preserve">（k=2)  </t>
    </r>
    <phoneticPr fontId="141" type="noConversion"/>
  </si>
  <si>
    <t>/5A</t>
    <phoneticPr fontId="141" type="noConversion"/>
  </si>
  <si>
    <t>0.5L</t>
    <phoneticPr fontId="141" type="noConversion"/>
  </si>
  <si>
    <t>计算小数位，是否合并表头</t>
    <phoneticPr fontId="141" type="noConversion"/>
  </si>
  <si>
    <t>规程名称：国家电网公司交流采样测量装置校验规范</t>
    <phoneticPr fontId="141" type="noConversion"/>
  </si>
  <si>
    <t>交流采样装置检定项目</t>
    <phoneticPr fontId="141" type="noConversion"/>
  </si>
  <si>
    <t>备注</t>
    <phoneticPr fontId="141" type="noConversion"/>
  </si>
  <si>
    <t>合格，不合格，/</t>
    <phoneticPr fontId="141" type="noConversion"/>
  </si>
  <si>
    <t>电压</t>
    <phoneticPr fontId="141" type="noConversion"/>
  </si>
  <si>
    <t>数据录入</t>
    <phoneticPr fontId="141" type="noConversion"/>
  </si>
  <si>
    <t>电流</t>
    <phoneticPr fontId="141" type="noConversion"/>
  </si>
  <si>
    <t>有功功率</t>
    <phoneticPr fontId="141" type="noConversion"/>
  </si>
  <si>
    <t>无功功率</t>
    <phoneticPr fontId="141" type="noConversion"/>
  </si>
  <si>
    <t>频率</t>
    <phoneticPr fontId="141" type="noConversion"/>
  </si>
  <si>
    <t>显示能力</t>
    <phoneticPr fontId="141" type="noConversion"/>
  </si>
  <si>
    <t>合格，不合格，/</t>
    <phoneticPr fontId="141" type="noConversion"/>
  </si>
  <si>
    <t>-</t>
    <phoneticPr fontId="141" type="noConversion"/>
  </si>
  <si>
    <t>温度系数</t>
    <phoneticPr fontId="141" type="noConversion"/>
  </si>
  <si>
    <t>电源电压变化的影响</t>
    <phoneticPr fontId="141" type="noConversion"/>
  </si>
  <si>
    <t>基本误差</t>
    <phoneticPr fontId="141" type="noConversion"/>
  </si>
  <si>
    <t>原始记录</t>
    <phoneticPr fontId="141" type="noConversion"/>
  </si>
  <si>
    <t>）</t>
    <phoneticPr fontId="141" type="noConversion"/>
  </si>
  <si>
    <t>测量点</t>
    <phoneticPr fontId="141" type="noConversion"/>
  </si>
  <si>
    <t>标准值(V)</t>
    <phoneticPr fontId="141" type="noConversion"/>
  </si>
  <si>
    <t>显示值(V)</t>
    <phoneticPr fontId="141" type="noConversion"/>
  </si>
  <si>
    <t>校准结果的不确定度（k=2)</t>
    <phoneticPr fontId="141" type="noConversion"/>
  </si>
  <si>
    <t xml:space="preserve">  </t>
    <phoneticPr fontId="141" type="noConversion"/>
  </si>
  <si>
    <t>同数表三相四的电压测量，
根据显示值小数位数进行计算，
小数点后三位</t>
    <phoneticPr fontId="141" type="noConversion"/>
  </si>
  <si>
    <t>同电压</t>
    <phoneticPr fontId="141" type="noConversion"/>
  </si>
  <si>
    <r>
      <rPr>
        <i/>
        <sz val="12"/>
        <rFont val="宋体"/>
        <family val="3"/>
        <charset val="134"/>
      </rPr>
      <t>U</t>
    </r>
    <r>
      <rPr>
        <vertAlign val="subscript"/>
        <sz val="12"/>
        <rFont val="宋体"/>
        <family val="3"/>
        <charset val="134"/>
      </rPr>
      <t>rel</t>
    </r>
    <r>
      <rPr>
        <sz val="12"/>
        <rFont val="宋体"/>
        <family val="3"/>
        <charset val="134"/>
      </rPr>
      <t>（</t>
    </r>
    <r>
      <rPr>
        <i/>
        <sz val="12"/>
        <rFont val="宋体"/>
        <family val="3"/>
        <charset val="134"/>
      </rPr>
      <t>k</t>
    </r>
    <r>
      <rPr>
        <sz val="12"/>
        <rFont val="宋体"/>
        <family val="3"/>
        <charset val="134"/>
      </rPr>
      <t xml:space="preserve">=2)  </t>
    </r>
    <phoneticPr fontId="141" type="noConversion"/>
  </si>
  <si>
    <t>同数表三相四</t>
    <phoneticPr fontId="141" type="noConversion"/>
  </si>
  <si>
    <t>同数表三相四</t>
    <phoneticPr fontId="141" type="noConversion"/>
  </si>
  <si>
    <t>校准结果的不确定度（k=2)</t>
    <phoneticPr fontId="141" type="noConversion"/>
  </si>
  <si>
    <t xml:space="preserve">  </t>
    <phoneticPr fontId="141" type="noConversion"/>
  </si>
  <si>
    <t>无功同有功</t>
    <phoneticPr fontId="141" type="noConversion"/>
  </si>
  <si>
    <t>无功同有功</t>
    <phoneticPr fontId="141" type="noConversion"/>
  </si>
  <si>
    <t>五、</t>
    <phoneticPr fontId="141" type="noConversion"/>
  </si>
  <si>
    <t>(</t>
    <phoneticPr fontId="141" type="noConversion"/>
  </si>
  <si>
    <t>U</t>
    <phoneticPr fontId="141" type="noConversion"/>
  </si>
  <si>
    <t>n</t>
    <phoneticPr fontId="141" type="noConversion"/>
  </si>
  <si>
    <t>=</t>
    <phoneticPr fontId="141" type="noConversion"/>
  </si>
  <si>
    <t>,</t>
    <phoneticPr fontId="141" type="noConversion"/>
  </si>
  <si>
    <t>等级：</t>
    <phoneticPr fontId="141" type="noConversion"/>
  </si>
  <si>
    <t>级</t>
    <phoneticPr fontId="141" type="noConversion"/>
  </si>
  <si>
    <t>)</t>
    <phoneticPr fontId="141" type="noConversion"/>
  </si>
  <si>
    <t>五、</t>
    <phoneticPr fontId="141" type="noConversion"/>
  </si>
  <si>
    <t>频率</t>
    <phoneticPr fontId="141" type="noConversion"/>
  </si>
  <si>
    <t>(</t>
    <phoneticPr fontId="141" type="noConversion"/>
  </si>
  <si>
    <t>U</t>
    <phoneticPr fontId="141" type="noConversion"/>
  </si>
  <si>
    <t>n</t>
    <phoneticPr fontId="141" type="noConversion"/>
  </si>
  <si>
    <t>=</t>
    <phoneticPr fontId="141" type="noConversion"/>
  </si>
  <si>
    <t>,</t>
    <phoneticPr fontId="141" type="noConversion"/>
  </si>
  <si>
    <t>等级：</t>
    <phoneticPr fontId="141" type="noConversion"/>
  </si>
  <si>
    <t>级</t>
    <phoneticPr fontId="141" type="noConversion"/>
  </si>
  <si>
    <t>)</t>
    <phoneticPr fontId="141" type="noConversion"/>
  </si>
  <si>
    <t>五、</t>
    <phoneticPr fontId="141" type="noConversion"/>
  </si>
  <si>
    <t>频率</t>
    <phoneticPr fontId="141" type="noConversion"/>
  </si>
  <si>
    <t>(</t>
    <phoneticPr fontId="141" type="noConversion"/>
  </si>
  <si>
    <t>U</t>
    <phoneticPr fontId="141" type="noConversion"/>
  </si>
  <si>
    <t>n</t>
    <phoneticPr fontId="141" type="noConversion"/>
  </si>
  <si>
    <t>=</t>
    <phoneticPr fontId="141" type="noConversion"/>
  </si>
  <si>
    <t>,</t>
    <phoneticPr fontId="141" type="noConversion"/>
  </si>
  <si>
    <t>等级：</t>
    <phoneticPr fontId="141" type="noConversion"/>
  </si>
  <si>
    <t>级</t>
    <phoneticPr fontId="141" type="noConversion"/>
  </si>
  <si>
    <t>)</t>
    <phoneticPr fontId="141" type="noConversion"/>
  </si>
  <si>
    <t>测量点</t>
    <phoneticPr fontId="141" type="noConversion"/>
  </si>
  <si>
    <t>标准值(Hz)</t>
    <phoneticPr fontId="141" type="noConversion"/>
  </si>
  <si>
    <t>显示值(Hz)</t>
    <phoneticPr fontId="141" type="noConversion"/>
  </si>
  <si>
    <t>校准结果的不确定度（k=2)</t>
    <phoneticPr fontId="141" type="noConversion"/>
  </si>
  <si>
    <t>测量点</t>
    <phoneticPr fontId="141" type="noConversion"/>
  </si>
  <si>
    <t>显示值(Hz)</t>
    <phoneticPr fontId="141" type="noConversion"/>
  </si>
  <si>
    <t>校准结果的不确定度（k=2)</t>
    <phoneticPr fontId="141" type="noConversion"/>
  </si>
  <si>
    <t>测量点</t>
    <phoneticPr fontId="141" type="noConversion"/>
  </si>
  <si>
    <t>标准值(Hz)</t>
    <phoneticPr fontId="141" type="noConversion"/>
  </si>
  <si>
    <t>同数表三相四的频率不确定度</t>
    <phoneticPr fontId="141" type="noConversion"/>
  </si>
  <si>
    <t>六、</t>
    <phoneticPr fontId="141" type="noConversion"/>
  </si>
  <si>
    <t>功率因数</t>
    <phoneticPr fontId="141" type="noConversion"/>
  </si>
  <si>
    <t>(</t>
    <phoneticPr fontId="141" type="noConversion"/>
  </si>
  <si>
    <t>U</t>
    <phoneticPr fontId="141" type="noConversion"/>
  </si>
  <si>
    <t>n</t>
    <phoneticPr fontId="141" type="noConversion"/>
  </si>
  <si>
    <t>=</t>
    <phoneticPr fontId="141" type="noConversion"/>
  </si>
  <si>
    <t>,</t>
    <phoneticPr fontId="141" type="noConversion"/>
  </si>
  <si>
    <t>I</t>
    <phoneticPr fontId="141" type="noConversion"/>
  </si>
  <si>
    <t>等级：</t>
    <phoneticPr fontId="141" type="noConversion"/>
  </si>
  <si>
    <t>级</t>
    <phoneticPr fontId="141" type="noConversion"/>
  </si>
  <si>
    <t>)</t>
    <phoneticPr fontId="141" type="noConversion"/>
  </si>
  <si>
    <t>测量点</t>
    <phoneticPr fontId="141" type="noConversion"/>
  </si>
  <si>
    <t>校准结果的不确定度（k=2)</t>
    <phoneticPr fontId="141" type="noConversion"/>
  </si>
  <si>
    <t>L</t>
    <phoneticPr fontId="141" type="noConversion"/>
  </si>
  <si>
    <t>同数表三相四的相位</t>
    <phoneticPr fontId="141" type="noConversion"/>
  </si>
  <si>
    <t>C</t>
    <phoneticPr fontId="141" type="noConversion"/>
  </si>
  <si>
    <t>#1燃机零序电压</t>
    <phoneticPr fontId="141" type="noConversion"/>
  </si>
  <si>
    <t>一、</t>
    <phoneticPr fontId="141" type="noConversion"/>
  </si>
  <si>
    <t>电压</t>
    <phoneticPr fontId="141" type="noConversion"/>
  </si>
  <si>
    <t>级</t>
    <phoneticPr fontId="141" type="noConversion"/>
  </si>
  <si>
    <t>)</t>
    <phoneticPr fontId="141" type="noConversion"/>
  </si>
  <si>
    <t>测量点</t>
    <phoneticPr fontId="141" type="noConversion"/>
  </si>
  <si>
    <t>标准值(V)</t>
    <phoneticPr fontId="141" type="noConversion"/>
  </si>
  <si>
    <t>显示值(V)</t>
    <phoneticPr fontId="141" type="noConversion"/>
  </si>
  <si>
    <r>
      <t>引用误差(</t>
    </r>
    <r>
      <rPr>
        <sz val="11"/>
        <rFont val="宋体"/>
        <family val="3"/>
        <charset val="134"/>
      </rPr>
      <t>%)</t>
    </r>
    <phoneticPr fontId="141" type="noConversion"/>
  </si>
  <si>
    <t>A相</t>
    <phoneticPr fontId="141" type="noConversion"/>
  </si>
  <si>
    <t>B相</t>
    <phoneticPr fontId="141" type="noConversion"/>
  </si>
  <si>
    <t>C相</t>
    <phoneticPr fontId="141" type="noConversion"/>
  </si>
  <si>
    <t>小数点位数？</t>
    <phoneticPr fontId="141" type="noConversion"/>
  </si>
  <si>
    <t>JJG 1052-2009 回路电阻测试仪、直阻仪检定</t>
    <phoneticPr fontId="141" type="noConversion"/>
  </si>
  <si>
    <t>检定、校准（检定证书、不确定度需要提供）</t>
    <phoneticPr fontId="141" type="noConversion"/>
  </si>
  <si>
    <t>直阻仪检定项目</t>
    <phoneticPr fontId="141" type="noConversion"/>
  </si>
  <si>
    <t>备注</t>
    <phoneticPr fontId="141" type="noConversion"/>
  </si>
  <si>
    <t>外观检查</t>
    <phoneticPr fontId="141" type="noConversion"/>
  </si>
  <si>
    <t>合格、不合格、/</t>
    <phoneticPr fontId="141" type="noConversion"/>
  </si>
  <si>
    <t>电阻示值误差</t>
    <phoneticPr fontId="141" type="noConversion"/>
  </si>
  <si>
    <t>数据录入</t>
    <phoneticPr fontId="141" type="noConversion"/>
  </si>
  <si>
    <t>线性误差</t>
    <phoneticPr fontId="141" type="noConversion"/>
  </si>
  <si>
    <t> 稳定性误差</t>
    <phoneticPr fontId="141" type="noConversion"/>
  </si>
  <si>
    <t>分辨力</t>
    <phoneticPr fontId="141" type="noConversion"/>
  </si>
  <si>
    <t>工作电流示值误差</t>
    <phoneticPr fontId="141" type="noConversion"/>
  </si>
  <si>
    <t>工作电流过冲的测量</t>
    <phoneticPr fontId="141" type="noConversion"/>
  </si>
  <si>
    <t>感性负载测量能力</t>
    <phoneticPr fontId="141" type="noConversion"/>
  </si>
  <si>
    <t>额定工作电流维持时间</t>
    <phoneticPr fontId="141" type="noConversion"/>
  </si>
  <si>
    <t>绝缘电阻</t>
    <phoneticPr fontId="141" type="noConversion"/>
  </si>
  <si>
    <t>泄漏电流</t>
    <phoneticPr fontId="141" type="noConversion"/>
  </si>
  <si>
    <t>介电强度</t>
    <phoneticPr fontId="141" type="noConversion"/>
  </si>
  <si>
    <t>消弧功能</t>
    <phoneticPr fontId="141" type="noConversion"/>
  </si>
  <si>
    <t>检定证书证书</t>
    <phoneticPr fontId="141" type="noConversion"/>
  </si>
  <si>
    <t>没有给出检定证书模板。估计检定证书没有不确定度，其他同理</t>
    <phoneticPr fontId="141" type="noConversion"/>
  </si>
  <si>
    <t>数据录入项目</t>
    <phoneticPr fontId="141" type="noConversion"/>
  </si>
  <si>
    <t>二、电阻示值误差</t>
    <phoneticPr fontId="141" type="noConversion"/>
  </si>
  <si>
    <t>直阻仪/回路,表头相同，只是不确定算法不同</t>
    <phoneticPr fontId="141" type="noConversion"/>
  </si>
  <si>
    <t>校准证书</t>
    <phoneticPr fontId="141" type="noConversion"/>
  </si>
  <si>
    <t>测量范围</t>
    <phoneticPr fontId="141" type="noConversion"/>
  </si>
  <si>
    <t>工作电流</t>
    <phoneticPr fontId="141" type="noConversion"/>
  </si>
  <si>
    <t>标准值</t>
    <phoneticPr fontId="141" type="noConversion"/>
  </si>
  <si>
    <t>显示值</t>
    <phoneticPr fontId="141" type="noConversion"/>
  </si>
  <si>
    <t>误差（%）</t>
    <phoneticPr fontId="141" type="noConversion"/>
  </si>
  <si>
    <t>允许限值（%）</t>
    <phoneticPr fontId="141" type="noConversion"/>
  </si>
  <si>
    <r>
      <t>校准不确定度（</t>
    </r>
    <r>
      <rPr>
        <i/>
        <sz val="12"/>
        <rFont val="宋体"/>
        <family val="3"/>
        <charset val="134"/>
      </rPr>
      <t>k</t>
    </r>
    <r>
      <rPr>
        <sz val="12"/>
        <rFont val="宋体"/>
        <family val="3"/>
        <charset val="134"/>
      </rPr>
      <t>=2）</t>
    </r>
    <phoneticPr fontId="141" type="noConversion"/>
  </si>
  <si>
    <t>参考直阻仪电阻</t>
    <phoneticPr fontId="141" type="noConversion"/>
  </si>
  <si>
    <t>测量范围</t>
    <phoneticPr fontId="141" type="noConversion"/>
  </si>
  <si>
    <t>工作电流</t>
    <phoneticPr fontId="141" type="noConversion"/>
  </si>
  <si>
    <t>误差（%）</t>
    <phoneticPr fontId="141" type="noConversion"/>
  </si>
  <si>
    <t>允许限值（%）</t>
    <phoneticPr fontId="141" type="noConversion"/>
  </si>
  <si>
    <t>~</t>
    <phoneticPr fontId="141" type="noConversion"/>
  </si>
  <si>
    <t>3A</t>
    <phoneticPr fontId="141" type="noConversion"/>
  </si>
  <si>
    <t>~</t>
    <phoneticPr fontId="141" type="noConversion"/>
  </si>
  <si>
    <t>~</t>
    <phoneticPr fontId="141" type="noConversion"/>
  </si>
  <si>
    <t>测量范围、测量点方案中定义。</t>
    <phoneticPr fontId="141" type="noConversion"/>
  </si>
  <si>
    <t>六、工作电流示值误差：</t>
    <phoneticPr fontId="141" type="noConversion"/>
  </si>
  <si>
    <t>直阻仪/回路,表头相同，不确定算法相同，只是项目名称不同</t>
    <phoneticPr fontId="141" type="noConversion"/>
  </si>
  <si>
    <t>检定证书</t>
    <phoneticPr fontId="141" type="noConversion"/>
  </si>
  <si>
    <t>校准证书</t>
    <phoneticPr fontId="141" type="noConversion"/>
  </si>
  <si>
    <r>
      <t>标准电压表示值</t>
    </r>
    <r>
      <rPr>
        <i/>
        <sz val="12"/>
        <rFont val="宋体"/>
        <family val="3"/>
        <charset val="134"/>
      </rPr>
      <t>U</t>
    </r>
    <r>
      <rPr>
        <vertAlign val="subscript"/>
        <sz val="12"/>
        <rFont val="宋体"/>
        <family val="3"/>
        <charset val="134"/>
      </rPr>
      <t>0</t>
    </r>
    <r>
      <rPr>
        <sz val="12"/>
        <rFont val="宋体"/>
        <family val="3"/>
        <charset val="134"/>
      </rPr>
      <t xml:space="preserve"> </t>
    </r>
    <phoneticPr fontId="141" type="noConversion"/>
  </si>
  <si>
    <r>
      <t>标准电阻值</t>
    </r>
    <r>
      <rPr>
        <sz val="12"/>
        <rFont val="宋体"/>
        <family val="3"/>
        <charset val="134"/>
      </rPr>
      <t xml:space="preserve">    </t>
    </r>
    <r>
      <rPr>
        <i/>
        <sz val="12"/>
        <rFont val="宋体"/>
        <family val="3"/>
        <charset val="134"/>
      </rPr>
      <t>R</t>
    </r>
    <r>
      <rPr>
        <vertAlign val="subscript"/>
        <sz val="12"/>
        <rFont val="宋体"/>
        <family val="3"/>
        <charset val="134"/>
      </rPr>
      <t>0</t>
    </r>
    <r>
      <rPr>
        <sz val="12"/>
        <rFont val="宋体"/>
        <family val="3"/>
        <charset val="134"/>
      </rPr>
      <t/>
    </r>
    <phoneticPr fontId="141" type="noConversion"/>
  </si>
  <si>
    <r>
      <t>工作电流示值</t>
    </r>
    <r>
      <rPr>
        <i/>
        <sz val="12"/>
        <rFont val="宋体"/>
        <family val="3"/>
        <charset val="134"/>
      </rPr>
      <t>I</t>
    </r>
    <phoneticPr fontId="141" type="noConversion"/>
  </si>
  <si>
    <r>
      <t>工作电流实际值</t>
    </r>
    <r>
      <rPr>
        <i/>
        <sz val="12"/>
        <rFont val="宋体"/>
        <family val="3"/>
        <charset val="134"/>
      </rPr>
      <t>I</t>
    </r>
    <r>
      <rPr>
        <vertAlign val="subscript"/>
        <sz val="12"/>
        <rFont val="宋体"/>
        <family val="3"/>
        <charset val="134"/>
      </rPr>
      <t>0</t>
    </r>
    <phoneticPr fontId="141" type="noConversion"/>
  </si>
  <si>
    <t>示值误差（%）</t>
    <phoneticPr fontId="141" type="noConversion"/>
  </si>
  <si>
    <t>允许限值（%）</t>
    <phoneticPr fontId="141" type="noConversion"/>
  </si>
  <si>
    <r>
      <t>校准不确定度（</t>
    </r>
    <r>
      <rPr>
        <i/>
        <sz val="12"/>
        <rFont val="宋体"/>
        <family val="3"/>
        <charset val="134"/>
      </rPr>
      <t>k</t>
    </r>
    <r>
      <rPr>
        <sz val="12"/>
        <rFont val="宋体"/>
        <family val="3"/>
        <charset val="134"/>
      </rPr>
      <t>=2）</t>
    </r>
    <phoneticPr fontId="141" type="noConversion"/>
  </si>
  <si>
    <t>序号</t>
    <phoneticPr fontId="141" type="noConversion"/>
  </si>
  <si>
    <r>
      <t>标准电阻值</t>
    </r>
    <r>
      <rPr>
        <i/>
        <sz val="12"/>
        <rFont val="宋体"/>
        <family val="3"/>
        <charset val="134"/>
      </rPr>
      <t>R</t>
    </r>
    <r>
      <rPr>
        <vertAlign val="subscript"/>
        <sz val="12"/>
        <rFont val="宋体"/>
        <family val="3"/>
        <charset val="134"/>
      </rPr>
      <t>0</t>
    </r>
    <r>
      <rPr>
        <sz val="12"/>
        <rFont val="宋体"/>
        <family val="3"/>
        <charset val="134"/>
      </rPr>
      <t/>
    </r>
    <phoneticPr fontId="141" type="noConversion"/>
  </si>
  <si>
    <t>参考直阻仪电流</t>
    <phoneticPr fontId="141" type="noConversion"/>
  </si>
  <si>
    <t>备注：可以自定义增加行</t>
    <phoneticPr fontId="141" type="noConversion"/>
  </si>
  <si>
    <t>通过查看所给的模板，发现校准证书中，电流工作示值误差有两种模板，取哪个</t>
    <phoneticPr fontId="141" type="noConversion"/>
  </si>
  <si>
    <t>序号</t>
    <phoneticPr fontId="141" type="noConversion"/>
  </si>
  <si>
    <r>
      <t>标准电压表示值</t>
    </r>
    <r>
      <rPr>
        <i/>
        <sz val="12"/>
        <rFont val="宋体"/>
        <family val="3"/>
        <charset val="134"/>
      </rPr>
      <t>U</t>
    </r>
    <r>
      <rPr>
        <vertAlign val="subscript"/>
        <sz val="12"/>
        <rFont val="宋体"/>
        <family val="3"/>
        <charset val="134"/>
      </rPr>
      <t>0</t>
    </r>
    <r>
      <rPr>
        <sz val="12"/>
        <rFont val="宋体"/>
        <family val="3"/>
        <charset val="134"/>
      </rPr>
      <t xml:space="preserve"> </t>
    </r>
    <phoneticPr fontId="141" type="noConversion"/>
  </si>
  <si>
    <r>
      <t>标准电阻值</t>
    </r>
    <r>
      <rPr>
        <i/>
        <sz val="12"/>
        <rFont val="宋体"/>
        <family val="3"/>
        <charset val="134"/>
      </rPr>
      <t>R</t>
    </r>
    <r>
      <rPr>
        <vertAlign val="subscript"/>
        <sz val="12"/>
        <rFont val="宋体"/>
        <family val="3"/>
        <charset val="134"/>
      </rPr>
      <t>0</t>
    </r>
    <r>
      <rPr>
        <sz val="12"/>
        <rFont val="宋体"/>
        <family val="3"/>
        <charset val="134"/>
      </rPr>
      <t/>
    </r>
    <phoneticPr fontId="141" type="noConversion"/>
  </si>
  <si>
    <r>
      <t>工作电流示值</t>
    </r>
    <r>
      <rPr>
        <i/>
        <sz val="12"/>
        <rFont val="宋体"/>
        <family val="3"/>
        <charset val="134"/>
      </rPr>
      <t>I</t>
    </r>
    <phoneticPr fontId="141" type="noConversion"/>
  </si>
  <si>
    <r>
      <t>工作电流实际值</t>
    </r>
    <r>
      <rPr>
        <i/>
        <sz val="12"/>
        <rFont val="宋体"/>
        <family val="3"/>
        <charset val="134"/>
      </rPr>
      <t>I</t>
    </r>
    <r>
      <rPr>
        <vertAlign val="subscript"/>
        <sz val="12"/>
        <rFont val="宋体"/>
        <family val="3"/>
        <charset val="134"/>
      </rPr>
      <t>0</t>
    </r>
    <phoneticPr fontId="141" type="noConversion"/>
  </si>
  <si>
    <t>示值误差（%）</t>
    <phoneticPr fontId="141" type="noConversion"/>
  </si>
  <si>
    <t>允许限值（%）</t>
    <phoneticPr fontId="141" type="noConversion"/>
  </si>
  <si>
    <t>九、绝缘电阻：</t>
    <phoneticPr fontId="141" type="noConversion"/>
  </si>
  <si>
    <t>（绝缘电阻值不应小于20MΩ）</t>
    <phoneticPr fontId="141" type="noConversion"/>
  </si>
  <si>
    <t>检定证书</t>
    <phoneticPr fontId="141" type="noConversion"/>
  </si>
  <si>
    <r>
      <t xml:space="preserve">相线对机壳 </t>
    </r>
    <r>
      <rPr>
        <sz val="12"/>
        <rFont val="宋体"/>
        <family val="3"/>
        <charset val="134"/>
      </rPr>
      <t xml:space="preserve"> </t>
    </r>
    <phoneticPr fontId="141" type="noConversion"/>
  </si>
  <si>
    <t>零线对机壳</t>
    <phoneticPr fontId="141" type="noConversion"/>
  </si>
  <si>
    <t>允许值</t>
    <phoneticPr fontId="141" type="noConversion"/>
  </si>
  <si>
    <t>相线对机壳</t>
    <phoneticPr fontId="141" type="noConversion"/>
  </si>
  <si>
    <t>≥</t>
    <phoneticPr fontId="141" type="noConversion"/>
  </si>
  <si>
    <t>备注：表格固定！</t>
    <phoneticPr fontId="141" type="noConversion"/>
  </si>
  <si>
    <t>检定、校准</t>
    <phoneticPr fontId="141" type="noConversion"/>
  </si>
  <si>
    <t>备注</t>
    <phoneticPr fontId="141" type="noConversion"/>
  </si>
  <si>
    <t>合格、不合格</t>
    <phoneticPr fontId="141" type="noConversion"/>
  </si>
  <si>
    <t>基本误差的检定</t>
    <phoneticPr fontId="141" type="noConversion"/>
  </si>
  <si>
    <t>恒流源稳定度</t>
    <phoneticPr fontId="141" type="noConversion"/>
  </si>
  <si>
    <t>数据录入</t>
    <phoneticPr fontId="141" type="noConversion"/>
  </si>
  <si>
    <t>检定证书</t>
    <phoneticPr fontId="141" type="noConversion"/>
  </si>
  <si>
    <t>校准证书</t>
    <phoneticPr fontId="141" type="noConversion"/>
  </si>
  <si>
    <t>不确定度</t>
    <phoneticPr fontId="141" type="noConversion"/>
  </si>
  <si>
    <t>参考量程0.001Ω～1000Ω</t>
    <phoneticPr fontId="141" type="noConversion"/>
  </si>
  <si>
    <t xml:space="preserve"> 二等标准电阻</t>
    <phoneticPr fontId="141" type="noConversion"/>
  </si>
  <si>
    <r>
      <t xml:space="preserve">正向测量  </t>
    </r>
    <r>
      <rPr>
        <i/>
        <sz val="12"/>
        <rFont val="宋体"/>
        <family val="3"/>
        <charset val="134"/>
      </rPr>
      <t>δ</t>
    </r>
    <r>
      <rPr>
        <i/>
        <vertAlign val="subscript"/>
        <sz val="12"/>
        <rFont val="宋体"/>
        <family val="3"/>
        <charset val="134"/>
      </rPr>
      <t>x</t>
    </r>
    <r>
      <rPr>
        <vertAlign val="subscript"/>
        <sz val="12"/>
        <rFont val="宋体"/>
        <family val="3"/>
        <charset val="134"/>
      </rPr>
      <t>1</t>
    </r>
    <r>
      <rPr>
        <sz val="12"/>
        <rFont val="宋体"/>
        <family val="3"/>
        <charset val="134"/>
      </rPr>
      <t>(×10</t>
    </r>
    <r>
      <rPr>
        <vertAlign val="superscript"/>
        <sz val="12"/>
        <rFont val="宋体"/>
        <family val="3"/>
        <charset val="134"/>
      </rPr>
      <t>-6</t>
    </r>
    <r>
      <rPr>
        <sz val="12"/>
        <rFont val="宋体"/>
        <family val="3"/>
        <charset val="134"/>
      </rPr>
      <t>)</t>
    </r>
    <phoneticPr fontId="141" type="noConversion"/>
  </si>
  <si>
    <r>
      <t xml:space="preserve">反向测量  </t>
    </r>
    <r>
      <rPr>
        <i/>
        <sz val="12"/>
        <rFont val="宋体"/>
        <family val="3"/>
        <charset val="134"/>
      </rPr>
      <t>δ</t>
    </r>
    <r>
      <rPr>
        <vertAlign val="subscript"/>
        <sz val="12"/>
        <rFont val="宋体"/>
        <family val="3"/>
        <charset val="134"/>
      </rPr>
      <t>x2</t>
    </r>
    <r>
      <rPr>
        <sz val="12"/>
        <rFont val="宋体"/>
        <family val="3"/>
        <charset val="134"/>
      </rPr>
      <t>(×10</t>
    </r>
    <r>
      <rPr>
        <vertAlign val="superscript"/>
        <sz val="12"/>
        <rFont val="宋体"/>
        <family val="3"/>
        <charset val="134"/>
      </rPr>
      <t>-6</t>
    </r>
    <r>
      <rPr>
        <sz val="12"/>
        <rFont val="宋体"/>
        <family val="3"/>
        <charset val="134"/>
      </rPr>
      <t>)</t>
    </r>
    <phoneticPr fontId="141" type="noConversion"/>
  </si>
  <si>
    <r>
      <t xml:space="preserve">测量平均值  </t>
    </r>
    <r>
      <rPr>
        <i/>
        <sz val="12"/>
        <rFont val="宋体"/>
        <family val="3"/>
        <charset val="134"/>
      </rPr>
      <t>δ</t>
    </r>
    <r>
      <rPr>
        <vertAlign val="subscript"/>
        <sz val="12"/>
        <rFont val="宋体"/>
        <family val="3"/>
        <charset val="134"/>
      </rPr>
      <t>x</t>
    </r>
    <r>
      <rPr>
        <sz val="12"/>
        <rFont val="宋体"/>
        <family val="3"/>
        <charset val="134"/>
      </rPr>
      <t>（×10</t>
    </r>
    <r>
      <rPr>
        <vertAlign val="superscript"/>
        <sz val="12"/>
        <rFont val="宋体"/>
        <family val="3"/>
        <charset val="134"/>
      </rPr>
      <t>-6</t>
    </r>
    <r>
      <rPr>
        <sz val="12"/>
        <rFont val="宋体"/>
        <family val="3"/>
        <charset val="134"/>
      </rPr>
      <t>）</t>
    </r>
    <phoneticPr fontId="141" type="noConversion"/>
  </si>
  <si>
    <t>实际值（Ω）</t>
    <phoneticPr fontId="141" type="noConversion"/>
  </si>
  <si>
    <t xml:space="preserve">检定电流 </t>
    <phoneticPr fontId="141" type="noConversion"/>
  </si>
  <si>
    <r>
      <t>标称值</t>
    </r>
    <r>
      <rPr>
        <sz val="12"/>
        <rFont val="Times New Roman"/>
        <family val="1"/>
      </rPr>
      <t>(</t>
    </r>
    <r>
      <rPr>
        <sz val="12"/>
        <rFont val="宋体"/>
        <family val="3"/>
        <charset val="134"/>
      </rPr>
      <t>Ω</t>
    </r>
    <r>
      <rPr>
        <sz val="12"/>
        <rFont val="Times New Roman"/>
        <family val="1"/>
      </rPr>
      <t>)</t>
    </r>
  </si>
  <si>
    <t>型号</t>
  </si>
  <si>
    <t>出厂编号</t>
  </si>
  <si>
    <r>
      <t>R</t>
    </r>
    <r>
      <rPr>
        <vertAlign val="subscript"/>
        <sz val="12"/>
        <rFont val="Times New Roman"/>
        <family val="1"/>
      </rPr>
      <t>20</t>
    </r>
    <r>
      <rPr>
        <sz val="12"/>
        <rFont val="Times New Roman"/>
        <family val="1"/>
      </rPr>
      <t>(</t>
    </r>
    <r>
      <rPr>
        <sz val="12"/>
        <rFont val="宋体"/>
        <family val="3"/>
        <charset val="134"/>
      </rPr>
      <t>Ω</t>
    </r>
    <r>
      <rPr>
        <sz val="12"/>
        <rFont val="Times New Roman"/>
        <family val="1"/>
      </rPr>
      <t>)</t>
    </r>
  </si>
  <si>
    <r>
      <t>检定电流（</t>
    </r>
    <r>
      <rPr>
        <sz val="12"/>
        <rFont val="Times New Roman"/>
        <family val="1"/>
      </rPr>
      <t>A</t>
    </r>
    <r>
      <rPr>
        <sz val="12"/>
        <rFont val="宋体"/>
        <family val="3"/>
        <charset val="134"/>
      </rPr>
      <t>）</t>
    </r>
  </si>
  <si>
    <t>校准结果的不确定度</t>
    <phoneticPr fontId="141" type="noConversion"/>
  </si>
  <si>
    <t>标称值</t>
    <phoneticPr fontId="141" type="noConversion"/>
  </si>
  <si>
    <t>型号</t>
    <phoneticPr fontId="141" type="noConversion"/>
  </si>
  <si>
    <t>编号</t>
    <phoneticPr fontId="141" type="noConversion"/>
  </si>
  <si>
    <t>编号</t>
    <phoneticPr fontId="141" type="noConversion"/>
  </si>
  <si>
    <r>
      <t>δ</t>
    </r>
    <r>
      <rPr>
        <vertAlign val="subscript"/>
        <sz val="12"/>
        <rFont val="宋体"/>
        <family val="3"/>
        <charset val="134"/>
      </rPr>
      <t>n</t>
    </r>
    <r>
      <rPr>
        <sz val="12"/>
        <rFont val="宋体"/>
        <family val="3"/>
        <charset val="134"/>
      </rPr>
      <t>(×10</t>
    </r>
    <r>
      <rPr>
        <vertAlign val="superscript"/>
        <sz val="12"/>
        <rFont val="宋体"/>
        <family val="3"/>
        <charset val="134"/>
      </rPr>
      <t>-6</t>
    </r>
    <r>
      <rPr>
        <sz val="12"/>
        <rFont val="宋体"/>
        <family val="3"/>
        <charset val="134"/>
      </rPr>
      <t>)</t>
    </r>
    <phoneticPr fontId="141" type="noConversion"/>
  </si>
  <si>
    <t>（Ω）</t>
    <phoneticPr fontId="141" type="noConversion"/>
  </si>
  <si>
    <t>（Ω）</t>
    <phoneticPr fontId="141" type="noConversion"/>
  </si>
  <si>
    <t>（A）</t>
    <phoneticPr fontId="141" type="noConversion"/>
  </si>
  <si>
    <t>1000欧以上和1000欧以下合并在一起</t>
  </si>
  <si>
    <r>
      <t>8</t>
    </r>
    <r>
      <rPr>
        <sz val="12"/>
        <rFont val="宋体"/>
        <family val="3"/>
        <charset val="134"/>
      </rPr>
      <t>67958</t>
    </r>
    <phoneticPr fontId="141" type="noConversion"/>
  </si>
  <si>
    <r>
      <t>8</t>
    </r>
    <r>
      <rPr>
        <sz val="12"/>
        <rFont val="宋体"/>
        <family val="3"/>
        <charset val="134"/>
      </rPr>
      <t>67046</t>
    </r>
    <phoneticPr fontId="141" type="noConversion"/>
  </si>
  <si>
    <r>
      <t>8</t>
    </r>
    <r>
      <rPr>
        <sz val="12"/>
        <rFont val="宋体"/>
        <family val="3"/>
        <charset val="134"/>
      </rPr>
      <t>69311</t>
    </r>
    <phoneticPr fontId="141" type="noConversion"/>
  </si>
  <si>
    <r>
      <t>8</t>
    </r>
    <r>
      <rPr>
        <sz val="12"/>
        <rFont val="宋体"/>
        <family val="3"/>
        <charset val="134"/>
      </rPr>
      <t>50929</t>
    </r>
    <phoneticPr fontId="141" type="noConversion"/>
  </si>
  <si>
    <r>
      <t>8</t>
    </r>
    <r>
      <rPr>
        <sz val="12"/>
        <rFont val="宋体"/>
        <family val="3"/>
        <charset val="134"/>
      </rPr>
      <t>69777</t>
    </r>
    <phoneticPr fontId="141" type="noConversion"/>
  </si>
  <si>
    <r>
      <t>7</t>
    </r>
    <r>
      <rPr>
        <sz val="12"/>
        <rFont val="宋体"/>
        <family val="3"/>
        <charset val="134"/>
      </rPr>
      <t>903264</t>
    </r>
    <phoneticPr fontId="141" type="noConversion"/>
  </si>
  <si>
    <t xml:space="preserve">注：  </t>
    <phoneticPr fontId="141" type="noConversion"/>
  </si>
  <si>
    <r>
      <t>δ</t>
    </r>
    <r>
      <rPr>
        <vertAlign val="subscript"/>
        <sz val="11"/>
        <rFont val="宋体"/>
        <family val="3"/>
        <charset val="134"/>
      </rPr>
      <t>n</t>
    </r>
    <r>
      <rPr>
        <sz val="11"/>
        <rFont val="宋体"/>
        <family val="3"/>
        <charset val="134"/>
      </rPr>
      <t>为标准电阻的相对修正值。</t>
    </r>
    <phoneticPr fontId="141" type="noConversion"/>
  </si>
  <si>
    <r>
      <t>δ</t>
    </r>
    <r>
      <rPr>
        <vertAlign val="subscript"/>
        <sz val="11"/>
        <rFont val="宋体"/>
        <family val="3"/>
        <charset val="134"/>
      </rPr>
      <t>x1</t>
    </r>
    <r>
      <rPr>
        <sz val="11"/>
        <rFont val="宋体"/>
        <family val="3"/>
        <charset val="134"/>
      </rPr>
      <t>、</t>
    </r>
    <r>
      <rPr>
        <i/>
        <sz val="11"/>
        <rFont val="宋体"/>
        <family val="3"/>
        <charset val="134"/>
      </rPr>
      <t>δ</t>
    </r>
    <r>
      <rPr>
        <vertAlign val="subscript"/>
        <sz val="11"/>
        <rFont val="宋体"/>
        <family val="3"/>
        <charset val="134"/>
      </rPr>
      <t>x2</t>
    </r>
    <r>
      <rPr>
        <sz val="11"/>
        <rFont val="宋体"/>
        <family val="3"/>
        <charset val="134"/>
      </rPr>
      <t>分别为由正向及反向测量结果所得到的被测电阻的相对修正值。</t>
    </r>
    <phoneticPr fontId="141" type="noConversion"/>
  </si>
  <si>
    <t>检定证书</t>
    <phoneticPr fontId="141" type="noConversion"/>
  </si>
  <si>
    <r>
      <t>δ</t>
    </r>
    <r>
      <rPr>
        <vertAlign val="subscript"/>
        <sz val="11"/>
        <rFont val="宋体"/>
        <family val="3"/>
        <charset val="134"/>
      </rPr>
      <t>x</t>
    </r>
    <r>
      <rPr>
        <sz val="11"/>
        <rFont val="宋体"/>
        <family val="3"/>
        <charset val="134"/>
      </rPr>
      <t xml:space="preserve"> =</t>
    </r>
    <phoneticPr fontId="141" type="noConversion"/>
  </si>
  <si>
    <t>如果1.1和1.2两个检定项目都选择做，那么，检定证书只显示1.2的内容</t>
    <phoneticPr fontId="141" type="noConversion"/>
  </si>
  <si>
    <t>1.2、×Ω</t>
    <phoneticPr fontId="141" type="noConversion"/>
  </si>
  <si>
    <t>根据器具规格在原始记录中显示是×0.0001Ω还是×0.001Ω</t>
    <phoneticPr fontId="141" type="noConversion"/>
  </si>
  <si>
    <t>×0.0001Ω</t>
    <phoneticPr fontId="141" type="noConversion"/>
  </si>
  <si>
    <t>没有给出校准证书</t>
    <phoneticPr fontId="141" type="noConversion"/>
  </si>
  <si>
    <t>序号</t>
    <phoneticPr fontId="141" type="noConversion"/>
  </si>
  <si>
    <t>实际值（Ω）</t>
    <phoneticPr fontId="141" type="noConversion"/>
  </si>
  <si>
    <t>误差（%）</t>
    <phoneticPr fontId="141" type="noConversion"/>
  </si>
  <si>
    <t>2、1000Ω以上，可以自定义增加删除行，</t>
    <phoneticPr fontId="141" type="noConversion"/>
  </si>
  <si>
    <t>被测电阻</t>
    <phoneticPr fontId="141" type="noConversion"/>
  </si>
  <si>
    <t xml:space="preserve"> 二等标准电阻</t>
    <phoneticPr fontId="141" type="noConversion"/>
  </si>
  <si>
    <r>
      <t>A</t>
    </r>
    <r>
      <rPr>
        <vertAlign val="subscript"/>
        <sz val="12"/>
        <rFont val="宋体"/>
        <family val="3"/>
        <charset val="134"/>
      </rPr>
      <t>x</t>
    </r>
    <r>
      <rPr>
        <sz val="12"/>
        <rFont val="宋体"/>
        <family val="3"/>
        <charset val="134"/>
      </rPr>
      <t>(V)</t>
    </r>
    <phoneticPr fontId="141" type="noConversion"/>
  </si>
  <si>
    <r>
      <t>A</t>
    </r>
    <r>
      <rPr>
        <vertAlign val="subscript"/>
        <sz val="12"/>
        <rFont val="宋体"/>
        <family val="3"/>
        <charset val="134"/>
      </rPr>
      <t>n</t>
    </r>
    <r>
      <rPr>
        <sz val="12"/>
        <rFont val="宋体"/>
        <family val="3"/>
        <charset val="134"/>
      </rPr>
      <t>(V)</t>
    </r>
    <phoneticPr fontId="141" type="noConversion"/>
  </si>
  <si>
    <r>
      <t>实际值</t>
    </r>
    <r>
      <rPr>
        <i/>
        <sz val="12"/>
        <rFont val="宋体"/>
        <family val="3"/>
        <charset val="134"/>
      </rPr>
      <t>R</t>
    </r>
    <r>
      <rPr>
        <vertAlign val="subscript"/>
        <sz val="12"/>
        <rFont val="宋体"/>
        <family val="3"/>
        <charset val="134"/>
      </rPr>
      <t>x</t>
    </r>
    <r>
      <rPr>
        <sz val="12"/>
        <rFont val="宋体"/>
        <family val="3"/>
        <charset val="134"/>
      </rPr>
      <t>（Ω）</t>
    </r>
    <phoneticPr fontId="141" type="noConversion"/>
  </si>
  <si>
    <t>检定电流</t>
    <phoneticPr fontId="141" type="noConversion"/>
  </si>
  <si>
    <t>不确定度</t>
    <phoneticPr fontId="141" type="noConversion"/>
  </si>
  <si>
    <t>参考10000Ω～100000Ω</t>
    <phoneticPr fontId="141" type="noConversion"/>
  </si>
  <si>
    <t>标称值</t>
    <phoneticPr fontId="141" type="noConversion"/>
  </si>
  <si>
    <t>型号</t>
    <phoneticPr fontId="141" type="noConversion"/>
  </si>
  <si>
    <t>编号</t>
    <phoneticPr fontId="141" type="noConversion"/>
  </si>
  <si>
    <r>
      <t>R</t>
    </r>
    <r>
      <rPr>
        <vertAlign val="subscript"/>
        <sz val="12"/>
        <rFont val="宋体"/>
        <family val="3"/>
        <charset val="134"/>
      </rPr>
      <t>n</t>
    </r>
    <r>
      <rPr>
        <sz val="12"/>
        <rFont val="宋体"/>
        <family val="3"/>
        <charset val="134"/>
      </rPr>
      <t>(Ω)</t>
    </r>
    <phoneticPr fontId="141" type="noConversion"/>
  </si>
  <si>
    <t>（Ω）</t>
    <phoneticPr fontId="141" type="noConversion"/>
  </si>
  <si>
    <t>（A）</t>
    <phoneticPr fontId="141" type="noConversion"/>
  </si>
  <si>
    <t>注：</t>
    <phoneticPr fontId="141" type="noConversion"/>
  </si>
  <si>
    <r>
      <t>R</t>
    </r>
    <r>
      <rPr>
        <vertAlign val="subscript"/>
        <sz val="11"/>
        <rFont val="宋体"/>
        <family val="3"/>
        <charset val="134"/>
      </rPr>
      <t xml:space="preserve">n </t>
    </r>
    <r>
      <rPr>
        <sz val="11"/>
        <rFont val="宋体"/>
        <family val="3"/>
        <charset val="134"/>
      </rPr>
      <t xml:space="preserve">— </t>
    </r>
    <phoneticPr fontId="141" type="noConversion"/>
  </si>
  <si>
    <r>
      <t>R</t>
    </r>
    <r>
      <rPr>
        <vertAlign val="subscript"/>
        <sz val="11"/>
        <rFont val="宋体"/>
        <family val="3"/>
        <charset val="134"/>
      </rPr>
      <t>x</t>
    </r>
    <r>
      <rPr>
        <sz val="11"/>
        <rFont val="宋体"/>
        <family val="3"/>
        <charset val="134"/>
      </rPr>
      <t xml:space="preserve"> — </t>
    </r>
    <phoneticPr fontId="141" type="noConversion"/>
  </si>
  <si>
    <r>
      <t>A</t>
    </r>
    <r>
      <rPr>
        <vertAlign val="subscript"/>
        <sz val="11"/>
        <rFont val="宋体"/>
        <family val="3"/>
        <charset val="134"/>
      </rPr>
      <t>x</t>
    </r>
    <r>
      <rPr>
        <sz val="11"/>
        <rFont val="宋体"/>
        <family val="3"/>
        <charset val="134"/>
      </rPr>
      <t xml:space="preserve"> — </t>
    </r>
    <phoneticPr fontId="141" type="noConversion"/>
  </si>
  <si>
    <t>本装置检定被测电阻时电压表示值</t>
    <phoneticPr fontId="141" type="noConversion"/>
  </si>
  <si>
    <r>
      <t>A</t>
    </r>
    <r>
      <rPr>
        <vertAlign val="subscript"/>
        <sz val="11"/>
        <rFont val="宋体"/>
        <family val="3"/>
        <charset val="134"/>
      </rPr>
      <t xml:space="preserve">n </t>
    </r>
    <r>
      <rPr>
        <sz val="11"/>
        <rFont val="宋体"/>
        <family val="3"/>
        <charset val="134"/>
      </rPr>
      <t xml:space="preserve">— </t>
    </r>
    <phoneticPr fontId="141" type="noConversion"/>
  </si>
  <si>
    <t>本装置检定二等标准电阻时电压表示值</t>
    <phoneticPr fontId="141" type="noConversion"/>
  </si>
  <si>
    <r>
      <t>R</t>
    </r>
    <r>
      <rPr>
        <vertAlign val="subscript"/>
        <sz val="11"/>
        <rFont val="宋体"/>
        <family val="3"/>
        <charset val="134"/>
      </rPr>
      <t>x</t>
    </r>
    <r>
      <rPr>
        <sz val="11"/>
        <rFont val="宋体"/>
        <family val="3"/>
        <charset val="134"/>
      </rPr>
      <t>=</t>
    </r>
    <r>
      <rPr>
        <i/>
        <sz val="11"/>
        <rFont val="宋体"/>
        <family val="3"/>
        <charset val="134"/>
      </rPr>
      <t>R</t>
    </r>
    <r>
      <rPr>
        <vertAlign val="subscript"/>
        <sz val="11"/>
        <rFont val="宋体"/>
        <family val="3"/>
        <charset val="134"/>
      </rPr>
      <t>n</t>
    </r>
    <r>
      <rPr>
        <sz val="11"/>
        <rFont val="宋体"/>
        <family val="3"/>
        <charset val="134"/>
      </rPr>
      <t>+(</t>
    </r>
    <r>
      <rPr>
        <i/>
        <sz val="11"/>
        <rFont val="宋体"/>
        <family val="3"/>
        <charset val="134"/>
      </rPr>
      <t>A</t>
    </r>
    <r>
      <rPr>
        <vertAlign val="subscript"/>
        <sz val="11"/>
        <rFont val="宋体"/>
        <family val="3"/>
        <charset val="134"/>
      </rPr>
      <t>x</t>
    </r>
    <r>
      <rPr>
        <sz val="11"/>
        <rFont val="宋体"/>
        <family val="3"/>
        <charset val="134"/>
      </rPr>
      <t>/I-</t>
    </r>
    <r>
      <rPr>
        <i/>
        <sz val="11"/>
        <rFont val="宋体"/>
        <family val="3"/>
        <charset val="134"/>
      </rPr>
      <t>A</t>
    </r>
    <r>
      <rPr>
        <vertAlign val="subscript"/>
        <sz val="11"/>
        <rFont val="宋体"/>
        <family val="3"/>
        <charset val="134"/>
      </rPr>
      <t>n</t>
    </r>
    <r>
      <rPr>
        <sz val="11"/>
        <rFont val="宋体"/>
        <family val="3"/>
        <charset val="134"/>
      </rPr>
      <t xml:space="preserve">/I) </t>
    </r>
    <phoneticPr fontId="141" type="noConversion"/>
  </si>
  <si>
    <t>3.标准电阻箱:行数固定</t>
    <phoneticPr fontId="141" type="noConversion"/>
  </si>
  <si>
    <t>×</t>
    <phoneticPr fontId="141" type="noConversion"/>
  </si>
  <si>
    <t>Ω</t>
    <phoneticPr fontId="141" type="noConversion"/>
  </si>
  <si>
    <t>×</t>
    <phoneticPr fontId="141" type="noConversion"/>
  </si>
  <si>
    <t>序号</t>
    <phoneticPr fontId="141" type="noConversion"/>
  </si>
  <si>
    <t>Ω</t>
    <phoneticPr fontId="141" type="noConversion"/>
  </si>
  <si>
    <r>
      <t>相对修正值(×10</t>
    </r>
    <r>
      <rPr>
        <vertAlign val="superscript"/>
        <sz val="12"/>
        <rFont val="宋体"/>
        <family val="3"/>
        <charset val="134"/>
      </rPr>
      <t>-6</t>
    </r>
    <r>
      <rPr>
        <sz val="12"/>
        <rFont val="宋体"/>
        <family val="3"/>
        <charset val="134"/>
      </rPr>
      <t>)</t>
    </r>
    <phoneticPr fontId="141" type="noConversion"/>
  </si>
  <si>
    <t>允许    误差（%）</t>
    <phoneticPr fontId="141" type="noConversion"/>
  </si>
  <si>
    <t>±0.02</t>
    <phoneticPr fontId="141" type="noConversion"/>
  </si>
  <si>
    <t>允许误差（%）</t>
    <phoneticPr fontId="141" type="noConversion"/>
  </si>
  <si>
    <t>±0.01</t>
    <phoneticPr fontId="141" type="noConversion"/>
  </si>
  <si>
    <t>±0.2</t>
    <phoneticPr fontId="141" type="noConversion"/>
  </si>
  <si>
    <t>±0.02</t>
    <phoneticPr fontId="141" type="noConversion"/>
  </si>
  <si>
    <t>±1</t>
    <phoneticPr fontId="141" type="noConversion"/>
  </si>
  <si>
    <t>允许误差（%）</t>
    <phoneticPr fontId="141" type="noConversion"/>
  </si>
  <si>
    <t>4.标准电阻:行数固定</t>
    <phoneticPr fontId="141" type="noConversion"/>
  </si>
  <si>
    <t>被测电阻</t>
    <phoneticPr fontId="141" type="noConversion"/>
  </si>
  <si>
    <t xml:space="preserve"> 二等标准电阻</t>
    <phoneticPr fontId="141" type="noConversion"/>
  </si>
  <si>
    <r>
      <t xml:space="preserve">正向测量     </t>
    </r>
    <r>
      <rPr>
        <i/>
        <sz val="12"/>
        <rFont val="宋体"/>
        <family val="3"/>
        <charset val="134"/>
      </rPr>
      <t xml:space="preserve"> δ</t>
    </r>
    <r>
      <rPr>
        <vertAlign val="subscript"/>
        <sz val="12"/>
        <rFont val="宋体"/>
        <family val="3"/>
        <charset val="134"/>
      </rPr>
      <t>x1</t>
    </r>
    <r>
      <rPr>
        <sz val="12"/>
        <rFont val="宋体"/>
        <family val="3"/>
        <charset val="134"/>
      </rPr>
      <t>(×10</t>
    </r>
    <r>
      <rPr>
        <vertAlign val="superscript"/>
        <sz val="12"/>
        <rFont val="宋体"/>
        <family val="3"/>
        <charset val="134"/>
      </rPr>
      <t>-6</t>
    </r>
    <r>
      <rPr>
        <sz val="12"/>
        <rFont val="宋体"/>
        <family val="3"/>
        <charset val="134"/>
      </rPr>
      <t>)</t>
    </r>
    <phoneticPr fontId="141" type="noConversion"/>
  </si>
  <si>
    <r>
      <t xml:space="preserve">反向测量     </t>
    </r>
    <r>
      <rPr>
        <i/>
        <sz val="12"/>
        <rFont val="宋体"/>
        <family val="3"/>
        <charset val="134"/>
      </rPr>
      <t>δ</t>
    </r>
    <r>
      <rPr>
        <vertAlign val="subscript"/>
        <sz val="12"/>
        <rFont val="宋体"/>
        <family val="3"/>
        <charset val="134"/>
      </rPr>
      <t>x2</t>
    </r>
    <r>
      <rPr>
        <sz val="12"/>
        <rFont val="宋体"/>
        <family val="3"/>
        <charset val="134"/>
      </rPr>
      <t>(×10</t>
    </r>
    <r>
      <rPr>
        <vertAlign val="superscript"/>
        <sz val="12"/>
        <rFont val="宋体"/>
        <family val="3"/>
        <charset val="134"/>
      </rPr>
      <t>-6</t>
    </r>
    <r>
      <rPr>
        <sz val="12"/>
        <rFont val="宋体"/>
        <family val="3"/>
        <charset val="134"/>
      </rPr>
      <t>)</t>
    </r>
    <phoneticPr fontId="141" type="noConversion"/>
  </si>
  <si>
    <r>
      <t xml:space="preserve">测量平均值  </t>
    </r>
    <r>
      <rPr>
        <i/>
        <sz val="12"/>
        <rFont val="宋体"/>
        <family val="3"/>
        <charset val="134"/>
      </rPr>
      <t>δ</t>
    </r>
    <r>
      <rPr>
        <vertAlign val="subscript"/>
        <sz val="12"/>
        <rFont val="宋体"/>
        <family val="3"/>
        <charset val="134"/>
      </rPr>
      <t>x</t>
    </r>
    <r>
      <rPr>
        <sz val="12"/>
        <rFont val="宋体"/>
        <family val="3"/>
        <charset val="134"/>
      </rPr>
      <t>（×10</t>
    </r>
    <r>
      <rPr>
        <vertAlign val="superscript"/>
        <sz val="12"/>
        <rFont val="宋体"/>
        <family val="3"/>
        <charset val="134"/>
      </rPr>
      <t>-6</t>
    </r>
    <r>
      <rPr>
        <sz val="12"/>
        <rFont val="宋体"/>
        <family val="3"/>
        <charset val="134"/>
      </rPr>
      <t>）</t>
    </r>
    <phoneticPr fontId="141" type="noConversion"/>
  </si>
  <si>
    <t>实际值  （Ω）</t>
    <phoneticPr fontId="141" type="noConversion"/>
  </si>
  <si>
    <t>允许误差（%）</t>
    <phoneticPr fontId="141" type="noConversion"/>
  </si>
  <si>
    <t>检定电流      （A）</t>
    <phoneticPr fontId="141" type="noConversion"/>
  </si>
  <si>
    <t>不确定度</t>
    <phoneticPr fontId="141" type="noConversion"/>
  </si>
  <si>
    <t>参考量程0.001Ω～1000Ω</t>
    <phoneticPr fontId="141" type="noConversion"/>
  </si>
  <si>
    <t>标称值(Ω)</t>
    <phoneticPr fontId="141" type="noConversion"/>
  </si>
  <si>
    <t>标称值  (Ω)</t>
    <phoneticPr fontId="141" type="noConversion"/>
  </si>
  <si>
    <t>编号</t>
    <phoneticPr fontId="141" type="noConversion"/>
  </si>
  <si>
    <r>
      <t>δ</t>
    </r>
    <r>
      <rPr>
        <vertAlign val="subscript"/>
        <sz val="12"/>
        <rFont val="宋体"/>
        <family val="3"/>
        <charset val="134"/>
      </rPr>
      <t xml:space="preserve">n  </t>
    </r>
    <r>
      <rPr>
        <sz val="12"/>
        <rFont val="宋体"/>
        <family val="3"/>
        <charset val="134"/>
      </rPr>
      <t>(×10</t>
    </r>
    <r>
      <rPr>
        <vertAlign val="superscript"/>
        <sz val="12"/>
        <rFont val="宋体"/>
        <family val="3"/>
        <charset val="134"/>
      </rPr>
      <t>-6</t>
    </r>
    <r>
      <rPr>
        <sz val="12"/>
        <rFont val="宋体"/>
        <family val="3"/>
        <charset val="134"/>
      </rPr>
      <t>)</t>
    </r>
    <phoneticPr fontId="141" type="noConversion"/>
  </si>
  <si>
    <t>序号</t>
    <phoneticPr fontId="141" type="noConversion"/>
  </si>
  <si>
    <t>标称值（Ω）</t>
    <phoneticPr fontId="141" type="noConversion"/>
  </si>
  <si>
    <t>实际值（Ω）</t>
    <phoneticPr fontId="141" type="noConversion"/>
  </si>
  <si>
    <t>校准结果的不确定度</t>
    <phoneticPr fontId="141" type="noConversion"/>
  </si>
  <si>
    <r>
      <t>8</t>
    </r>
    <r>
      <rPr>
        <sz val="12"/>
        <rFont val="宋体"/>
        <family val="3"/>
        <charset val="134"/>
      </rPr>
      <t>65</t>
    </r>
    <phoneticPr fontId="141" type="noConversion"/>
  </si>
  <si>
    <t>±0.1</t>
    <phoneticPr fontId="141" type="noConversion"/>
  </si>
  <si>
    <t>不出</t>
    <phoneticPr fontId="141" type="noConversion"/>
  </si>
  <si>
    <t>±0.05</t>
    <phoneticPr fontId="141" type="noConversion"/>
  </si>
  <si>
    <t>±0.02</t>
    <phoneticPr fontId="141" type="noConversion"/>
  </si>
  <si>
    <t>±0.01</t>
    <phoneticPr fontId="141" type="noConversion"/>
  </si>
  <si>
    <t>±0.01</t>
    <phoneticPr fontId="141" type="noConversion"/>
  </si>
  <si>
    <t>±0.01</t>
    <phoneticPr fontId="141" type="noConversion"/>
  </si>
  <si>
    <t>±0.01</t>
    <phoneticPr fontId="141" type="noConversion"/>
  </si>
  <si>
    <t>±0.01</t>
    <phoneticPr fontId="141" type="noConversion"/>
  </si>
  <si>
    <t xml:space="preserve">注：  </t>
    <phoneticPr fontId="141" type="noConversion"/>
  </si>
  <si>
    <r>
      <t>δ</t>
    </r>
    <r>
      <rPr>
        <vertAlign val="subscript"/>
        <sz val="10"/>
        <rFont val="宋体"/>
        <family val="3"/>
        <charset val="134"/>
      </rPr>
      <t>n</t>
    </r>
    <r>
      <rPr>
        <sz val="10"/>
        <rFont val="宋体"/>
        <family val="3"/>
        <charset val="134"/>
      </rPr>
      <t>为标准电阻的相对修正值。</t>
    </r>
    <phoneticPr fontId="141" type="noConversion"/>
  </si>
  <si>
    <r>
      <t>δ</t>
    </r>
    <r>
      <rPr>
        <i/>
        <vertAlign val="subscript"/>
        <sz val="10"/>
        <rFont val="宋体"/>
        <family val="3"/>
        <charset val="134"/>
      </rPr>
      <t>x1</t>
    </r>
    <r>
      <rPr>
        <i/>
        <sz val="10"/>
        <rFont val="宋体"/>
        <family val="3"/>
        <charset val="134"/>
      </rPr>
      <t>、δ</t>
    </r>
    <r>
      <rPr>
        <i/>
        <vertAlign val="subscript"/>
        <sz val="10"/>
        <rFont val="宋体"/>
        <family val="3"/>
        <charset val="134"/>
      </rPr>
      <t>x2</t>
    </r>
    <r>
      <rPr>
        <sz val="10"/>
        <rFont val="宋体"/>
        <family val="3"/>
        <charset val="134"/>
      </rPr>
      <t>分别为由正向及反向测量结果所得到的被测电阻的相对修正值。</t>
    </r>
    <phoneticPr fontId="141" type="noConversion"/>
  </si>
  <si>
    <r>
      <t>δ</t>
    </r>
    <r>
      <rPr>
        <i/>
        <vertAlign val="subscript"/>
        <sz val="10"/>
        <rFont val="宋体"/>
        <family val="3"/>
        <charset val="134"/>
      </rPr>
      <t>x</t>
    </r>
    <r>
      <rPr>
        <sz val="10"/>
        <rFont val="宋体"/>
        <family val="3"/>
        <charset val="134"/>
      </rPr>
      <t xml:space="preserve"> =</t>
    </r>
  </si>
  <si>
    <t>依次展示出四个量程，行数固定，电流、电阻值固定</t>
    <phoneticPr fontId="141" type="noConversion"/>
  </si>
  <si>
    <t>校准证书</t>
    <phoneticPr fontId="141" type="noConversion"/>
  </si>
  <si>
    <t>测点</t>
    <phoneticPr fontId="141" type="noConversion"/>
  </si>
  <si>
    <t>电压表读数(V)</t>
    <phoneticPr fontId="141" type="noConversion"/>
  </si>
  <si>
    <t>稳定度(%)/30s</t>
    <phoneticPr fontId="141" type="noConversion"/>
  </si>
  <si>
    <t>不确定度</t>
    <phoneticPr fontId="141" type="noConversion"/>
  </si>
  <si>
    <r>
      <t>电流（m</t>
    </r>
    <r>
      <rPr>
        <sz val="12"/>
        <rFont val="宋体"/>
        <family val="3"/>
        <charset val="134"/>
      </rPr>
      <t>A</t>
    </r>
    <r>
      <rPr>
        <sz val="12"/>
        <rFont val="宋体"/>
        <family val="3"/>
        <charset val="134"/>
      </rPr>
      <t>）</t>
    </r>
    <phoneticPr fontId="141" type="noConversion"/>
  </si>
  <si>
    <t>电阻（Ω）</t>
    <phoneticPr fontId="141" type="noConversion"/>
  </si>
  <si>
    <r>
      <t>校准结果的不确定度（</t>
    </r>
    <r>
      <rPr>
        <i/>
        <sz val="12"/>
        <rFont val="宋体"/>
        <family val="3"/>
        <charset val="134"/>
      </rPr>
      <t>k</t>
    </r>
    <r>
      <rPr>
        <sz val="12"/>
        <rFont val="宋体"/>
        <family val="3"/>
        <charset val="134"/>
      </rPr>
      <t>=2）</t>
    </r>
    <phoneticPr fontId="141" type="noConversion"/>
  </si>
  <si>
    <t>读数1</t>
    <phoneticPr fontId="141" type="noConversion"/>
  </si>
  <si>
    <t>读数2</t>
    <phoneticPr fontId="141" type="noConversion"/>
  </si>
  <si>
    <t>读数3</t>
    <phoneticPr fontId="141" type="noConversion"/>
  </si>
  <si>
    <t>读数4</t>
    <phoneticPr fontId="141" type="noConversion"/>
  </si>
  <si>
    <t>读数5</t>
    <phoneticPr fontId="141" type="noConversion"/>
  </si>
  <si>
    <r>
      <t>电流（m</t>
    </r>
    <r>
      <rPr>
        <sz val="12"/>
        <rFont val="宋体"/>
        <family val="3"/>
        <charset val="134"/>
      </rPr>
      <t>A</t>
    </r>
    <r>
      <rPr>
        <sz val="12"/>
        <rFont val="宋体"/>
        <family val="3"/>
        <charset val="134"/>
      </rPr>
      <t>）</t>
    </r>
    <phoneticPr fontId="141" type="noConversion"/>
  </si>
  <si>
    <t>电阻（Ω）</t>
    <phoneticPr fontId="141" type="noConversion"/>
  </si>
  <si>
    <t>读数6</t>
    <phoneticPr fontId="141" type="noConversion"/>
  </si>
  <si>
    <t>读数7</t>
    <phoneticPr fontId="141" type="noConversion"/>
  </si>
  <si>
    <t>读数8</t>
    <phoneticPr fontId="141" type="noConversion"/>
  </si>
  <si>
    <t>读数9</t>
    <phoneticPr fontId="141" type="noConversion"/>
  </si>
  <si>
    <t>读数10</t>
    <phoneticPr fontId="141" type="noConversion"/>
  </si>
  <si>
    <t>测点</t>
    <phoneticPr fontId="141" type="noConversion"/>
  </si>
  <si>
    <t>稳定度(%)/30s</t>
    <phoneticPr fontId="141" type="noConversion"/>
  </si>
  <si>
    <r>
      <t>校准结果的不确定度（</t>
    </r>
    <r>
      <rPr>
        <i/>
        <sz val="12"/>
        <rFont val="宋体"/>
        <family val="3"/>
        <charset val="134"/>
      </rPr>
      <t>k</t>
    </r>
    <r>
      <rPr>
        <sz val="12"/>
        <rFont val="宋体"/>
        <family val="3"/>
        <charset val="134"/>
      </rPr>
      <t>=2）</t>
    </r>
    <phoneticPr fontId="141" type="noConversion"/>
  </si>
  <si>
    <t>读数11</t>
    <phoneticPr fontId="141" type="noConversion"/>
  </si>
  <si>
    <t>读数12</t>
    <phoneticPr fontId="141" type="noConversion"/>
  </si>
  <si>
    <t>读数13</t>
    <phoneticPr fontId="141" type="noConversion"/>
  </si>
  <si>
    <t>读数14</t>
    <phoneticPr fontId="141" type="noConversion"/>
  </si>
  <si>
    <t>读数15</t>
    <phoneticPr fontId="141" type="noConversion"/>
  </si>
  <si>
    <r>
      <t>电阻</t>
    </r>
    <r>
      <rPr>
        <sz val="12"/>
        <rFont val="宋体"/>
        <family val="3"/>
        <charset val="134"/>
      </rPr>
      <t>（kΩ）</t>
    </r>
    <phoneticPr fontId="141" type="noConversion"/>
  </si>
  <si>
    <t>电压表读数(V)</t>
    <phoneticPr fontId="141" type="noConversion"/>
  </si>
  <si>
    <t>读数1</t>
    <phoneticPr fontId="141" type="noConversion"/>
  </si>
  <si>
    <t>读数2</t>
    <phoneticPr fontId="141" type="noConversion"/>
  </si>
  <si>
    <t>读数3</t>
    <phoneticPr fontId="141" type="noConversion"/>
  </si>
  <si>
    <t>读数4</t>
    <phoneticPr fontId="141" type="noConversion"/>
  </si>
  <si>
    <t>参考恒流源稳定度</t>
    <phoneticPr fontId="141" type="noConversion"/>
  </si>
  <si>
    <r>
      <t xml:space="preserve">电阻 </t>
    </r>
    <r>
      <rPr>
        <sz val="12"/>
        <rFont val="宋体"/>
        <family val="3"/>
        <charset val="134"/>
      </rPr>
      <t xml:space="preserve">  </t>
    </r>
    <r>
      <rPr>
        <sz val="12"/>
        <rFont val="宋体"/>
        <family val="3"/>
        <charset val="134"/>
      </rPr>
      <t>（kΩ）</t>
    </r>
    <phoneticPr fontId="141" type="noConversion"/>
  </si>
  <si>
    <r>
      <t>正向测量  δ</t>
    </r>
    <r>
      <rPr>
        <vertAlign val="subscript"/>
        <sz val="12"/>
        <rFont val="宋体"/>
        <family val="3"/>
        <charset val="134"/>
      </rPr>
      <t>x1</t>
    </r>
    <r>
      <rPr>
        <sz val="12"/>
        <rFont val="宋体"/>
        <family val="3"/>
        <charset val="134"/>
      </rPr>
      <t>(×10</t>
    </r>
    <r>
      <rPr>
        <vertAlign val="superscript"/>
        <sz val="12"/>
        <rFont val="宋体"/>
        <family val="3"/>
        <charset val="134"/>
      </rPr>
      <t>-6</t>
    </r>
    <r>
      <rPr>
        <sz val="12"/>
        <rFont val="宋体"/>
        <family val="3"/>
        <charset val="134"/>
      </rPr>
      <t>)</t>
    </r>
    <phoneticPr fontId="141" type="noConversion"/>
  </si>
  <si>
    <r>
      <t>反向测量  δ</t>
    </r>
    <r>
      <rPr>
        <vertAlign val="subscript"/>
        <sz val="12"/>
        <rFont val="宋体"/>
        <family val="3"/>
        <charset val="134"/>
      </rPr>
      <t>x2</t>
    </r>
    <r>
      <rPr>
        <sz val="12"/>
        <rFont val="宋体"/>
        <family val="3"/>
        <charset val="134"/>
      </rPr>
      <t>(×10</t>
    </r>
    <r>
      <rPr>
        <vertAlign val="superscript"/>
        <sz val="12"/>
        <rFont val="宋体"/>
        <family val="3"/>
        <charset val="134"/>
      </rPr>
      <t>-6</t>
    </r>
    <r>
      <rPr>
        <sz val="12"/>
        <rFont val="宋体"/>
        <family val="3"/>
        <charset val="134"/>
      </rPr>
      <t>)</t>
    </r>
    <phoneticPr fontId="141" type="noConversion"/>
  </si>
  <si>
    <r>
      <t>测量平均值  δ</t>
    </r>
    <r>
      <rPr>
        <vertAlign val="subscript"/>
        <sz val="12"/>
        <rFont val="宋体"/>
        <family val="3"/>
        <charset val="134"/>
      </rPr>
      <t>x</t>
    </r>
    <r>
      <rPr>
        <sz val="12"/>
        <rFont val="宋体"/>
        <family val="3"/>
        <charset val="134"/>
      </rPr>
      <t>（×10</t>
    </r>
    <r>
      <rPr>
        <vertAlign val="superscript"/>
        <sz val="12"/>
        <rFont val="宋体"/>
        <family val="3"/>
        <charset val="134"/>
      </rPr>
      <t>-6</t>
    </r>
    <r>
      <rPr>
        <sz val="12"/>
        <rFont val="宋体"/>
        <family val="3"/>
        <charset val="134"/>
      </rPr>
      <t>）</t>
    </r>
    <phoneticPr fontId="141" type="noConversion"/>
  </si>
  <si>
    <t>实际值（Ω）</t>
    <phoneticPr fontId="141" type="noConversion"/>
  </si>
  <si>
    <t xml:space="preserve">检定电流 </t>
    <phoneticPr fontId="141" type="noConversion"/>
  </si>
  <si>
    <t>标称值</t>
    <phoneticPr fontId="141" type="noConversion"/>
  </si>
  <si>
    <t>Rn(Ω)</t>
    <phoneticPr fontId="141" type="noConversion"/>
  </si>
  <si>
    <t>没有给出检定证书模板</t>
    <phoneticPr fontId="141" type="noConversion"/>
  </si>
  <si>
    <t>（Ω）</t>
    <phoneticPr fontId="141" type="noConversion"/>
  </si>
  <si>
    <t>（A）</t>
    <phoneticPr fontId="141" type="noConversion"/>
  </si>
  <si>
    <t>标称值（Ω）</t>
    <phoneticPr fontId="141" type="noConversion"/>
  </si>
  <si>
    <r>
      <t>R</t>
    </r>
    <r>
      <rPr>
        <vertAlign val="subscript"/>
        <sz val="12"/>
        <rFont val="宋体"/>
        <family val="3"/>
        <charset val="134"/>
      </rPr>
      <t>20</t>
    </r>
    <r>
      <rPr>
        <sz val="12"/>
        <rFont val="宋体"/>
        <family val="3"/>
        <charset val="134"/>
      </rPr>
      <t>(Ω)</t>
    </r>
    <phoneticPr fontId="141" type="noConversion"/>
  </si>
  <si>
    <t>检定电流（A）</t>
    <phoneticPr fontId="141" type="noConversion"/>
  </si>
  <si>
    <r>
      <t>校准不确定度（</t>
    </r>
    <r>
      <rPr>
        <i/>
        <sz val="12"/>
        <rFont val="宋体"/>
        <family val="3"/>
        <charset val="134"/>
      </rPr>
      <t>k</t>
    </r>
    <r>
      <rPr>
        <sz val="12"/>
        <rFont val="宋体"/>
        <family val="3"/>
        <charset val="134"/>
      </rPr>
      <t>=2）</t>
    </r>
    <phoneticPr fontId="141" type="noConversion"/>
  </si>
  <si>
    <t xml:space="preserve">注：  </t>
    <phoneticPr fontId="141" type="noConversion"/>
  </si>
  <si>
    <t>检定证书</t>
    <phoneticPr fontId="141" type="noConversion"/>
  </si>
  <si>
    <t>校准证书</t>
    <phoneticPr fontId="141" type="noConversion"/>
  </si>
  <si>
    <t>被测电阻</t>
    <phoneticPr fontId="141" type="noConversion"/>
  </si>
  <si>
    <t xml:space="preserve"> 二等标准电阻</t>
    <phoneticPr fontId="141" type="noConversion"/>
  </si>
  <si>
    <r>
      <t>A</t>
    </r>
    <r>
      <rPr>
        <vertAlign val="subscript"/>
        <sz val="12"/>
        <rFont val="宋体"/>
        <family val="3"/>
        <charset val="134"/>
      </rPr>
      <t>x</t>
    </r>
    <r>
      <rPr>
        <sz val="12"/>
        <rFont val="宋体"/>
        <family val="3"/>
        <charset val="134"/>
      </rPr>
      <t>(V)</t>
    </r>
    <phoneticPr fontId="141" type="noConversion"/>
  </si>
  <si>
    <r>
      <t>A</t>
    </r>
    <r>
      <rPr>
        <vertAlign val="subscript"/>
        <sz val="12"/>
        <rFont val="宋体"/>
        <family val="3"/>
        <charset val="134"/>
      </rPr>
      <t>N</t>
    </r>
    <r>
      <rPr>
        <sz val="12"/>
        <rFont val="宋体"/>
        <family val="3"/>
        <charset val="134"/>
      </rPr>
      <t>(V)</t>
    </r>
    <phoneticPr fontId="141" type="noConversion"/>
  </si>
  <si>
    <r>
      <t>实际值</t>
    </r>
    <r>
      <rPr>
        <i/>
        <sz val="12"/>
        <rFont val="宋体"/>
        <family val="3"/>
        <charset val="134"/>
      </rPr>
      <t>R</t>
    </r>
    <r>
      <rPr>
        <vertAlign val="subscript"/>
        <sz val="12"/>
        <rFont val="宋体"/>
        <family val="3"/>
        <charset val="134"/>
      </rPr>
      <t>x</t>
    </r>
    <r>
      <rPr>
        <sz val="12"/>
        <rFont val="宋体"/>
        <family val="3"/>
        <charset val="134"/>
      </rPr>
      <t>（Ω）</t>
    </r>
    <phoneticPr fontId="141" type="noConversion"/>
  </si>
  <si>
    <t>检定电流</t>
    <phoneticPr fontId="141" type="noConversion"/>
  </si>
  <si>
    <t>标称值（Ω）</t>
    <phoneticPr fontId="141" type="noConversion"/>
  </si>
  <si>
    <r>
      <t>R</t>
    </r>
    <r>
      <rPr>
        <vertAlign val="subscript"/>
        <sz val="12"/>
        <rFont val="宋体"/>
        <family val="3"/>
        <charset val="134"/>
      </rPr>
      <t>20</t>
    </r>
    <r>
      <rPr>
        <sz val="12"/>
        <rFont val="宋体"/>
        <family val="3"/>
        <charset val="134"/>
      </rPr>
      <t>(Ω)</t>
    </r>
    <phoneticPr fontId="141" type="noConversion"/>
  </si>
  <si>
    <t>检定电流（A）</t>
    <phoneticPr fontId="141" type="noConversion"/>
  </si>
  <si>
    <r>
      <t>校准不确定度（</t>
    </r>
    <r>
      <rPr>
        <i/>
        <sz val="12"/>
        <rFont val="宋体"/>
        <family val="3"/>
        <charset val="134"/>
      </rPr>
      <t>k</t>
    </r>
    <r>
      <rPr>
        <sz val="12"/>
        <rFont val="宋体"/>
        <family val="3"/>
        <charset val="134"/>
      </rPr>
      <t>=2）</t>
    </r>
    <phoneticPr fontId="141" type="noConversion"/>
  </si>
  <si>
    <t>标称值</t>
    <phoneticPr fontId="141" type="noConversion"/>
  </si>
  <si>
    <t>编号</t>
    <phoneticPr fontId="141" type="noConversion"/>
  </si>
  <si>
    <r>
      <t>R</t>
    </r>
    <r>
      <rPr>
        <vertAlign val="subscript"/>
        <sz val="12"/>
        <rFont val="宋体"/>
        <family val="3"/>
        <charset val="134"/>
      </rPr>
      <t>n</t>
    </r>
    <r>
      <rPr>
        <sz val="12"/>
        <rFont val="宋体"/>
        <family val="3"/>
        <charset val="134"/>
      </rPr>
      <t>(Ω)</t>
    </r>
    <phoneticPr fontId="141" type="noConversion"/>
  </si>
  <si>
    <t>（Ω）</t>
    <phoneticPr fontId="141" type="noConversion"/>
  </si>
  <si>
    <t>（A）</t>
    <phoneticPr fontId="141" type="noConversion"/>
  </si>
  <si>
    <t>检定证书</t>
    <phoneticPr fontId="141" type="noConversion"/>
  </si>
  <si>
    <t>规程名称：JJG 125-2004 直流电桥检定规程</t>
    <phoneticPr fontId="141" type="noConversion"/>
  </si>
  <si>
    <t>检定、校准</t>
    <phoneticPr fontId="141" type="noConversion"/>
  </si>
  <si>
    <t>备注</t>
    <phoneticPr fontId="141" type="noConversion"/>
  </si>
  <si>
    <t>合格、不合格、/</t>
    <phoneticPr fontId="141" type="noConversion"/>
  </si>
  <si>
    <t>不测</t>
    <phoneticPr fontId="141" type="noConversion"/>
  </si>
  <si>
    <t>分两类，单桥基本量程（行数存在变化）和单桥其他量程（行不变）、双桥基本量程（滑线盘和步进盘）、双桥其他量程（行不变）、示值</t>
    <phoneticPr fontId="141" type="noConversion"/>
  </si>
  <si>
    <t>单桥、双桥</t>
    <phoneticPr fontId="141" type="noConversion"/>
  </si>
  <si>
    <t>基本误差-单桥</t>
    <phoneticPr fontId="141" type="noConversion"/>
  </si>
  <si>
    <t>1.基本量程：   ×1</t>
    <phoneticPr fontId="141" type="noConversion"/>
  </si>
  <si>
    <t>单桥双桥报告模板没有提供</t>
    <phoneticPr fontId="141" type="noConversion"/>
  </si>
  <si>
    <t>序号</t>
    <phoneticPr fontId="141" type="noConversion"/>
  </si>
  <si>
    <t>×</t>
    <phoneticPr fontId="141" type="noConversion"/>
  </si>
  <si>
    <t>1000Ω</t>
    <phoneticPr fontId="141" type="noConversion"/>
  </si>
  <si>
    <t>100Ω</t>
    <phoneticPr fontId="141" type="noConversion"/>
  </si>
  <si>
    <t>实际值(Ω)</t>
    <phoneticPr fontId="141" type="noConversion"/>
  </si>
  <si>
    <t>标称值(Ω)</t>
    <phoneticPr fontId="141" type="noConversion"/>
  </si>
  <si>
    <t>误差(%)</t>
    <phoneticPr fontId="141" type="noConversion"/>
  </si>
  <si>
    <t>±2</t>
    <phoneticPr fontId="141" type="noConversion"/>
  </si>
  <si>
    <r>
      <t>±0.</t>
    </r>
    <r>
      <rPr>
        <sz val="12"/>
        <rFont val="宋体"/>
        <family val="3"/>
        <charset val="134"/>
      </rPr>
      <t>5</t>
    </r>
    <phoneticPr fontId="141" type="noConversion"/>
  </si>
  <si>
    <t>10Ω</t>
    <phoneticPr fontId="141" type="noConversion"/>
  </si>
  <si>
    <t>1Ω</t>
    <phoneticPr fontId="141" type="noConversion"/>
  </si>
  <si>
    <r>
      <t>±0.</t>
    </r>
    <r>
      <rPr>
        <sz val="12"/>
        <rFont val="宋体"/>
        <family val="3"/>
        <charset val="134"/>
      </rPr>
      <t>2</t>
    </r>
    <phoneticPr fontId="141" type="noConversion"/>
  </si>
  <si>
    <t xml:space="preserve">注：测量×100Ω、×10Ω、×1Ω盘时，×1000Ω盘放置第1点。                                                                                                   </t>
    <phoneticPr fontId="141" type="noConversion"/>
  </si>
  <si>
    <r>
      <t>2.其它量程</t>
    </r>
    <r>
      <rPr>
        <sz val="12"/>
        <rFont val="宋体"/>
        <family val="3"/>
        <charset val="134"/>
      </rPr>
      <t xml:space="preserve"> </t>
    </r>
    <phoneticPr fontId="141" type="noConversion"/>
  </si>
  <si>
    <t>测量盘</t>
    <phoneticPr fontId="141" type="noConversion"/>
  </si>
  <si>
    <r>
      <t xml:space="preserve">允许 </t>
    </r>
    <r>
      <rPr>
        <sz val="12"/>
        <rFont val="宋体"/>
        <family val="3"/>
        <charset val="134"/>
      </rPr>
      <t xml:space="preserve">   </t>
    </r>
    <r>
      <rPr>
        <sz val="12"/>
        <rFont val="宋体"/>
        <family val="3"/>
        <charset val="134"/>
      </rPr>
      <t>误差（%）</t>
    </r>
    <phoneticPr fontId="141" type="noConversion"/>
  </si>
  <si>
    <t>×1000Ω</t>
    <phoneticPr fontId="141" type="noConversion"/>
  </si>
  <si>
    <t>第</t>
    <phoneticPr fontId="141" type="noConversion"/>
  </si>
  <si>
    <t>点</t>
    <phoneticPr fontId="141" type="noConversion"/>
  </si>
  <si>
    <r>
      <t>±0.</t>
    </r>
    <r>
      <rPr>
        <sz val="12"/>
        <rFont val="宋体"/>
        <family val="3"/>
        <charset val="134"/>
      </rPr>
      <t>5</t>
    </r>
    <phoneticPr fontId="141" type="noConversion"/>
  </si>
  <si>
    <r>
      <t>±0.</t>
    </r>
    <r>
      <rPr>
        <sz val="12"/>
        <rFont val="宋体"/>
        <family val="3"/>
        <charset val="134"/>
      </rPr>
      <t>2</t>
    </r>
    <phoneticPr fontId="141" type="noConversion"/>
  </si>
  <si>
    <t>基本误差-双桥</t>
    <phoneticPr fontId="141" type="noConversion"/>
  </si>
  <si>
    <t>1.基本量程：   ×100</t>
    <phoneticPr fontId="141" type="noConversion"/>
  </si>
  <si>
    <t>（1）滑线盘：</t>
    <phoneticPr fontId="141" type="noConversion"/>
  </si>
  <si>
    <t>测量盘示值（Ω）</t>
    <phoneticPr fontId="141" type="noConversion"/>
  </si>
  <si>
    <t>±0.2</t>
    <phoneticPr fontId="141" type="noConversion"/>
  </si>
  <si>
    <t>(2)步进盘：同步进盘</t>
    <phoneticPr fontId="141" type="noConversion"/>
  </si>
  <si>
    <r>
      <t>0</t>
    </r>
    <r>
      <rPr>
        <sz val="12"/>
        <rFont val="宋体"/>
        <family val="3"/>
        <charset val="134"/>
      </rPr>
      <t>.01+0.01</t>
    </r>
    <phoneticPr fontId="141" type="noConversion"/>
  </si>
  <si>
    <r>
      <t>0</t>
    </r>
    <r>
      <rPr>
        <sz val="12"/>
        <rFont val="宋体"/>
        <family val="3"/>
        <charset val="134"/>
      </rPr>
      <t>.01+0.02</t>
    </r>
    <phoneticPr fontId="141" type="noConversion"/>
  </si>
  <si>
    <r>
      <t>0</t>
    </r>
    <r>
      <rPr>
        <sz val="12"/>
        <rFont val="宋体"/>
        <family val="3"/>
        <charset val="134"/>
      </rPr>
      <t>.01+0.03</t>
    </r>
    <phoneticPr fontId="141" type="noConversion"/>
  </si>
  <si>
    <r>
      <t>0</t>
    </r>
    <r>
      <rPr>
        <sz val="12"/>
        <rFont val="宋体"/>
        <family val="3"/>
        <charset val="134"/>
      </rPr>
      <t>.01+0.04</t>
    </r>
    <phoneticPr fontId="141" type="noConversion"/>
  </si>
  <si>
    <r>
      <t>0</t>
    </r>
    <r>
      <rPr>
        <sz val="12"/>
        <rFont val="宋体"/>
        <family val="3"/>
        <charset val="134"/>
      </rPr>
      <t>.01+0.05</t>
    </r>
    <phoneticPr fontId="141" type="noConversion"/>
  </si>
  <si>
    <r>
      <t>0</t>
    </r>
    <r>
      <rPr>
        <sz val="12"/>
        <rFont val="宋体"/>
        <family val="3"/>
        <charset val="134"/>
      </rPr>
      <t>.01+0.06</t>
    </r>
    <phoneticPr fontId="141" type="noConversion"/>
  </si>
  <si>
    <r>
      <t>0</t>
    </r>
    <r>
      <rPr>
        <sz val="12"/>
        <rFont val="宋体"/>
        <family val="3"/>
        <charset val="134"/>
      </rPr>
      <t>.01+0.07</t>
    </r>
    <phoneticPr fontId="141" type="noConversion"/>
  </si>
  <si>
    <r>
      <t>0</t>
    </r>
    <r>
      <rPr>
        <sz val="12"/>
        <rFont val="宋体"/>
        <family val="3"/>
        <charset val="134"/>
      </rPr>
      <t>.01+0.08</t>
    </r>
    <phoneticPr fontId="141" type="noConversion"/>
  </si>
  <si>
    <r>
      <t>0</t>
    </r>
    <r>
      <rPr>
        <sz val="12"/>
        <rFont val="宋体"/>
        <family val="3"/>
        <charset val="134"/>
      </rPr>
      <t>.01+0.09</t>
    </r>
    <phoneticPr fontId="141" type="noConversion"/>
  </si>
  <si>
    <r>
      <t>0</t>
    </r>
    <r>
      <rPr>
        <sz val="12"/>
        <rFont val="宋体"/>
        <family val="3"/>
        <charset val="134"/>
      </rPr>
      <t>.01+0.10</t>
    </r>
    <phoneticPr fontId="141" type="noConversion"/>
  </si>
  <si>
    <t>2.其它量程</t>
    <phoneticPr fontId="141" type="noConversion"/>
  </si>
  <si>
    <t>误差 (%)</t>
    <phoneticPr fontId="141" type="noConversion"/>
  </si>
  <si>
    <r>
      <t>×1</t>
    </r>
    <r>
      <rPr>
        <sz val="12"/>
        <rFont val="宋体"/>
        <family val="3"/>
        <charset val="134"/>
      </rPr>
      <t>0</t>
    </r>
    <phoneticPr fontId="141" type="noConversion"/>
  </si>
  <si>
    <t>0.01+0.09</t>
    <phoneticPr fontId="141" type="noConversion"/>
  </si>
  <si>
    <r>
      <t>×1</t>
    </r>
    <r>
      <rPr>
        <sz val="12"/>
        <rFont val="宋体"/>
        <family val="3"/>
        <charset val="134"/>
      </rPr>
      <t/>
    </r>
    <phoneticPr fontId="141" type="noConversion"/>
  </si>
  <si>
    <r>
      <t>×0</t>
    </r>
    <r>
      <rPr>
        <sz val="12"/>
        <rFont val="宋体"/>
        <family val="3"/>
        <charset val="134"/>
      </rPr>
      <t>.1</t>
    </r>
    <phoneticPr fontId="141" type="noConversion"/>
  </si>
  <si>
    <t>±0.5</t>
    <phoneticPr fontId="141" type="noConversion"/>
  </si>
  <si>
    <r>
      <t>×0</t>
    </r>
    <r>
      <rPr>
        <sz val="12"/>
        <rFont val="宋体"/>
        <family val="3"/>
        <charset val="134"/>
      </rPr>
      <t>.01</t>
    </r>
    <phoneticPr fontId="141" type="noConversion"/>
  </si>
  <si>
    <t>±1</t>
    <phoneticPr fontId="141" type="noConversion"/>
  </si>
  <si>
    <t>基本误差-示值</t>
    <phoneticPr fontId="141" type="noConversion"/>
  </si>
  <si>
    <t>允许误差(%)</t>
    <phoneticPr fontId="141" type="noConversion"/>
  </si>
  <si>
    <t>mΩ</t>
    <phoneticPr fontId="141" type="noConversion"/>
  </si>
  <si>
    <t>±0.5</t>
    <phoneticPr fontId="141" type="noConversion"/>
  </si>
  <si>
    <t>Ω</t>
    <phoneticPr fontId="141" type="noConversion"/>
  </si>
  <si>
    <t>±0.5</t>
    <phoneticPr fontId="141" type="noConversion"/>
  </si>
  <si>
    <t>mΩ</t>
    <phoneticPr fontId="141" type="noConversion"/>
  </si>
  <si>
    <t>±0.5</t>
    <phoneticPr fontId="141" type="noConversion"/>
  </si>
  <si>
    <t>单位自己选择，规定选定量程单位后，标准值、显示值单位与量程保持一致</t>
    <phoneticPr fontId="141" type="noConversion"/>
  </si>
  <si>
    <t>kΩ</t>
    <phoneticPr fontId="141" type="noConversion"/>
  </si>
  <si>
    <t>Ω</t>
    <phoneticPr fontId="141" type="noConversion"/>
  </si>
  <si>
    <t>±0.5</t>
    <phoneticPr fontId="141" type="noConversion"/>
  </si>
  <si>
    <t>±0.5</t>
    <phoneticPr fontId="141" type="noConversion"/>
  </si>
  <si>
    <t>Ω</t>
    <phoneticPr fontId="141" type="noConversion"/>
  </si>
  <si>
    <t>±0.5</t>
    <phoneticPr fontId="141" type="noConversion"/>
  </si>
  <si>
    <t>±0.5</t>
    <phoneticPr fontId="141" type="noConversion"/>
  </si>
  <si>
    <r>
      <t>2</t>
    </r>
    <r>
      <rPr>
        <sz val="12"/>
        <rFont val="宋体"/>
        <family val="3"/>
        <charset val="134"/>
      </rPr>
      <t>k</t>
    </r>
    <phoneticPr fontId="141" type="noConversion"/>
  </si>
  <si>
    <t>Ω</t>
    <phoneticPr fontId="141" type="noConversion"/>
  </si>
  <si>
    <t>±0.5</t>
    <phoneticPr fontId="141" type="noConversion"/>
  </si>
  <si>
    <t>±0.5</t>
    <phoneticPr fontId="141" type="noConversion"/>
  </si>
  <si>
    <r>
      <t>2</t>
    </r>
    <r>
      <rPr>
        <sz val="12"/>
        <rFont val="宋体"/>
        <family val="3"/>
        <charset val="134"/>
      </rPr>
      <t>0k</t>
    </r>
    <phoneticPr fontId="141" type="noConversion"/>
  </si>
  <si>
    <t>Ω</t>
    <phoneticPr fontId="141" type="noConversion"/>
  </si>
  <si>
    <t>±0.5</t>
    <phoneticPr fontId="141" type="noConversion"/>
  </si>
  <si>
    <t>±0.5</t>
    <phoneticPr fontId="141" type="noConversion"/>
  </si>
  <si>
    <t>备注</t>
    <phoneticPr fontId="141" type="noConversion"/>
  </si>
  <si>
    <t>合格、不合格</t>
    <phoneticPr fontId="141" type="noConversion"/>
  </si>
  <si>
    <t>数据录入</t>
    <phoneticPr fontId="141" type="noConversion"/>
  </si>
  <si>
    <r>
      <t>数据录入，分电压示值，无电压示值，做方案时，由实验人员判断，是否带电压示值列。JJG 982-2003 直流电阻箱检定规程-HY16505-2015和</t>
    </r>
    <r>
      <rPr>
        <sz val="12"/>
        <rFont val="宋体"/>
        <family val="3"/>
        <charset val="134"/>
      </rPr>
      <t>JJG 982-2003 直流电阻箱检定规程-065京能36（015)-2014表构造不一样。</t>
    </r>
    <phoneticPr fontId="141" type="noConversion"/>
  </si>
  <si>
    <t>检定证书</t>
    <phoneticPr fontId="141" type="noConversion"/>
  </si>
  <si>
    <t>无校准证书，是否有不确定度</t>
    <phoneticPr fontId="141" type="noConversion"/>
  </si>
  <si>
    <t>四、残余电阻：</t>
    <phoneticPr fontId="141" type="noConversion"/>
  </si>
  <si>
    <t>序号</t>
    <phoneticPr fontId="141" type="noConversion"/>
  </si>
  <si>
    <t>电压（mV）</t>
    <phoneticPr fontId="141" type="noConversion"/>
  </si>
  <si>
    <t>检定电流(A)</t>
    <phoneticPr fontId="141" type="noConversion"/>
  </si>
  <si>
    <t>残余电阻（mΩ）</t>
    <phoneticPr fontId="141" type="noConversion"/>
  </si>
  <si>
    <t>平均值（mΩ）</t>
    <phoneticPr fontId="141" type="noConversion"/>
  </si>
  <si>
    <t>允许值（mΩ）</t>
    <phoneticPr fontId="141" type="noConversion"/>
  </si>
  <si>
    <t>行数固定</t>
    <phoneticPr fontId="141" type="noConversion"/>
  </si>
  <si>
    <t>五、开关变差：</t>
    <phoneticPr fontId="141" type="noConversion"/>
  </si>
  <si>
    <t>合格</t>
    <phoneticPr fontId="141" type="noConversion"/>
  </si>
  <si>
    <t>检定证书</t>
    <phoneticPr fontId="141" type="noConversion"/>
  </si>
  <si>
    <t>无校准证书，是否有不确定度</t>
    <phoneticPr fontId="141" type="noConversion"/>
  </si>
  <si>
    <t>检定电流:</t>
    <phoneticPr fontId="141" type="noConversion"/>
  </si>
  <si>
    <t>末盘步进：</t>
    <phoneticPr fontId="141" type="noConversion"/>
  </si>
  <si>
    <t>末盘等级指数：</t>
    <phoneticPr fontId="141" type="noConversion"/>
  </si>
  <si>
    <t>末盘等级指数：</t>
    <phoneticPr fontId="141" type="noConversion"/>
  </si>
  <si>
    <t>检定电流:</t>
    <phoneticPr fontId="141" type="noConversion"/>
  </si>
  <si>
    <t>末盘步进：</t>
    <phoneticPr fontId="141" type="noConversion"/>
  </si>
  <si>
    <t>末盘等级指数：</t>
    <phoneticPr fontId="141" type="noConversion"/>
  </si>
  <si>
    <t>序号</t>
    <phoneticPr fontId="141" type="noConversion"/>
  </si>
  <si>
    <r>
      <t>U</t>
    </r>
    <r>
      <rPr>
        <vertAlign val="subscript"/>
        <sz val="12"/>
        <rFont val="宋体"/>
        <family val="3"/>
        <charset val="134"/>
      </rPr>
      <t>i</t>
    </r>
    <r>
      <rPr>
        <sz val="12"/>
        <rFont val="宋体"/>
        <family val="3"/>
        <charset val="134"/>
      </rPr>
      <t>(mV)</t>
    </r>
    <phoneticPr fontId="141" type="noConversion"/>
  </si>
  <si>
    <r>
      <t>M</t>
    </r>
    <r>
      <rPr>
        <vertAlign val="subscript"/>
        <sz val="12"/>
        <rFont val="宋体"/>
        <family val="3"/>
        <charset val="134"/>
      </rPr>
      <t>i</t>
    </r>
    <r>
      <rPr>
        <sz val="12"/>
        <rFont val="宋体"/>
        <family val="3"/>
        <charset val="134"/>
      </rPr>
      <t>(mΩ)</t>
    </r>
    <phoneticPr fontId="141" type="noConversion"/>
  </si>
  <si>
    <r>
      <t>∆</t>
    </r>
    <r>
      <rPr>
        <vertAlign val="subscript"/>
        <sz val="12"/>
        <rFont val="宋体"/>
        <family val="3"/>
        <charset val="134"/>
      </rPr>
      <t>i</t>
    </r>
    <r>
      <rPr>
        <sz val="12"/>
        <rFont val="宋体"/>
        <family val="3"/>
        <charset val="134"/>
      </rPr>
      <t>（mΩ）</t>
    </r>
    <phoneticPr fontId="141" type="noConversion"/>
  </si>
  <si>
    <t>开关变差（mΩ）</t>
    <phoneticPr fontId="141" type="noConversion"/>
  </si>
  <si>
    <t>允许变差（mΩ）</t>
    <phoneticPr fontId="141" type="noConversion"/>
  </si>
  <si>
    <t>/</t>
    <phoneticPr fontId="141" type="noConversion"/>
  </si>
  <si>
    <t>行数不定</t>
    <phoneticPr fontId="141" type="noConversion"/>
  </si>
  <si>
    <t>六、示值误差：</t>
    <phoneticPr fontId="141" type="noConversion"/>
  </si>
  <si>
    <t>合格</t>
    <phoneticPr fontId="141" type="noConversion"/>
  </si>
  <si>
    <t>序号</t>
    <phoneticPr fontId="141" type="noConversion"/>
  </si>
  <si>
    <t>MΩ</t>
    <phoneticPr fontId="141" type="noConversion"/>
  </si>
  <si>
    <t>kΩ</t>
    <phoneticPr fontId="141" type="noConversion"/>
  </si>
  <si>
    <t>MΩ</t>
    <phoneticPr fontId="141" type="noConversion"/>
  </si>
  <si>
    <t>KΩ</t>
    <phoneticPr fontId="141" type="noConversion"/>
  </si>
  <si>
    <t>序号</t>
    <phoneticPr fontId="141" type="noConversion"/>
  </si>
  <si>
    <t>MΩ</t>
    <phoneticPr fontId="141" type="noConversion"/>
  </si>
  <si>
    <t>kΩ</t>
    <phoneticPr fontId="141" type="noConversion"/>
  </si>
  <si>
    <t>检定电流:</t>
    <phoneticPr fontId="141" type="noConversion"/>
  </si>
  <si>
    <t>A</t>
    <phoneticPr fontId="141" type="noConversion"/>
  </si>
  <si>
    <t>A</t>
    <phoneticPr fontId="141" type="noConversion"/>
  </si>
  <si>
    <t>检定电流:</t>
    <phoneticPr fontId="141" type="noConversion"/>
  </si>
  <si>
    <t>A</t>
    <phoneticPr fontId="141" type="noConversion"/>
  </si>
  <si>
    <t>检定电流:</t>
    <phoneticPr fontId="141" type="noConversion"/>
  </si>
  <si>
    <t>实际值(MΩ)</t>
    <phoneticPr fontId="141" type="noConversion"/>
  </si>
  <si>
    <t>误差(%)</t>
    <phoneticPr fontId="141" type="noConversion"/>
  </si>
  <si>
    <t>校准不确定度(k=2)</t>
    <phoneticPr fontId="141" type="noConversion"/>
  </si>
  <si>
    <t>实际值(kΩ)</t>
    <phoneticPr fontId="141" type="noConversion"/>
  </si>
  <si>
    <r>
      <t>误差/校准不确定度</t>
    </r>
    <r>
      <rPr>
        <sz val="12"/>
        <rFont val="宋体"/>
        <family val="3"/>
        <charset val="134"/>
      </rPr>
      <t>(k=2)</t>
    </r>
    <phoneticPr fontId="141" type="noConversion"/>
  </si>
  <si>
    <t>实际值(Ω)</t>
    <phoneticPr fontId="141" type="noConversion"/>
  </si>
  <si>
    <t>误差(%)</t>
    <phoneticPr fontId="141" type="noConversion"/>
  </si>
  <si>
    <t>实际值(MΩ)</t>
    <phoneticPr fontId="141" type="noConversion"/>
  </si>
  <si>
    <t>校准不确定度(k=2)</t>
    <phoneticPr fontId="141" type="noConversion"/>
  </si>
  <si>
    <t>实际值(kΩ)</t>
    <phoneticPr fontId="141" type="noConversion"/>
  </si>
  <si>
    <t>误差（%）</t>
    <phoneticPr fontId="141" type="noConversion"/>
  </si>
  <si>
    <t>不带电压士值</t>
    <phoneticPr fontId="141" type="noConversion"/>
  </si>
  <si>
    <t>允许误差(%)</t>
    <phoneticPr fontId="141" type="noConversion"/>
  </si>
  <si>
    <t>±</t>
    <phoneticPr fontId="141" type="noConversion"/>
  </si>
  <si>
    <t>±</t>
    <phoneticPr fontId="141" type="noConversion"/>
  </si>
  <si>
    <t>允许误差(%)</t>
    <phoneticPr fontId="141" type="noConversion"/>
  </si>
  <si>
    <t>±</t>
    <phoneticPr fontId="141" type="noConversion"/>
  </si>
  <si>
    <r>
      <t>±0</t>
    </r>
    <r>
      <rPr>
        <sz val="12"/>
        <rFont val="宋体"/>
        <family val="3"/>
        <charset val="134"/>
      </rPr>
      <t>.01</t>
    </r>
    <phoneticPr fontId="141" type="noConversion"/>
  </si>
  <si>
    <t>电阻箱</t>
    <phoneticPr fontId="141" type="noConversion"/>
  </si>
  <si>
    <t>序号</t>
    <phoneticPr fontId="141" type="noConversion"/>
  </si>
  <si>
    <t>Ω</t>
    <phoneticPr fontId="141" type="noConversion"/>
  </si>
  <si>
    <t>Ω</t>
    <phoneticPr fontId="141" type="noConversion"/>
  </si>
  <si>
    <t>Ω</t>
    <phoneticPr fontId="141" type="noConversion"/>
  </si>
  <si>
    <t>A</t>
    <phoneticPr fontId="141" type="noConversion"/>
  </si>
  <si>
    <t>A</t>
    <phoneticPr fontId="141" type="noConversion"/>
  </si>
  <si>
    <t>检定电流:</t>
    <phoneticPr fontId="141" type="noConversion"/>
  </si>
  <si>
    <t>电压示值(V)</t>
    <phoneticPr fontId="141" type="noConversion"/>
  </si>
  <si>
    <t>实际值(Ω)</t>
    <phoneticPr fontId="141" type="noConversion"/>
  </si>
  <si>
    <t>误差(%)
/校准不确定度(k=2)</t>
    <phoneticPr fontId="141" type="noConversion"/>
  </si>
  <si>
    <t>电压示值(V)</t>
    <phoneticPr fontId="141" type="noConversion"/>
  </si>
  <si>
    <t>误差(%)</t>
    <phoneticPr fontId="141" type="noConversion"/>
  </si>
  <si>
    <t>校准不确定度(k=2)</t>
    <phoneticPr fontId="141" type="noConversion"/>
  </si>
  <si>
    <t>带电压士值，表格重复不定，表格行数固定</t>
    <phoneticPr fontId="141" type="noConversion"/>
  </si>
  <si>
    <t>末盘要选择是否减残余电阻示值平均值？</t>
    <phoneticPr fontId="141" type="noConversion"/>
  </si>
  <si>
    <t>允许误差(%)</t>
    <phoneticPr fontId="141" type="noConversion"/>
  </si>
  <si>
    <t>±</t>
    <phoneticPr fontId="141" type="noConversion"/>
  </si>
  <si>
    <t>允许误差(%)</t>
    <phoneticPr fontId="141" type="noConversion"/>
  </si>
  <si>
    <t>±</t>
    <phoneticPr fontId="141" type="noConversion"/>
  </si>
  <si>
    <t>±</t>
    <phoneticPr fontId="141" type="noConversion"/>
  </si>
  <si>
    <t>示值误差-测量盘R0电阻</t>
    <phoneticPr fontId="141" type="noConversion"/>
  </si>
  <si>
    <r>
      <t>测量盘</t>
    </r>
    <r>
      <rPr>
        <i/>
        <sz val="12"/>
        <rFont val="宋体"/>
        <family val="3"/>
        <charset val="134"/>
      </rPr>
      <t>R</t>
    </r>
    <r>
      <rPr>
        <vertAlign val="subscript"/>
        <sz val="12"/>
        <rFont val="宋体"/>
        <family val="3"/>
        <charset val="134"/>
      </rPr>
      <t>0</t>
    </r>
    <r>
      <rPr>
        <sz val="12"/>
        <rFont val="宋体"/>
        <family val="3"/>
        <charset val="134"/>
      </rPr>
      <t>电阻（外臂）</t>
    </r>
    <phoneticPr fontId="141" type="noConversion"/>
  </si>
  <si>
    <r>
      <t>测量盘</t>
    </r>
    <r>
      <rPr>
        <i/>
        <sz val="12"/>
        <rFont val="宋体"/>
        <family val="3"/>
        <charset val="134"/>
      </rPr>
      <t>R</t>
    </r>
    <r>
      <rPr>
        <vertAlign val="subscript"/>
        <sz val="12"/>
        <rFont val="宋体"/>
        <family val="3"/>
        <charset val="134"/>
      </rPr>
      <t>0</t>
    </r>
    <r>
      <rPr>
        <sz val="12"/>
        <rFont val="宋体"/>
        <family val="3"/>
        <charset val="134"/>
      </rPr>
      <t>电阻（内臂）</t>
    </r>
    <phoneticPr fontId="141" type="noConversion"/>
  </si>
  <si>
    <t>第一次：</t>
    <phoneticPr fontId="141" type="noConversion"/>
  </si>
  <si>
    <t>属于比例臂的内容</t>
    <phoneticPr fontId="141" type="noConversion"/>
  </si>
  <si>
    <t>第二次：</t>
    <phoneticPr fontId="141" type="noConversion"/>
  </si>
  <si>
    <t>第三次：</t>
    <phoneticPr fontId="141" type="noConversion"/>
  </si>
  <si>
    <t>三次平均值：</t>
    <phoneticPr fontId="141" type="noConversion"/>
  </si>
  <si>
    <t>示值误差-外臂</t>
    <phoneticPr fontId="141" type="noConversion"/>
  </si>
  <si>
    <t>检定证书</t>
    <phoneticPr fontId="141" type="noConversion"/>
  </si>
  <si>
    <t>校准证书</t>
    <phoneticPr fontId="141" type="noConversion"/>
  </si>
  <si>
    <t>电压示值(V)</t>
    <phoneticPr fontId="141" type="noConversion"/>
  </si>
  <si>
    <t>实际值(Ω)</t>
    <phoneticPr fontId="141" type="noConversion"/>
  </si>
  <si>
    <t>误差(%)</t>
    <phoneticPr fontId="141" type="noConversion"/>
  </si>
  <si>
    <t>不确定度</t>
    <phoneticPr fontId="141" type="noConversion"/>
  </si>
  <si>
    <t>允许误差(%)</t>
    <phoneticPr fontId="141" type="noConversion"/>
  </si>
  <si>
    <t>±</t>
    <phoneticPr fontId="141" type="noConversion"/>
  </si>
  <si>
    <t>±</t>
    <phoneticPr fontId="141" type="noConversion"/>
  </si>
  <si>
    <t>±</t>
    <phoneticPr fontId="141" type="noConversion"/>
  </si>
  <si>
    <t>示值误差-内臂</t>
    <phoneticPr fontId="141" type="noConversion"/>
  </si>
  <si>
    <t>同外臂</t>
    <phoneticPr fontId="141" type="noConversion"/>
  </si>
  <si>
    <t>检定证书</t>
    <phoneticPr fontId="141" type="noConversion"/>
  </si>
  <si>
    <t>校准证书</t>
    <phoneticPr fontId="141" type="noConversion"/>
  </si>
  <si>
    <t>序号</t>
    <phoneticPr fontId="141" type="noConversion"/>
  </si>
  <si>
    <t>Ω</t>
    <phoneticPr fontId="141" type="noConversion"/>
  </si>
  <si>
    <t>检定电流:</t>
    <phoneticPr fontId="141" type="noConversion"/>
  </si>
  <si>
    <t>A</t>
    <phoneticPr fontId="141" type="noConversion"/>
  </si>
  <si>
    <t>检定电流:</t>
  </si>
  <si>
    <t>电压示值(V)</t>
    <phoneticPr fontId="141" type="noConversion"/>
  </si>
  <si>
    <t>实际值(Ω)</t>
    <phoneticPr fontId="141" type="noConversion"/>
  </si>
  <si>
    <t>误差(%)</t>
    <phoneticPr fontId="141" type="noConversion"/>
  </si>
  <si>
    <t>不确定度</t>
    <phoneticPr fontId="141" type="noConversion"/>
  </si>
  <si>
    <t>±</t>
  </si>
  <si>
    <t>允许误差(%)</t>
    <phoneticPr fontId="141" type="noConversion"/>
  </si>
  <si>
    <t>±</t>
    <phoneticPr fontId="141" type="noConversion"/>
  </si>
  <si>
    <t>检定证书</t>
    <phoneticPr fontId="141" type="noConversion"/>
  </si>
  <si>
    <t>校准证书</t>
    <phoneticPr fontId="141" type="noConversion"/>
  </si>
  <si>
    <t>桥臂</t>
    <phoneticPr fontId="141" type="noConversion"/>
  </si>
  <si>
    <t>标称值（Ω）</t>
    <phoneticPr fontId="141" type="noConversion"/>
  </si>
  <si>
    <t>实际值（Ω）</t>
    <phoneticPr fontId="141" type="noConversion"/>
  </si>
  <si>
    <t>误差(%)</t>
    <phoneticPr fontId="141" type="noConversion"/>
  </si>
  <si>
    <t>允许误差（%）</t>
    <phoneticPr fontId="141" type="noConversion"/>
  </si>
  <si>
    <t>不确定度</t>
    <phoneticPr fontId="141" type="noConversion"/>
  </si>
  <si>
    <r>
      <t>R</t>
    </r>
    <r>
      <rPr>
        <vertAlign val="subscript"/>
        <sz val="12"/>
        <rFont val="宋体"/>
        <family val="3"/>
        <charset val="134"/>
      </rPr>
      <t>1</t>
    </r>
    <phoneticPr fontId="141" type="noConversion"/>
  </si>
  <si>
    <t>±0.02</t>
    <phoneticPr fontId="141" type="noConversion"/>
  </si>
  <si>
    <t>±0.02</t>
    <phoneticPr fontId="141" type="noConversion"/>
  </si>
  <si>
    <r>
      <t>R</t>
    </r>
    <r>
      <rPr>
        <vertAlign val="subscript"/>
        <sz val="12"/>
        <rFont val="宋体"/>
        <family val="3"/>
        <charset val="134"/>
      </rPr>
      <t>1</t>
    </r>
    <phoneticPr fontId="141" type="noConversion"/>
  </si>
  <si>
    <t>±0.02</t>
    <phoneticPr fontId="141" type="noConversion"/>
  </si>
  <si>
    <t>±0.02</t>
    <phoneticPr fontId="141" type="noConversion"/>
  </si>
  <si>
    <r>
      <t>R</t>
    </r>
    <r>
      <rPr>
        <vertAlign val="subscript"/>
        <sz val="12"/>
        <rFont val="宋体"/>
        <family val="3"/>
        <charset val="134"/>
      </rPr>
      <t>2</t>
    </r>
    <phoneticPr fontId="141" type="noConversion"/>
  </si>
  <si>
    <r>
      <t>R</t>
    </r>
    <r>
      <rPr>
        <vertAlign val="subscript"/>
        <sz val="12"/>
        <rFont val="宋体"/>
        <family val="3"/>
        <charset val="134"/>
      </rPr>
      <t>2</t>
    </r>
    <phoneticPr fontId="141" type="noConversion"/>
  </si>
  <si>
    <t>±0.02</t>
    <phoneticPr fontId="141" type="noConversion"/>
  </si>
  <si>
    <t>±0.02</t>
    <phoneticPr fontId="141" type="noConversion"/>
  </si>
  <si>
    <r>
      <t>测量盘</t>
    </r>
    <r>
      <rPr>
        <i/>
        <sz val="12"/>
        <rFont val="宋体"/>
        <family val="3"/>
        <charset val="134"/>
      </rPr>
      <t>R</t>
    </r>
    <r>
      <rPr>
        <vertAlign val="subscript"/>
        <sz val="12"/>
        <rFont val="宋体"/>
        <family val="3"/>
        <charset val="134"/>
      </rPr>
      <t>0</t>
    </r>
    <r>
      <rPr>
        <sz val="12"/>
        <rFont val="宋体"/>
        <family val="3"/>
        <charset val="134"/>
      </rPr>
      <t>电阻（外臂）</t>
    </r>
    <phoneticPr fontId="141" type="noConversion"/>
  </si>
  <si>
    <r>
      <t>测量盘</t>
    </r>
    <r>
      <rPr>
        <i/>
        <sz val="12"/>
        <rFont val="宋体"/>
        <family val="3"/>
        <charset val="134"/>
      </rPr>
      <t>R</t>
    </r>
    <r>
      <rPr>
        <vertAlign val="subscript"/>
        <sz val="12"/>
        <rFont val="宋体"/>
        <family val="3"/>
        <charset val="134"/>
      </rPr>
      <t>0</t>
    </r>
    <r>
      <rPr>
        <sz val="12"/>
        <rFont val="宋体"/>
        <family val="3"/>
        <charset val="134"/>
      </rPr>
      <t>电阻（内臂）</t>
    </r>
    <phoneticPr fontId="141" type="noConversion"/>
  </si>
  <si>
    <t>第一次：</t>
    <phoneticPr fontId="141" type="noConversion"/>
  </si>
  <si>
    <t>第一次：</t>
    <phoneticPr fontId="141" type="noConversion"/>
  </si>
  <si>
    <t>第一次：</t>
    <phoneticPr fontId="141" type="noConversion"/>
  </si>
  <si>
    <t>第二次：</t>
    <phoneticPr fontId="141" type="noConversion"/>
  </si>
  <si>
    <t>第二次：</t>
    <phoneticPr fontId="141" type="noConversion"/>
  </si>
  <si>
    <t>第二次：</t>
    <phoneticPr fontId="141" type="noConversion"/>
  </si>
  <si>
    <t>第二次：</t>
    <phoneticPr fontId="141" type="noConversion"/>
  </si>
  <si>
    <t>第三次：</t>
    <phoneticPr fontId="141" type="noConversion"/>
  </si>
  <si>
    <t>第三次：</t>
    <phoneticPr fontId="141" type="noConversion"/>
  </si>
  <si>
    <t>第三次：</t>
    <phoneticPr fontId="141" type="noConversion"/>
  </si>
  <si>
    <t>第三次：</t>
    <phoneticPr fontId="141" type="noConversion"/>
  </si>
  <si>
    <t>三次平均值：</t>
    <phoneticPr fontId="141" type="noConversion"/>
  </si>
  <si>
    <t>三次平均值：</t>
    <phoneticPr fontId="141" type="noConversion"/>
  </si>
  <si>
    <t>三次平均值：</t>
    <phoneticPr fontId="141" type="noConversion"/>
  </si>
  <si>
    <t>校准</t>
    <phoneticPr fontId="141" type="noConversion"/>
  </si>
  <si>
    <t>数据录入</t>
    <phoneticPr fontId="141" type="noConversion"/>
  </si>
  <si>
    <t>暂不用</t>
    <phoneticPr fontId="141" type="noConversion"/>
  </si>
  <si>
    <t>行数固定10行</t>
  </si>
  <si>
    <t>二、电阻示值误差：</t>
    <phoneticPr fontId="141" type="noConversion"/>
  </si>
  <si>
    <r>
      <t>行数固定1</t>
    </r>
    <r>
      <rPr>
        <sz val="12"/>
        <rFont val="宋体"/>
        <family val="3"/>
        <charset val="134"/>
      </rPr>
      <t>0行</t>
    </r>
    <phoneticPr fontId="141" type="noConversion"/>
  </si>
  <si>
    <t>测量范围</t>
    <phoneticPr fontId="141" type="noConversion"/>
  </si>
  <si>
    <t>工作电流</t>
    <phoneticPr fontId="141" type="noConversion"/>
  </si>
  <si>
    <t>误差（%）</t>
    <phoneticPr fontId="141" type="noConversion"/>
  </si>
  <si>
    <t>允许限值（%）</t>
    <phoneticPr fontId="141" type="noConversion"/>
  </si>
  <si>
    <r>
      <t>校准不确定度（</t>
    </r>
    <r>
      <rPr>
        <i/>
        <sz val="12"/>
        <rFont val="宋体"/>
        <family val="3"/>
        <charset val="134"/>
      </rPr>
      <t>k</t>
    </r>
    <r>
      <rPr>
        <sz val="12"/>
        <rFont val="宋体"/>
        <family val="3"/>
        <charset val="134"/>
      </rPr>
      <t>=2）</t>
    </r>
    <phoneticPr fontId="141" type="noConversion"/>
  </si>
  <si>
    <t>~</t>
    <phoneticPr fontId="141" type="noConversion"/>
  </si>
  <si>
    <t>5A</t>
    <phoneticPr fontId="141" type="noConversion"/>
  </si>
  <si>
    <t>备注</t>
    <phoneticPr fontId="141" type="noConversion"/>
  </si>
  <si>
    <t>合格、不合格</t>
    <phoneticPr fontId="141" type="noConversion"/>
  </si>
  <si>
    <t>行数不固定，通过量程增加</t>
    <phoneticPr fontId="141" type="noConversion"/>
  </si>
  <si>
    <t>示值</t>
    <phoneticPr fontId="141" type="noConversion"/>
  </si>
  <si>
    <t>方案中确认每个量程几个测试点</t>
    <phoneticPr fontId="141" type="noConversion"/>
  </si>
  <si>
    <t>工作电流</t>
    <phoneticPr fontId="141" type="noConversion"/>
  </si>
  <si>
    <r>
      <t>误差（</t>
    </r>
    <r>
      <rPr>
        <sz val="12"/>
        <color indexed="8"/>
        <rFont val="Times New Roman"/>
        <family val="1"/>
      </rPr>
      <t>%</t>
    </r>
    <r>
      <rPr>
        <sz val="12"/>
        <color indexed="8"/>
        <rFont val="宋体"/>
        <family val="3"/>
        <charset val="134"/>
      </rPr>
      <t>）</t>
    </r>
    <phoneticPr fontId="141" type="noConversion"/>
  </si>
  <si>
    <t>允许误差（%）</t>
    <phoneticPr fontId="141" type="noConversion"/>
  </si>
  <si>
    <t>不确定度</t>
    <phoneticPr fontId="141" type="noConversion"/>
  </si>
  <si>
    <r>
      <t>校准不确定度（</t>
    </r>
    <r>
      <rPr>
        <i/>
        <sz val="12"/>
        <color indexed="8"/>
        <rFont val="宋体"/>
        <family val="3"/>
        <charset val="134"/>
      </rPr>
      <t>k</t>
    </r>
    <r>
      <rPr>
        <sz val="12"/>
        <color indexed="8"/>
        <rFont val="宋体"/>
        <family val="3"/>
        <charset val="134"/>
      </rPr>
      <t>=2）</t>
    </r>
    <phoneticPr fontId="141" type="noConversion"/>
  </si>
  <si>
    <t>~</t>
    <phoneticPr fontId="141" type="noConversion"/>
  </si>
  <si>
    <r>
      <t>校准不确定度（</t>
    </r>
    <r>
      <rPr>
        <i/>
        <sz val="12"/>
        <rFont val="宋体"/>
        <family val="3"/>
        <charset val="134"/>
      </rPr>
      <t>k</t>
    </r>
    <r>
      <rPr>
        <sz val="12"/>
        <rFont val="宋体"/>
        <family val="3"/>
        <charset val="134"/>
      </rPr>
      <t>=2）</t>
    </r>
    <phoneticPr fontId="141" type="noConversion"/>
  </si>
  <si>
    <t>量程有范围的表格有允许误差列，</t>
    <phoneticPr fontId="141" type="noConversion"/>
  </si>
  <si>
    <t>JJF 1101-2003 环境试验设备温度、湿度校准规范</t>
    <phoneticPr fontId="141" type="noConversion"/>
  </si>
  <si>
    <t>原始记录/证书追加不确定度即可内容：
测量结果的不确定度为U=0.024℃ (k=2)</t>
    <phoneticPr fontId="141" type="noConversion"/>
  </si>
  <si>
    <t>测试数据</t>
    <phoneticPr fontId="141" type="noConversion"/>
  </si>
  <si>
    <t>数据录入</t>
    <phoneticPr fontId="141" type="noConversion"/>
  </si>
  <si>
    <t>测试点分布示意图</t>
    <phoneticPr fontId="141" type="noConversion"/>
  </si>
  <si>
    <t>固定图</t>
    <phoneticPr fontId="141" type="noConversion"/>
  </si>
  <si>
    <t>校准结果不确定度是怎么计算？</t>
    <phoneticPr fontId="141" type="noConversion"/>
  </si>
  <si>
    <t>一、测试结果：</t>
    <phoneticPr fontId="141" type="noConversion"/>
  </si>
  <si>
    <r>
      <t>次数(</t>
    </r>
    <r>
      <rPr>
        <sz val="12"/>
        <rFont val="宋体"/>
        <family val="3"/>
        <charset val="134"/>
      </rPr>
      <t>i)次</t>
    </r>
    <phoneticPr fontId="141" type="noConversion"/>
  </si>
  <si>
    <t>示值</t>
    <phoneticPr fontId="141" type="noConversion"/>
  </si>
  <si>
    <t>标准值（℃）</t>
    <phoneticPr fontId="141" type="noConversion"/>
  </si>
  <si>
    <t>第i次</t>
    <phoneticPr fontId="141" type="noConversion"/>
  </si>
  <si>
    <t>温度偏差:</t>
    <phoneticPr fontId="141" type="noConversion"/>
  </si>
  <si>
    <t>（℃）</t>
    <phoneticPr fontId="141" type="noConversion"/>
  </si>
  <si>
    <t>A</t>
    <phoneticPr fontId="141" type="noConversion"/>
  </si>
  <si>
    <t>B</t>
    <phoneticPr fontId="141" type="noConversion"/>
  </si>
  <si>
    <t>C</t>
    <phoneticPr fontId="141" type="noConversion"/>
  </si>
  <si>
    <t>D</t>
    <phoneticPr fontId="141" type="noConversion"/>
  </si>
  <si>
    <r>
      <t>O</t>
    </r>
    <r>
      <rPr>
        <vertAlign val="subscript"/>
        <sz val="12"/>
        <rFont val="宋体"/>
        <family val="3"/>
        <charset val="134"/>
      </rPr>
      <t>(中心点)</t>
    </r>
    <phoneticPr fontId="141" type="noConversion"/>
  </si>
  <si>
    <t>最大值</t>
    <phoneticPr fontId="141" type="noConversion"/>
  </si>
  <si>
    <t>最小值</t>
    <phoneticPr fontId="141" type="noConversion"/>
  </si>
  <si>
    <t>修正值:</t>
    <phoneticPr fontId="141" type="noConversion"/>
  </si>
  <si>
    <t>温度均匀度:</t>
    <phoneticPr fontId="141" type="noConversion"/>
  </si>
  <si>
    <t>温度波动度:</t>
    <phoneticPr fontId="141" type="noConversion"/>
  </si>
  <si>
    <t xml:space="preserve">二、测试点分布示意图 : </t>
    <phoneticPr fontId="141" type="noConversion"/>
  </si>
  <si>
    <r>
      <t xml:space="preserve">      控温箱工作室尺寸：  高</t>
    </r>
    <r>
      <rPr>
        <i/>
        <sz val="12"/>
        <rFont val="宋体"/>
        <family val="3"/>
        <charset val="134"/>
      </rPr>
      <t>H</t>
    </r>
    <r>
      <rPr>
        <sz val="12"/>
        <rFont val="宋体"/>
        <family val="3"/>
        <charset val="134"/>
      </rPr>
      <t>=250mm,长</t>
    </r>
    <r>
      <rPr>
        <i/>
        <sz val="12"/>
        <rFont val="宋体"/>
        <family val="3"/>
        <charset val="134"/>
      </rPr>
      <t>L</t>
    </r>
    <r>
      <rPr>
        <sz val="12"/>
        <rFont val="宋体"/>
        <family val="3"/>
        <charset val="134"/>
      </rPr>
      <t>=600mm,宽</t>
    </r>
    <r>
      <rPr>
        <i/>
        <sz val="12"/>
        <rFont val="宋体"/>
        <family val="3"/>
        <charset val="134"/>
      </rPr>
      <t>W</t>
    </r>
    <r>
      <rPr>
        <sz val="12"/>
        <rFont val="宋体"/>
        <family val="3"/>
        <charset val="134"/>
      </rPr>
      <t>=450mm,体积</t>
    </r>
    <r>
      <rPr>
        <i/>
        <sz val="12"/>
        <rFont val="宋体"/>
        <family val="3"/>
        <charset val="134"/>
      </rPr>
      <t>V</t>
    </r>
    <r>
      <rPr>
        <sz val="12"/>
        <rFont val="宋体"/>
        <family val="3"/>
        <charset val="134"/>
      </rPr>
      <t>=0.068m</t>
    </r>
    <r>
      <rPr>
        <vertAlign val="superscript"/>
        <sz val="12"/>
        <rFont val="宋体"/>
        <family val="3"/>
        <charset val="134"/>
      </rPr>
      <t>3</t>
    </r>
    <r>
      <rPr>
        <sz val="12"/>
        <rFont val="宋体"/>
        <family val="3"/>
        <charset val="134"/>
      </rPr>
      <t>。</t>
    </r>
    <phoneticPr fontId="141" type="noConversion"/>
  </si>
  <si>
    <t>底层（O为中心点）</t>
    <phoneticPr fontId="141" type="noConversion"/>
  </si>
  <si>
    <t>平均值</t>
    <phoneticPr fontId="141" type="noConversion"/>
  </si>
  <si>
    <t>/</t>
    <phoneticPr fontId="141" type="noConversion"/>
  </si>
  <si>
    <r>
      <t xml:space="preserve"> </t>
    </r>
    <r>
      <rPr>
        <sz val="12"/>
        <rFont val="宋体"/>
        <family val="3"/>
        <charset val="134"/>
      </rPr>
      <t>△</t>
    </r>
    <r>
      <rPr>
        <i/>
        <sz val="12"/>
        <rFont val="宋体"/>
        <family val="3"/>
        <charset val="134"/>
      </rPr>
      <t>t</t>
    </r>
    <r>
      <rPr>
        <vertAlign val="subscript"/>
        <sz val="12"/>
        <rFont val="宋体"/>
        <family val="3"/>
        <charset val="134"/>
      </rPr>
      <t>d</t>
    </r>
    <r>
      <rPr>
        <sz val="12"/>
        <rFont val="宋体"/>
        <family val="3"/>
        <charset val="134"/>
      </rPr>
      <t>—温度偏差，℃；</t>
    </r>
    <phoneticPr fontId="141" type="noConversion"/>
  </si>
  <si>
    <r>
      <t xml:space="preserve">   </t>
    </r>
    <r>
      <rPr>
        <i/>
        <sz val="12"/>
        <rFont val="宋体"/>
        <family val="3"/>
        <charset val="134"/>
      </rPr>
      <t>t</t>
    </r>
    <r>
      <rPr>
        <i/>
        <vertAlign val="subscript"/>
        <sz val="12"/>
        <rFont val="宋体"/>
        <family val="3"/>
        <charset val="134"/>
      </rPr>
      <t>o</t>
    </r>
    <r>
      <rPr>
        <i/>
        <sz val="12"/>
        <rFont val="宋体"/>
        <family val="3"/>
        <charset val="134"/>
      </rPr>
      <t>—</t>
    </r>
    <r>
      <rPr>
        <sz val="12"/>
        <rFont val="宋体"/>
        <family val="3"/>
        <charset val="134"/>
      </rPr>
      <t>测试点O</t>
    </r>
    <r>
      <rPr>
        <vertAlign val="subscript"/>
        <sz val="12"/>
        <rFont val="宋体"/>
        <family val="3"/>
        <charset val="134"/>
      </rPr>
      <t>(中心点)</t>
    </r>
    <r>
      <rPr>
        <sz val="12"/>
        <rFont val="宋体"/>
        <family val="3"/>
        <charset val="134"/>
      </rPr>
      <t>标准值的平均值，℃；</t>
    </r>
    <phoneticPr fontId="141" type="noConversion"/>
  </si>
  <si>
    <t>图-1(单位：mm)</t>
  </si>
  <si>
    <r>
      <t xml:space="preserve">   t</t>
    </r>
    <r>
      <rPr>
        <vertAlign val="subscript"/>
        <sz val="12"/>
        <rFont val="宋体"/>
        <family val="3"/>
        <charset val="134"/>
      </rPr>
      <t>d</t>
    </r>
    <r>
      <rPr>
        <sz val="12"/>
        <rFont val="宋体"/>
        <family val="3"/>
        <charset val="134"/>
      </rPr>
      <t>—示值的温度平均值，℃；</t>
    </r>
    <phoneticPr fontId="141" type="noConversion"/>
  </si>
  <si>
    <t>修正值:</t>
    <phoneticPr fontId="141" type="noConversion"/>
  </si>
  <si>
    <r>
      <t>修正值</t>
    </r>
    <r>
      <rPr>
        <sz val="12"/>
        <rFont val="宋体"/>
        <family val="3"/>
        <charset val="134"/>
      </rPr>
      <t>=</t>
    </r>
    <r>
      <rPr>
        <sz val="12"/>
        <rFont val="宋体"/>
        <family val="3"/>
        <charset val="134"/>
      </rPr>
      <t xml:space="preserve"> </t>
    </r>
    <r>
      <rPr>
        <sz val="12"/>
        <rFont val="宋体"/>
        <family val="3"/>
        <charset val="134"/>
      </rPr>
      <t>-△</t>
    </r>
    <r>
      <rPr>
        <i/>
        <sz val="12"/>
        <rFont val="宋体"/>
        <family val="3"/>
        <charset val="134"/>
      </rPr>
      <t>t</t>
    </r>
    <r>
      <rPr>
        <vertAlign val="subscript"/>
        <sz val="12"/>
        <rFont val="宋体"/>
        <family val="3"/>
        <charset val="134"/>
      </rPr>
      <t>d</t>
    </r>
    <phoneticPr fontId="141" type="noConversion"/>
  </si>
  <si>
    <t>温度均匀度:</t>
    <phoneticPr fontId="141" type="noConversion"/>
  </si>
  <si>
    <r>
      <t>△</t>
    </r>
    <r>
      <rPr>
        <i/>
        <sz val="12"/>
        <rFont val="宋体"/>
        <family val="3"/>
        <charset val="134"/>
      </rPr>
      <t>t</t>
    </r>
    <r>
      <rPr>
        <vertAlign val="subscript"/>
        <sz val="12"/>
        <rFont val="宋体"/>
        <family val="3"/>
        <charset val="134"/>
      </rPr>
      <t>u</t>
    </r>
    <r>
      <rPr>
        <sz val="12"/>
        <rFont val="宋体"/>
        <family val="3"/>
        <charset val="134"/>
      </rPr>
      <t>—温度均匀度，℃；</t>
    </r>
    <phoneticPr fontId="141" type="noConversion"/>
  </si>
  <si>
    <r>
      <t>t</t>
    </r>
    <r>
      <rPr>
        <vertAlign val="subscript"/>
        <sz val="12"/>
        <rFont val="宋体"/>
        <family val="3"/>
        <charset val="134"/>
      </rPr>
      <t>imax</t>
    </r>
    <r>
      <rPr>
        <sz val="12"/>
        <rFont val="宋体"/>
        <family val="3"/>
        <charset val="134"/>
      </rPr>
      <t>—各测试点在第i次测得的最高温度，℃；</t>
    </r>
    <phoneticPr fontId="141" type="noConversion"/>
  </si>
  <si>
    <r>
      <t>t</t>
    </r>
    <r>
      <rPr>
        <vertAlign val="subscript"/>
        <sz val="12"/>
        <rFont val="宋体"/>
        <family val="3"/>
        <charset val="134"/>
      </rPr>
      <t>imin</t>
    </r>
    <r>
      <rPr>
        <sz val="12"/>
        <rFont val="宋体"/>
        <family val="3"/>
        <charset val="134"/>
      </rPr>
      <t>—各测试点在第i次测得的最低温度，℃；</t>
    </r>
    <phoneticPr fontId="141" type="noConversion"/>
  </si>
  <si>
    <r>
      <t xml:space="preserve"> </t>
    </r>
    <r>
      <rPr>
        <sz val="12"/>
        <rFont val="宋体"/>
        <family val="3"/>
        <charset val="134"/>
      </rPr>
      <t xml:space="preserve">  </t>
    </r>
    <r>
      <rPr>
        <sz val="12"/>
        <rFont val="宋体"/>
        <family val="3"/>
        <charset val="134"/>
      </rPr>
      <t>n—测量次数。</t>
    </r>
    <phoneticPr fontId="141" type="noConversion"/>
  </si>
  <si>
    <t>温度波动度:</t>
    <phoneticPr fontId="141" type="noConversion"/>
  </si>
  <si>
    <r>
      <t>△</t>
    </r>
    <r>
      <rPr>
        <i/>
        <sz val="12"/>
        <rFont val="宋体"/>
        <family val="3"/>
        <charset val="134"/>
      </rPr>
      <t>t</t>
    </r>
    <r>
      <rPr>
        <vertAlign val="subscript"/>
        <sz val="12"/>
        <rFont val="宋体"/>
        <family val="3"/>
        <charset val="134"/>
      </rPr>
      <t>f</t>
    </r>
    <r>
      <rPr>
        <sz val="12"/>
        <rFont val="宋体"/>
        <family val="3"/>
        <charset val="134"/>
      </rPr>
      <t>—温度波动度，℃</t>
    </r>
    <r>
      <rPr>
        <vertAlign val="subscript"/>
        <sz val="12"/>
        <rFont val="宋体"/>
        <family val="3"/>
        <charset val="134"/>
      </rPr>
      <t>；</t>
    </r>
    <phoneticPr fontId="141" type="noConversion"/>
  </si>
  <si>
    <r>
      <t>t</t>
    </r>
    <r>
      <rPr>
        <vertAlign val="subscript"/>
        <sz val="12"/>
        <rFont val="宋体"/>
        <family val="3"/>
        <charset val="134"/>
      </rPr>
      <t>omax</t>
    </r>
    <r>
      <rPr>
        <sz val="12"/>
        <rFont val="宋体"/>
        <family val="3"/>
        <charset val="134"/>
      </rPr>
      <t>—测试点</t>
    </r>
    <r>
      <rPr>
        <sz val="12"/>
        <rFont val="宋体"/>
        <family val="3"/>
        <charset val="134"/>
      </rPr>
      <t>O</t>
    </r>
    <r>
      <rPr>
        <vertAlign val="subscript"/>
        <sz val="12"/>
        <rFont val="宋体"/>
        <family val="3"/>
        <charset val="134"/>
      </rPr>
      <t>(中心点)</t>
    </r>
    <r>
      <rPr>
        <sz val="12"/>
        <rFont val="宋体"/>
        <family val="3"/>
        <charset val="134"/>
      </rPr>
      <t>n</t>
    </r>
    <r>
      <rPr>
        <sz val="12"/>
        <rFont val="宋体"/>
        <family val="3"/>
        <charset val="134"/>
      </rPr>
      <t>次测量中的最高温度，℃；</t>
    </r>
    <phoneticPr fontId="141" type="noConversion"/>
  </si>
  <si>
    <r>
      <t>t</t>
    </r>
    <r>
      <rPr>
        <vertAlign val="subscript"/>
        <sz val="12"/>
        <rFont val="宋体"/>
        <family val="3"/>
        <charset val="134"/>
      </rPr>
      <t>omin</t>
    </r>
    <r>
      <rPr>
        <sz val="12"/>
        <rFont val="宋体"/>
        <family val="3"/>
        <charset val="134"/>
      </rPr>
      <t>—测试点</t>
    </r>
    <r>
      <rPr>
        <sz val="12"/>
        <rFont val="宋体"/>
        <family val="3"/>
        <charset val="134"/>
      </rPr>
      <t>O</t>
    </r>
    <r>
      <rPr>
        <vertAlign val="subscript"/>
        <sz val="12"/>
        <rFont val="宋体"/>
        <family val="3"/>
        <charset val="134"/>
      </rPr>
      <t>(中心点)</t>
    </r>
    <r>
      <rPr>
        <sz val="12"/>
        <rFont val="宋体"/>
        <family val="3"/>
        <charset val="134"/>
      </rPr>
      <t>n</t>
    </r>
    <r>
      <rPr>
        <sz val="12"/>
        <rFont val="宋体"/>
        <family val="3"/>
        <charset val="134"/>
      </rPr>
      <t>次测量中的最低温度，℃；</t>
    </r>
    <phoneticPr fontId="141" type="noConversion"/>
  </si>
  <si>
    <r>
      <t>二 测试点分布示意图</t>
    </r>
    <r>
      <rPr>
        <sz val="12"/>
        <rFont val="宋体"/>
        <family val="3"/>
        <charset val="134"/>
      </rPr>
      <t xml:space="preserve"> : </t>
    </r>
    <phoneticPr fontId="141" type="noConversion"/>
  </si>
  <si>
    <r>
      <t xml:space="preserve">     控温箱工作室尺寸：  高</t>
    </r>
    <r>
      <rPr>
        <i/>
        <sz val="12"/>
        <rFont val="宋体"/>
        <family val="3"/>
        <charset val="134"/>
      </rPr>
      <t>H</t>
    </r>
    <r>
      <rPr>
        <sz val="12"/>
        <rFont val="宋体"/>
        <family val="3"/>
        <charset val="134"/>
      </rPr>
      <t>=250mm,长</t>
    </r>
    <r>
      <rPr>
        <i/>
        <sz val="12"/>
        <rFont val="宋体"/>
        <family val="3"/>
        <charset val="134"/>
      </rPr>
      <t>L</t>
    </r>
    <r>
      <rPr>
        <sz val="12"/>
        <rFont val="宋体"/>
        <family val="3"/>
        <charset val="134"/>
      </rPr>
      <t>=600mm,宽</t>
    </r>
    <r>
      <rPr>
        <i/>
        <sz val="12"/>
        <rFont val="宋体"/>
        <family val="3"/>
        <charset val="134"/>
      </rPr>
      <t>W</t>
    </r>
    <r>
      <rPr>
        <sz val="12"/>
        <rFont val="宋体"/>
        <family val="3"/>
        <charset val="134"/>
      </rPr>
      <t>=450mm,体积</t>
    </r>
    <r>
      <rPr>
        <i/>
        <sz val="12"/>
        <rFont val="宋体"/>
        <family val="3"/>
        <charset val="134"/>
      </rPr>
      <t>V</t>
    </r>
    <r>
      <rPr>
        <sz val="12"/>
        <rFont val="宋体"/>
        <family val="3"/>
        <charset val="134"/>
      </rPr>
      <t>=0.068m</t>
    </r>
    <r>
      <rPr>
        <vertAlign val="superscript"/>
        <sz val="12"/>
        <rFont val="宋体"/>
        <family val="3"/>
        <charset val="134"/>
      </rPr>
      <t>3</t>
    </r>
    <r>
      <rPr>
        <sz val="12"/>
        <rFont val="宋体"/>
        <family val="3"/>
        <charset val="134"/>
      </rPr>
      <t>。</t>
    </r>
    <r>
      <rPr>
        <sz val="12"/>
        <rFont val="宋体"/>
        <family val="3"/>
        <charset val="134"/>
      </rPr>
      <t xml:space="preserve"> </t>
    </r>
    <phoneticPr fontId="141" type="noConversion"/>
  </si>
  <si>
    <r>
      <t>底层(</t>
    </r>
    <r>
      <rPr>
        <sz val="12"/>
        <rFont val="宋体"/>
        <family val="3"/>
        <charset val="134"/>
      </rPr>
      <t>O为中心点）</t>
    </r>
    <phoneticPr fontId="141" type="noConversion"/>
  </si>
  <si>
    <t>图-1(单位：mm)</t>
    <phoneticPr fontId="141" type="noConversion"/>
  </si>
  <si>
    <t>外观</t>
    <phoneticPr fontId="141" type="noConversion"/>
  </si>
  <si>
    <t>合格不合格</t>
    <phoneticPr fontId="141" type="noConversion"/>
  </si>
  <si>
    <t>稳定度及调节细度</t>
    <phoneticPr fontId="141" type="noConversion"/>
  </si>
  <si>
    <t>方案中固定量程和测点，即数值</t>
    <phoneticPr fontId="141" type="noConversion"/>
  </si>
  <si>
    <t>量程(A)</t>
    <phoneticPr fontId="141" type="noConversion"/>
  </si>
  <si>
    <t>测点(A)</t>
    <phoneticPr fontId="141" type="noConversion"/>
  </si>
  <si>
    <t>读数(mV)</t>
    <phoneticPr fontId="141" type="noConversion"/>
  </si>
  <si>
    <t>稳定度(%)/30s</t>
    <phoneticPr fontId="141" type="noConversion"/>
  </si>
  <si>
    <t>不确定度</t>
    <phoneticPr fontId="141" type="noConversion"/>
  </si>
  <si>
    <r>
      <t>校准结果的不确定度（</t>
    </r>
    <r>
      <rPr>
        <i/>
        <sz val="10"/>
        <rFont val="宋体"/>
        <family val="3"/>
        <charset val="134"/>
      </rPr>
      <t>k</t>
    </r>
    <r>
      <rPr>
        <sz val="10"/>
        <rFont val="宋体"/>
        <family val="3"/>
        <charset val="134"/>
      </rPr>
      <t>=2）</t>
    </r>
    <phoneticPr fontId="141" type="noConversion"/>
  </si>
  <si>
    <t>读数1</t>
    <phoneticPr fontId="141" type="noConversion"/>
  </si>
  <si>
    <t>读数2</t>
    <phoneticPr fontId="141" type="noConversion"/>
  </si>
  <si>
    <t>读数3</t>
    <phoneticPr fontId="141" type="noConversion"/>
  </si>
  <si>
    <t>读数4</t>
    <phoneticPr fontId="141" type="noConversion"/>
  </si>
  <si>
    <t>读数5</t>
    <phoneticPr fontId="141" type="noConversion"/>
  </si>
  <si>
    <t>读数6</t>
    <phoneticPr fontId="141" type="noConversion"/>
  </si>
  <si>
    <t>读数7</t>
    <phoneticPr fontId="141" type="noConversion"/>
  </si>
  <si>
    <t>读数8</t>
    <phoneticPr fontId="141" type="noConversion"/>
  </si>
  <si>
    <t>读数9</t>
    <phoneticPr fontId="141" type="noConversion"/>
  </si>
  <si>
    <t>读数10</t>
    <phoneticPr fontId="141" type="noConversion"/>
  </si>
  <si>
    <t>读数11</t>
    <phoneticPr fontId="141" type="noConversion"/>
  </si>
  <si>
    <t>读数12</t>
    <phoneticPr fontId="141" type="noConversion"/>
  </si>
  <si>
    <t>读数13</t>
    <phoneticPr fontId="141" type="noConversion"/>
  </si>
  <si>
    <t>读数14</t>
    <phoneticPr fontId="141" type="noConversion"/>
  </si>
  <si>
    <t>读数15</t>
    <phoneticPr fontId="141" type="noConversion"/>
  </si>
  <si>
    <t>读数1</t>
    <phoneticPr fontId="141" type="noConversion"/>
  </si>
  <si>
    <t>读数2</t>
    <phoneticPr fontId="141" type="noConversion"/>
  </si>
  <si>
    <t>读数3</t>
    <phoneticPr fontId="141" type="noConversion"/>
  </si>
  <si>
    <t>读数4</t>
    <phoneticPr fontId="141" type="noConversion"/>
  </si>
  <si>
    <t>读数5</t>
    <phoneticPr fontId="141" type="noConversion"/>
  </si>
  <si>
    <t>读数6</t>
    <phoneticPr fontId="141" type="noConversion"/>
  </si>
  <si>
    <t>读数7</t>
    <phoneticPr fontId="141" type="noConversion"/>
  </si>
  <si>
    <t>读数8</t>
    <phoneticPr fontId="141" type="noConversion"/>
  </si>
  <si>
    <t>读数9</t>
    <phoneticPr fontId="141" type="noConversion"/>
  </si>
  <si>
    <t>读数10</t>
    <phoneticPr fontId="141" type="noConversion"/>
  </si>
  <si>
    <t>读数11</t>
    <phoneticPr fontId="141" type="noConversion"/>
  </si>
  <si>
    <t>读数12</t>
    <phoneticPr fontId="141" type="noConversion"/>
  </si>
  <si>
    <t>读数13</t>
    <phoneticPr fontId="141" type="noConversion"/>
  </si>
  <si>
    <t>读数14</t>
    <phoneticPr fontId="141" type="noConversion"/>
  </si>
  <si>
    <t>读数15</t>
    <phoneticPr fontId="141" type="noConversion"/>
  </si>
  <si>
    <t>读数1</t>
    <phoneticPr fontId="141" type="noConversion"/>
  </si>
  <si>
    <t>读数2</t>
    <phoneticPr fontId="141" type="noConversion"/>
  </si>
  <si>
    <t>读数3</t>
    <phoneticPr fontId="141" type="noConversion"/>
  </si>
  <si>
    <t>读数4</t>
    <phoneticPr fontId="141" type="noConversion"/>
  </si>
  <si>
    <t>读数5</t>
    <phoneticPr fontId="141" type="noConversion"/>
  </si>
  <si>
    <t>读数6</t>
    <phoneticPr fontId="141" type="noConversion"/>
  </si>
  <si>
    <t>读数7</t>
    <phoneticPr fontId="141" type="noConversion"/>
  </si>
  <si>
    <t>读数8</t>
    <phoneticPr fontId="141" type="noConversion"/>
  </si>
  <si>
    <t>读数9</t>
    <phoneticPr fontId="141" type="noConversion"/>
  </si>
  <si>
    <t>读数10</t>
    <phoneticPr fontId="141" type="noConversion"/>
  </si>
  <si>
    <t>读数11</t>
    <phoneticPr fontId="141" type="noConversion"/>
  </si>
  <si>
    <t>读数12</t>
    <phoneticPr fontId="141" type="noConversion"/>
  </si>
  <si>
    <t>读数13</t>
    <phoneticPr fontId="141" type="noConversion"/>
  </si>
  <si>
    <t>读数14</t>
    <phoneticPr fontId="141" type="noConversion"/>
  </si>
  <si>
    <t>读数15</t>
    <phoneticPr fontId="141" type="noConversion"/>
  </si>
  <si>
    <t>读数1</t>
    <phoneticPr fontId="141" type="noConversion"/>
  </si>
  <si>
    <t>读数2</t>
    <phoneticPr fontId="141" type="noConversion"/>
  </si>
  <si>
    <t>读数3</t>
    <phoneticPr fontId="141" type="noConversion"/>
  </si>
  <si>
    <t>读数4</t>
    <phoneticPr fontId="141" type="noConversion"/>
  </si>
  <si>
    <t>读数5</t>
    <phoneticPr fontId="141" type="noConversion"/>
  </si>
  <si>
    <t>读数6</t>
    <phoneticPr fontId="141" type="noConversion"/>
  </si>
  <si>
    <t>读数7</t>
    <phoneticPr fontId="141" type="noConversion"/>
  </si>
  <si>
    <t>读数8</t>
    <phoneticPr fontId="141" type="noConversion"/>
  </si>
  <si>
    <t>读数9</t>
    <phoneticPr fontId="141" type="noConversion"/>
  </si>
  <si>
    <t>读数10</t>
    <phoneticPr fontId="141" type="noConversion"/>
  </si>
  <si>
    <t>读数11</t>
    <phoneticPr fontId="141" type="noConversion"/>
  </si>
  <si>
    <t>读数12</t>
    <phoneticPr fontId="141" type="noConversion"/>
  </si>
  <si>
    <t>读数13</t>
    <phoneticPr fontId="141" type="noConversion"/>
  </si>
  <si>
    <t>读数14</t>
    <phoneticPr fontId="141" type="noConversion"/>
  </si>
  <si>
    <t>读数15</t>
    <phoneticPr fontId="141" type="noConversion"/>
  </si>
  <si>
    <t>JJG 1072-2011 直流高压高值电阻器</t>
    <phoneticPr fontId="141" type="noConversion"/>
  </si>
  <si>
    <t>检定 校准</t>
    <phoneticPr fontId="141" type="noConversion"/>
  </si>
  <si>
    <t>备注</t>
    <phoneticPr fontId="141" type="noConversion"/>
  </si>
  <si>
    <t>外观及线路</t>
    <phoneticPr fontId="141" type="noConversion"/>
  </si>
  <si>
    <t>合格、不合格、/</t>
    <phoneticPr fontId="141" type="noConversion"/>
  </si>
  <si>
    <t>绝缘电阻</t>
    <phoneticPr fontId="141" type="noConversion"/>
  </si>
  <si>
    <t>没有给出校准证书，判断？？校准证书比检定证书多一个“校准证书的不确定度”其他不变化</t>
    <phoneticPr fontId="141" type="noConversion"/>
  </si>
  <si>
    <t>工频耐压试验</t>
    <phoneticPr fontId="141" type="noConversion"/>
  </si>
  <si>
    <t>数值</t>
    <phoneticPr fontId="141" type="noConversion"/>
  </si>
  <si>
    <t>开关接触电阻变差</t>
    <phoneticPr fontId="141" type="noConversion"/>
  </si>
  <si>
    <t>为JJG 1072-2011 直流高压高值电阻器-高阻箱GZX92A-2015的基本误差下的电阻示值（盘值（盘点数固定）和定值（行增加））</t>
    <phoneticPr fontId="141" type="noConversion"/>
  </si>
  <si>
    <t>电压变差</t>
    <phoneticPr fontId="141" type="noConversion"/>
  </si>
  <si>
    <t>六、基本误差：</t>
    <phoneticPr fontId="141" type="noConversion"/>
  </si>
  <si>
    <r>
      <t>1</t>
    </r>
    <r>
      <rPr>
        <sz val="12"/>
        <rFont val="宋体"/>
        <family val="3"/>
        <charset val="134"/>
      </rPr>
      <t>.电阻示值：</t>
    </r>
    <phoneticPr fontId="141" type="noConversion"/>
  </si>
  <si>
    <t>GΩ</t>
    <phoneticPr fontId="141" type="noConversion"/>
  </si>
  <si>
    <t>校准结果的不确定度</t>
    <phoneticPr fontId="141" type="noConversion"/>
  </si>
  <si>
    <r>
      <t xml:space="preserve">实际值 </t>
    </r>
    <r>
      <rPr>
        <sz val="12"/>
        <rFont val="宋体"/>
        <family val="3"/>
        <charset val="134"/>
      </rPr>
      <t xml:space="preserve">    </t>
    </r>
    <r>
      <rPr>
        <sz val="12"/>
        <rFont val="宋体"/>
        <family val="3"/>
        <charset val="134"/>
      </rPr>
      <t>（GΩ）</t>
    </r>
    <phoneticPr fontId="141" type="noConversion"/>
  </si>
  <si>
    <r>
      <t xml:space="preserve">实际值 </t>
    </r>
    <r>
      <rPr>
        <sz val="12"/>
        <rFont val="宋体"/>
        <family val="3"/>
        <charset val="134"/>
      </rPr>
      <t xml:space="preserve">   </t>
    </r>
    <r>
      <rPr>
        <sz val="12"/>
        <rFont val="宋体"/>
        <family val="3"/>
        <charset val="134"/>
      </rPr>
      <t>（MΩ）</t>
    </r>
    <phoneticPr fontId="141" type="noConversion"/>
  </si>
  <si>
    <t>10.07</t>
    <phoneticPr fontId="141" type="noConversion"/>
  </si>
  <si>
    <r>
      <t>1</t>
    </r>
    <r>
      <rPr>
        <sz val="12"/>
        <rFont val="宋体"/>
        <family val="3"/>
        <charset val="134"/>
      </rPr>
      <t>.007</t>
    </r>
    <phoneticPr fontId="141" type="noConversion"/>
  </si>
  <si>
    <r>
      <t>9</t>
    </r>
    <r>
      <rPr>
        <sz val="12"/>
        <rFont val="宋体"/>
        <family val="3"/>
        <charset val="134"/>
      </rPr>
      <t>9.8</t>
    </r>
    <phoneticPr fontId="141" type="noConversion"/>
  </si>
  <si>
    <t>20.09</t>
    <phoneticPr fontId="141" type="noConversion"/>
  </si>
  <si>
    <r>
      <t>2</t>
    </r>
    <r>
      <rPr>
        <sz val="12"/>
        <rFont val="宋体"/>
        <family val="3"/>
        <charset val="134"/>
      </rPr>
      <t>.006</t>
    </r>
    <phoneticPr fontId="141" type="noConversion"/>
  </si>
  <si>
    <r>
      <t>1</t>
    </r>
    <r>
      <rPr>
        <sz val="12"/>
        <rFont val="宋体"/>
        <family val="3"/>
        <charset val="134"/>
      </rPr>
      <t>99.7</t>
    </r>
    <phoneticPr fontId="141" type="noConversion"/>
  </si>
  <si>
    <t>表格重复3次</t>
    <phoneticPr fontId="141" type="noConversion"/>
  </si>
  <si>
    <r>
      <t>3</t>
    </r>
    <r>
      <rPr>
        <sz val="12"/>
        <rFont val="宋体"/>
        <family val="3"/>
        <charset val="134"/>
      </rPr>
      <t>0.12</t>
    </r>
    <phoneticPr fontId="141" type="noConversion"/>
  </si>
  <si>
    <r>
      <t>3</t>
    </r>
    <r>
      <rPr>
        <sz val="12"/>
        <rFont val="宋体"/>
        <family val="3"/>
        <charset val="134"/>
      </rPr>
      <t>.004</t>
    </r>
    <phoneticPr fontId="141" type="noConversion"/>
  </si>
  <si>
    <r>
      <t>2</t>
    </r>
    <r>
      <rPr>
        <sz val="12"/>
        <rFont val="宋体"/>
        <family val="3"/>
        <charset val="134"/>
      </rPr>
      <t>99.5</t>
    </r>
    <phoneticPr fontId="141" type="noConversion"/>
  </si>
  <si>
    <r>
      <t>4</t>
    </r>
    <r>
      <rPr>
        <sz val="12"/>
        <rFont val="宋体"/>
        <family val="3"/>
        <charset val="134"/>
      </rPr>
      <t>0.22</t>
    </r>
    <phoneticPr fontId="141" type="noConversion"/>
  </si>
  <si>
    <r>
      <t>4</t>
    </r>
    <r>
      <rPr>
        <sz val="12"/>
        <rFont val="宋体"/>
        <family val="3"/>
        <charset val="134"/>
      </rPr>
      <t>.011</t>
    </r>
    <phoneticPr fontId="141" type="noConversion"/>
  </si>
  <si>
    <r>
      <t>3</t>
    </r>
    <r>
      <rPr>
        <sz val="12"/>
        <rFont val="宋体"/>
        <family val="3"/>
        <charset val="134"/>
      </rPr>
      <t>99.3</t>
    </r>
    <phoneticPr fontId="141" type="noConversion"/>
  </si>
  <si>
    <r>
      <t>5</t>
    </r>
    <r>
      <rPr>
        <sz val="12"/>
        <rFont val="宋体"/>
        <family val="3"/>
        <charset val="134"/>
      </rPr>
      <t>0.27</t>
    </r>
    <phoneticPr fontId="141" type="noConversion"/>
  </si>
  <si>
    <r>
      <t>5</t>
    </r>
    <r>
      <rPr>
        <sz val="12"/>
        <rFont val="宋体"/>
        <family val="3"/>
        <charset val="134"/>
      </rPr>
      <t>.018</t>
    </r>
    <phoneticPr fontId="141" type="noConversion"/>
  </si>
  <si>
    <r>
      <t>4</t>
    </r>
    <r>
      <rPr>
        <sz val="12"/>
        <rFont val="宋体"/>
        <family val="3"/>
        <charset val="134"/>
      </rPr>
      <t>99.5</t>
    </r>
    <phoneticPr fontId="141" type="noConversion"/>
  </si>
  <si>
    <r>
      <t>6</t>
    </r>
    <r>
      <rPr>
        <sz val="12"/>
        <rFont val="宋体"/>
        <family val="3"/>
        <charset val="134"/>
      </rPr>
      <t>0.37</t>
    </r>
    <phoneticPr fontId="141" type="noConversion"/>
  </si>
  <si>
    <r>
      <t>6</t>
    </r>
    <r>
      <rPr>
        <sz val="12"/>
        <rFont val="宋体"/>
        <family val="3"/>
        <charset val="134"/>
      </rPr>
      <t>.024</t>
    </r>
    <phoneticPr fontId="141" type="noConversion"/>
  </si>
  <si>
    <r>
      <t>5</t>
    </r>
    <r>
      <rPr>
        <sz val="12"/>
        <rFont val="宋体"/>
        <family val="3"/>
        <charset val="134"/>
      </rPr>
      <t>99.2</t>
    </r>
    <phoneticPr fontId="141" type="noConversion"/>
  </si>
  <si>
    <r>
      <t>6</t>
    </r>
    <r>
      <rPr>
        <sz val="12"/>
        <rFont val="宋体"/>
        <family val="3"/>
        <charset val="134"/>
      </rPr>
      <t>9.78</t>
    </r>
    <phoneticPr fontId="141" type="noConversion"/>
  </si>
  <si>
    <r>
      <t>7</t>
    </r>
    <r>
      <rPr>
        <sz val="12"/>
        <rFont val="宋体"/>
        <family val="3"/>
        <charset val="134"/>
      </rPr>
      <t>.028</t>
    </r>
    <phoneticPr fontId="141" type="noConversion"/>
  </si>
  <si>
    <r>
      <t>6</t>
    </r>
    <r>
      <rPr>
        <sz val="12"/>
        <rFont val="宋体"/>
        <family val="3"/>
        <charset val="134"/>
      </rPr>
      <t>99.5</t>
    </r>
    <phoneticPr fontId="141" type="noConversion"/>
  </si>
  <si>
    <r>
      <t>8</t>
    </r>
    <r>
      <rPr>
        <sz val="12"/>
        <rFont val="宋体"/>
        <family val="3"/>
        <charset val="134"/>
      </rPr>
      <t>0.89</t>
    </r>
    <phoneticPr fontId="141" type="noConversion"/>
  </si>
  <si>
    <r>
      <t>8</t>
    </r>
    <r>
      <rPr>
        <sz val="12"/>
        <rFont val="宋体"/>
        <family val="3"/>
        <charset val="134"/>
      </rPr>
      <t>.034</t>
    </r>
    <phoneticPr fontId="141" type="noConversion"/>
  </si>
  <si>
    <r>
      <t>7</t>
    </r>
    <r>
      <rPr>
        <sz val="12"/>
        <rFont val="宋体"/>
        <family val="3"/>
        <charset val="134"/>
      </rPr>
      <t>98.9</t>
    </r>
    <phoneticPr fontId="141" type="noConversion"/>
  </si>
  <si>
    <r>
      <t>9</t>
    </r>
    <r>
      <rPr>
        <sz val="12"/>
        <rFont val="宋体"/>
        <family val="3"/>
        <charset val="134"/>
      </rPr>
      <t>1.34</t>
    </r>
    <phoneticPr fontId="141" type="noConversion"/>
  </si>
  <si>
    <r>
      <t>9</t>
    </r>
    <r>
      <rPr>
        <sz val="12"/>
        <rFont val="宋体"/>
        <family val="3"/>
        <charset val="134"/>
      </rPr>
      <t>.044</t>
    </r>
    <phoneticPr fontId="141" type="noConversion"/>
  </si>
  <si>
    <r>
      <t>8</t>
    </r>
    <r>
      <rPr>
        <sz val="12"/>
        <rFont val="宋体"/>
        <family val="3"/>
        <charset val="134"/>
      </rPr>
      <t>98.7</t>
    </r>
    <phoneticPr fontId="141" type="noConversion"/>
  </si>
  <si>
    <r>
      <t>1</t>
    </r>
    <r>
      <rPr>
        <sz val="12"/>
        <rFont val="宋体"/>
        <family val="3"/>
        <charset val="134"/>
      </rPr>
      <t>03.47</t>
    </r>
    <phoneticPr fontId="141" type="noConversion"/>
  </si>
  <si>
    <r>
      <t>1</t>
    </r>
    <r>
      <rPr>
        <sz val="12"/>
        <rFont val="宋体"/>
        <family val="3"/>
        <charset val="134"/>
      </rPr>
      <t>0.058</t>
    </r>
    <phoneticPr fontId="141" type="noConversion"/>
  </si>
  <si>
    <r>
      <t>9</t>
    </r>
    <r>
      <rPr>
        <sz val="12"/>
        <rFont val="宋体"/>
        <family val="3"/>
        <charset val="134"/>
      </rPr>
      <t>98.5</t>
    </r>
    <phoneticPr fontId="141" type="noConversion"/>
  </si>
  <si>
    <t>允许误差(%)</t>
    <phoneticPr fontId="141" type="noConversion"/>
  </si>
  <si>
    <t>±5</t>
    <phoneticPr fontId="141" type="noConversion"/>
  </si>
  <si>
    <r>
      <t>2</t>
    </r>
    <r>
      <rPr>
        <sz val="12"/>
        <rFont val="宋体"/>
        <family val="3"/>
        <charset val="134"/>
      </rPr>
      <t>.定值电阻</t>
    </r>
    <phoneticPr fontId="141" type="noConversion"/>
  </si>
  <si>
    <t>实际值</t>
    <phoneticPr fontId="141" type="noConversion"/>
  </si>
  <si>
    <t>可以增加行</t>
    <phoneticPr fontId="141" type="noConversion"/>
  </si>
  <si>
    <t>GΩ</t>
    <phoneticPr fontId="141" type="noConversion"/>
  </si>
  <si>
    <t>±5</t>
    <phoneticPr fontId="141" type="noConversion"/>
  </si>
  <si>
    <t>V</t>
    <phoneticPr fontId="141" type="noConversion"/>
  </si>
  <si>
    <t>JJG-313-2010《测量用电流互感器》</t>
    <phoneticPr fontId="141" type="noConversion"/>
  </si>
  <si>
    <t>校准证书，没有不确定度</t>
    <phoneticPr fontId="141" type="noConversion"/>
  </si>
  <si>
    <t>备注</t>
    <phoneticPr fontId="141" type="noConversion"/>
  </si>
  <si>
    <t>合格、不合格、/</t>
    <phoneticPr fontId="141" type="noConversion"/>
  </si>
  <si>
    <t>绝缘电阻测量</t>
    <phoneticPr fontId="141" type="noConversion"/>
  </si>
  <si>
    <t>绕组极性检查</t>
    <phoneticPr fontId="141" type="noConversion"/>
  </si>
  <si>
    <t>正确、不正确</t>
    <phoneticPr fontId="141" type="noConversion"/>
  </si>
  <si>
    <t>默认为正确</t>
    <phoneticPr fontId="141" type="noConversion"/>
  </si>
  <si>
    <t>分类：变比测试和误差测试</t>
    <phoneticPr fontId="141" type="noConversion"/>
  </si>
  <si>
    <r>
      <t> </t>
    </r>
    <r>
      <rPr>
        <b/>
        <sz val="11"/>
        <rFont val="宋体"/>
        <family val="3"/>
        <charset val="134"/>
      </rPr>
      <t>基本误差</t>
    </r>
    <r>
      <rPr>
        <b/>
        <sz val="11"/>
        <rFont val="Times New Roman"/>
        <family val="1"/>
      </rPr>
      <t>-</t>
    </r>
    <r>
      <rPr>
        <b/>
        <sz val="11"/>
        <rFont val="宋体"/>
        <family val="3"/>
        <charset val="134"/>
      </rPr>
      <t>变比测试</t>
    </r>
  </si>
  <si>
    <t>检定证书</t>
    <phoneticPr fontId="141" type="noConversion"/>
  </si>
  <si>
    <t>校准证书</t>
    <phoneticPr fontId="141" type="noConversion"/>
  </si>
  <si>
    <t>CT变比测量示值</t>
    <phoneticPr fontId="141" type="noConversion"/>
  </si>
  <si>
    <t>100.0:5.001</t>
    <phoneticPr fontId="141" type="noConversion"/>
  </si>
  <si>
    <t>100.0:5.0000</t>
    <phoneticPr fontId="141" type="noConversion"/>
  </si>
  <si>
    <t>200.0:5.001</t>
    <phoneticPr fontId="141" type="noConversion"/>
  </si>
  <si>
    <t>200.0:5.0000</t>
    <phoneticPr fontId="141" type="noConversion"/>
  </si>
  <si>
    <t>600.0:5.000</t>
    <phoneticPr fontId="141" type="noConversion"/>
  </si>
  <si>
    <t>600.0:5.0000</t>
    <phoneticPr fontId="141" type="noConversion"/>
  </si>
  <si>
    <t>800.0:5.001</t>
    <phoneticPr fontId="141" type="noConversion"/>
  </si>
  <si>
    <t>800.0:5.0000</t>
    <phoneticPr fontId="141" type="noConversion"/>
  </si>
  <si>
    <t>1000.0:5.001</t>
    <phoneticPr fontId="141" type="noConversion"/>
  </si>
  <si>
    <t>1000.0:5.0000</t>
    <phoneticPr fontId="141" type="noConversion"/>
  </si>
  <si>
    <t>1200.0:5.001</t>
    <phoneticPr fontId="141" type="noConversion"/>
  </si>
  <si>
    <t>1200.0:5.0000</t>
    <phoneticPr fontId="141" type="noConversion"/>
  </si>
  <si>
    <t>1500.0:5.001</t>
    <phoneticPr fontId="141" type="noConversion"/>
  </si>
  <si>
    <t>1500.0:5.0000</t>
    <phoneticPr fontId="141" type="noConversion"/>
  </si>
  <si>
    <t>2000.0:5.000</t>
    <phoneticPr fontId="141" type="noConversion"/>
  </si>
  <si>
    <t>2500.0:5.0000</t>
    <phoneticPr fontId="141" type="noConversion"/>
  </si>
  <si>
    <t>2500.0:4.999</t>
    <phoneticPr fontId="141" type="noConversion"/>
  </si>
  <si>
    <t>3000.0:5.000</t>
    <phoneticPr fontId="141" type="noConversion"/>
  </si>
  <si>
    <t>3000.0:5.0000</t>
    <phoneticPr fontId="141" type="noConversion"/>
  </si>
  <si>
    <t>4000.0:5.000</t>
    <phoneticPr fontId="141" type="noConversion"/>
  </si>
  <si>
    <t>4000.0:5.0000</t>
    <phoneticPr fontId="141" type="noConversion"/>
  </si>
  <si>
    <t>600.0:1.000</t>
    <phoneticPr fontId="141" type="noConversion"/>
  </si>
  <si>
    <t>600.0:1.0000</t>
    <phoneticPr fontId="141" type="noConversion"/>
  </si>
  <si>
    <r>
      <t>8</t>
    </r>
    <r>
      <rPr>
        <sz val="12"/>
        <rFont val="宋体"/>
        <family val="3"/>
        <charset val="134"/>
      </rPr>
      <t>00.0:1.000</t>
    </r>
    <phoneticPr fontId="141" type="noConversion"/>
  </si>
  <si>
    <t>1200.0:1.000</t>
    <phoneticPr fontId="141" type="noConversion"/>
  </si>
  <si>
    <t>1200.0:1.0000</t>
    <phoneticPr fontId="141" type="noConversion"/>
  </si>
  <si>
    <t>2000.0:1.000</t>
    <phoneticPr fontId="141" type="noConversion"/>
  </si>
  <si>
    <t>2500.0:1.000</t>
    <phoneticPr fontId="141" type="noConversion"/>
  </si>
  <si>
    <t>2500.0:1.0000</t>
    <phoneticPr fontId="141" type="noConversion"/>
  </si>
  <si>
    <t>3000.0:1.000</t>
    <phoneticPr fontId="141" type="noConversion"/>
  </si>
  <si>
    <t>3000.0:1.0000</t>
    <phoneticPr fontId="141" type="noConversion"/>
  </si>
  <si>
    <t>4000.0:1.000</t>
    <phoneticPr fontId="141" type="noConversion"/>
  </si>
  <si>
    <t>4000.0:1.0000</t>
    <phoneticPr fontId="141" type="noConversion"/>
  </si>
  <si>
    <t>是否有“测试方法”这一列，惠通盛1909282doc-原始记录中没有这一列，其他相同</t>
    <phoneticPr fontId="141" type="noConversion"/>
  </si>
  <si>
    <r>
      <t>比值差</t>
    </r>
    <r>
      <rPr>
        <i/>
        <sz val="10.5"/>
        <rFont val="Bookman Old Style"/>
        <family val="1"/>
      </rPr>
      <t>f</t>
    </r>
    <r>
      <rPr>
        <sz val="10.5"/>
        <rFont val="宋体"/>
        <family val="3"/>
        <charset val="134"/>
      </rPr>
      <t>的倍率因数：％</t>
    </r>
    <phoneticPr fontId="141" type="noConversion"/>
  </si>
  <si>
    <r>
      <t> </t>
    </r>
    <r>
      <rPr>
        <b/>
        <sz val="11"/>
        <rFont val="宋体"/>
        <family val="3"/>
        <charset val="134"/>
      </rPr>
      <t>基本误差</t>
    </r>
    <r>
      <rPr>
        <b/>
        <sz val="11"/>
        <rFont val="Times New Roman"/>
        <family val="1"/>
      </rPr>
      <t>-</t>
    </r>
    <r>
      <rPr>
        <b/>
        <sz val="11"/>
        <rFont val="宋体"/>
        <family val="3"/>
        <charset val="134"/>
      </rPr>
      <t>误差测试，其模板参考证书修改。</t>
    </r>
  </si>
  <si>
    <r>
      <t>相位差</t>
    </r>
    <r>
      <rPr>
        <i/>
        <sz val="10.5"/>
        <rFont val="Bookman Old Style"/>
        <family val="1"/>
      </rPr>
      <t>δ</t>
    </r>
    <r>
      <rPr>
        <sz val="10.5"/>
        <rFont val="宋体"/>
        <family val="3"/>
        <charset val="134"/>
      </rPr>
      <t>的倍率因数： ′</t>
    </r>
    <phoneticPr fontId="141" type="noConversion"/>
  </si>
  <si>
    <t>量限数目不确定，故而行数目不确定。</t>
  </si>
  <si>
    <t>量限</t>
    <phoneticPr fontId="141" type="noConversion"/>
  </si>
  <si>
    <t>测试方法</t>
    <phoneticPr fontId="141" type="noConversion"/>
  </si>
  <si>
    <t>误差</t>
    <phoneticPr fontId="141" type="noConversion"/>
  </si>
  <si>
    <t>额定电流百分值</t>
    <phoneticPr fontId="141" type="noConversion"/>
  </si>
  <si>
    <t>二次负荷</t>
    <phoneticPr fontId="141" type="noConversion"/>
  </si>
  <si>
    <t>二次负荷</t>
  </si>
  <si>
    <r>
      <t>1</t>
    </r>
    <r>
      <rPr>
        <sz val="12"/>
        <rFont val="宋体"/>
        <family val="3"/>
        <charset val="134"/>
      </rPr>
      <t xml:space="preserve">00
——
5                               </t>
    </r>
    <phoneticPr fontId="141" type="noConversion"/>
  </si>
  <si>
    <r>
      <t>C</t>
    </r>
    <r>
      <rPr>
        <sz val="12"/>
        <rFont val="宋体"/>
        <family val="3"/>
        <charset val="134"/>
      </rPr>
      <t>T分析</t>
    </r>
    <r>
      <rPr>
        <sz val="12"/>
        <rFont val="宋体"/>
        <family val="3"/>
        <charset val="134"/>
      </rPr>
      <t>测试仪</t>
    </r>
    <phoneticPr fontId="141" type="noConversion"/>
  </si>
  <si>
    <t>f</t>
    <phoneticPr fontId="141" type="noConversion"/>
  </si>
  <si>
    <r>
      <t>1</t>
    </r>
    <r>
      <rPr>
        <sz val="12"/>
        <rFont val="宋体"/>
        <family val="3"/>
        <charset val="134"/>
      </rPr>
      <t xml:space="preserve">00       ——       5                               </t>
    </r>
    <phoneticPr fontId="141" type="noConversion"/>
  </si>
  <si>
    <t>常规差流法</t>
    <phoneticPr fontId="141" type="noConversion"/>
  </si>
  <si>
    <t>测量比对结果</t>
    <phoneticPr fontId="141" type="noConversion"/>
  </si>
  <si>
    <t xml:space="preserve">600
——
5                               </t>
    <phoneticPr fontId="141" type="noConversion"/>
  </si>
  <si>
    <t xml:space="preserve">600       ——         5                               </t>
    <phoneticPr fontId="141" type="noConversion"/>
  </si>
  <si>
    <t>JJF 1075-2001 《钳形电流表校准规范》</t>
    <phoneticPr fontId="141" type="noConversion"/>
  </si>
  <si>
    <t>校准书</t>
    <phoneticPr fontId="141" type="noConversion"/>
  </si>
  <si>
    <t>备注</t>
    <phoneticPr fontId="141" type="noConversion"/>
  </si>
  <si>
    <t>外观检测</t>
    <phoneticPr fontId="141" type="noConversion"/>
  </si>
  <si>
    <t>合格、不合格、/</t>
    <phoneticPr fontId="141" type="noConversion"/>
  </si>
  <si>
    <t>绝缘电阻</t>
    <phoneticPr fontId="141" type="noConversion"/>
  </si>
  <si>
    <t>探头</t>
    <phoneticPr fontId="141" type="noConversion"/>
  </si>
  <si>
    <t>钳形表</t>
    <phoneticPr fontId="141" type="noConversion"/>
  </si>
  <si>
    <t>基本误差</t>
    <phoneticPr fontId="141" type="noConversion"/>
  </si>
  <si>
    <t>数据录入</t>
    <phoneticPr fontId="141" type="noConversion"/>
  </si>
  <si>
    <t>显示能力</t>
    <phoneticPr fontId="141" type="noConversion"/>
  </si>
  <si>
    <t>行数不固定</t>
    <phoneticPr fontId="141" type="noConversion"/>
  </si>
  <si>
    <t>检定证书没有校准结果不确定度</t>
    <phoneticPr fontId="141" type="noConversion"/>
  </si>
  <si>
    <t>量程</t>
    <phoneticPr fontId="141" type="noConversion"/>
  </si>
  <si>
    <t>标准电流值(A)</t>
    <phoneticPr fontId="141" type="noConversion"/>
  </si>
  <si>
    <t>电流表显示值(A)</t>
    <phoneticPr fontId="141" type="noConversion"/>
  </si>
  <si>
    <t>标准电压值(V)</t>
    <phoneticPr fontId="141" type="noConversion"/>
  </si>
  <si>
    <t>电压表显示值(V)</t>
    <phoneticPr fontId="141" type="noConversion"/>
  </si>
  <si>
    <t>电流值(A)</t>
    <phoneticPr fontId="141" type="noConversion"/>
  </si>
  <si>
    <t>计算后实际电流值(A)</t>
    <phoneticPr fontId="141" type="noConversion"/>
  </si>
  <si>
    <t>最大基本误差(%)</t>
    <phoneticPr fontId="141" type="noConversion"/>
  </si>
  <si>
    <t>引用误差(%)</t>
    <phoneticPr fontId="141" type="noConversion"/>
  </si>
  <si>
    <t>不确定度
（k=2）</t>
    <phoneticPr fontId="141" type="noConversion"/>
  </si>
  <si>
    <t>检定证书</t>
    <phoneticPr fontId="141" type="noConversion"/>
  </si>
  <si>
    <t xml:space="preserve">显示值(A) </t>
  </si>
  <si>
    <t>最大基本误差</t>
  </si>
  <si>
    <t>校准证书</t>
    <phoneticPr fontId="141" type="noConversion"/>
  </si>
  <si>
    <r>
      <t>校准结果的不确定度（</t>
    </r>
    <r>
      <rPr>
        <i/>
        <sz val="12"/>
        <rFont val="宋体"/>
        <family val="3"/>
        <charset val="134"/>
      </rPr>
      <t>k=2</t>
    </r>
    <r>
      <rPr>
        <sz val="12"/>
        <rFont val="宋体"/>
        <family val="3"/>
        <charset val="134"/>
      </rPr>
      <t>）</t>
    </r>
  </si>
  <si>
    <t>A</t>
    <phoneticPr fontId="141" type="noConversion"/>
  </si>
  <si>
    <t xml:space="preserve">（%） </t>
  </si>
  <si>
    <t>300A（10mv/A）</t>
    <phoneticPr fontId="141" type="noConversion"/>
  </si>
  <si>
    <t>(10mv/A)</t>
    <phoneticPr fontId="141" type="noConversion"/>
  </si>
  <si>
    <t>3000A（1mv/A）</t>
    <phoneticPr fontId="141" type="noConversion"/>
  </si>
  <si>
    <t>(1mv/A)</t>
    <phoneticPr fontId="141" type="noConversion"/>
  </si>
  <si>
    <t>钳形表</t>
    <phoneticPr fontId="141" type="noConversion"/>
  </si>
  <si>
    <t>量程</t>
    <phoneticPr fontId="141" type="noConversion"/>
  </si>
  <si>
    <t>标准值(A)</t>
    <phoneticPr fontId="141" type="noConversion"/>
  </si>
  <si>
    <t>显示值(A)</t>
    <phoneticPr fontId="141" type="noConversion"/>
  </si>
  <si>
    <t>绝对值</t>
    <phoneticPr fontId="141" type="noConversion"/>
  </si>
  <si>
    <t xml:space="preserve">（%） </t>
    <phoneticPr fontId="141" type="noConversion"/>
  </si>
  <si>
    <t>2000A</t>
  </si>
  <si>
    <t>JJG970-2002《变压比电桥》</t>
    <phoneticPr fontId="141" type="noConversion"/>
  </si>
  <si>
    <t>不做</t>
    <phoneticPr fontId="141" type="noConversion"/>
  </si>
  <si>
    <t>即三相连接组别 数据录入</t>
    <phoneticPr fontId="141" type="noConversion"/>
  </si>
  <si>
    <t>数值</t>
    <phoneticPr fontId="141" type="noConversion"/>
  </si>
  <si>
    <t>1、变比示值</t>
    <phoneticPr fontId="141" type="noConversion"/>
  </si>
  <si>
    <t>校准</t>
    <phoneticPr fontId="141" type="noConversion"/>
  </si>
  <si>
    <t>检定证书</t>
    <phoneticPr fontId="141" type="noConversion"/>
  </si>
  <si>
    <t>校准证书</t>
    <phoneticPr fontId="141" type="noConversion"/>
  </si>
  <si>
    <t>标准变比</t>
    <phoneticPr fontId="141" type="noConversion"/>
  </si>
  <si>
    <t>显示变比</t>
    <phoneticPr fontId="141" type="noConversion"/>
  </si>
  <si>
    <t>显示误差（%）</t>
    <phoneticPr fontId="141" type="noConversion"/>
  </si>
  <si>
    <t>计算误差（%）</t>
    <phoneticPr fontId="141" type="noConversion"/>
  </si>
  <si>
    <t>不确定度
（k=2）</t>
    <phoneticPr fontId="141" type="noConversion"/>
  </si>
  <si>
    <t>右面插入的批注，在证书中是否显示，待确认</t>
    <phoneticPr fontId="141" type="noConversion"/>
  </si>
  <si>
    <t xml:space="preserve">1、 标准变比在方案中固定。
2、 显示变比数据录入输入
3、计算误差=（显示变比-标准变比）/标准变比*100%
4、 显示误差：算法与计算误差相同，但是可以修改
5、显示误差和计算误差，小数点后两位。
要求：当重新做某一点时，只输入重做的，不需要所有都重新输入。
</t>
    <phoneticPr fontId="141" type="noConversion"/>
  </si>
  <si>
    <t>2、标准偏差</t>
    <phoneticPr fontId="141" type="noConversion"/>
  </si>
  <si>
    <t>检定/校准证书</t>
    <phoneticPr fontId="141" type="noConversion"/>
  </si>
  <si>
    <t>检定次数</t>
    <phoneticPr fontId="141" type="noConversion"/>
  </si>
  <si>
    <r>
      <t>测得值（x</t>
    </r>
    <r>
      <rPr>
        <vertAlign val="subscript"/>
        <sz val="9"/>
        <rFont val="宋体"/>
        <family val="3"/>
        <charset val="134"/>
      </rPr>
      <t>i</t>
    </r>
    <r>
      <rPr>
        <sz val="9"/>
        <rFont val="宋体"/>
        <family val="3"/>
        <charset val="134"/>
      </rPr>
      <t>）</t>
    </r>
    <phoneticPr fontId="141" type="noConversion"/>
  </si>
  <si>
    <t>平均值（x）</t>
    <phoneticPr fontId="141" type="noConversion"/>
  </si>
  <si>
    <t>平均值为小数点后三位</t>
    <phoneticPr fontId="141" type="noConversion"/>
  </si>
  <si>
    <t>标准偏差</t>
    <phoneticPr fontId="141" type="noConversion"/>
  </si>
  <si>
    <t>标准偏差为小数点后两位</t>
    <phoneticPr fontId="141" type="noConversion"/>
  </si>
  <si>
    <t>3、三相连接组别</t>
    <phoneticPr fontId="141" type="noConversion"/>
  </si>
  <si>
    <t>组别</t>
    <phoneticPr fontId="141" type="noConversion"/>
  </si>
  <si>
    <t>Y/y0</t>
    <phoneticPr fontId="141" type="noConversion"/>
  </si>
  <si>
    <t>Y/y6</t>
    <phoneticPr fontId="141" type="noConversion"/>
  </si>
  <si>
    <t>D/d0</t>
    <phoneticPr fontId="141" type="noConversion"/>
  </si>
  <si>
    <t>D/d6</t>
    <phoneticPr fontId="141" type="noConversion"/>
  </si>
  <si>
    <t>Y/d5</t>
    <phoneticPr fontId="141" type="noConversion"/>
  </si>
  <si>
    <t>Y/d11</t>
    <phoneticPr fontId="141" type="noConversion"/>
  </si>
  <si>
    <t>D/y5</t>
    <phoneticPr fontId="141" type="noConversion"/>
  </si>
  <si>
    <t>D/y11</t>
    <phoneticPr fontId="141" type="noConversion"/>
  </si>
  <si>
    <t>变比值</t>
    <phoneticPr fontId="141" type="noConversion"/>
  </si>
  <si>
    <t>10×√3</t>
    <phoneticPr fontId="141" type="noConversion"/>
  </si>
  <si>
    <t>10/√3</t>
    <phoneticPr fontId="141" type="noConversion"/>
  </si>
  <si>
    <t>显示值/误差（%）</t>
    <phoneticPr fontId="141" type="noConversion"/>
  </si>
  <si>
    <t>AB</t>
    <phoneticPr fontId="141" type="noConversion"/>
  </si>
  <si>
    <t>误差=（显示值-变比值）/变比值*100%，小数点两位</t>
    <phoneticPr fontId="141" type="noConversion"/>
  </si>
  <si>
    <t>BC</t>
    <phoneticPr fontId="141" type="noConversion"/>
  </si>
  <si>
    <t>CA</t>
    <phoneticPr fontId="141" type="noConversion"/>
  </si>
  <si>
    <r>
      <t>B</t>
    </r>
    <r>
      <rPr>
        <sz val="12"/>
        <rFont val="宋体"/>
        <family val="3"/>
        <charset val="134"/>
      </rPr>
      <t>C</t>
    </r>
    <phoneticPr fontId="141" type="noConversion"/>
  </si>
  <si>
    <r>
      <t>C</t>
    </r>
    <r>
      <rPr>
        <sz val="12"/>
        <rFont val="宋体"/>
        <family val="3"/>
        <charset val="134"/>
      </rPr>
      <t>A</t>
    </r>
    <phoneticPr fontId="141" type="noConversion"/>
  </si>
  <si>
    <t>显示值</t>
    <phoneticPr fontId="141" type="noConversion"/>
  </si>
  <si>
    <t>误差（%）</t>
    <phoneticPr fontId="141" type="noConversion"/>
  </si>
  <si>
    <r>
      <t>Y</t>
    </r>
    <r>
      <rPr>
        <sz val="12"/>
        <rFont val="宋体"/>
        <family val="3"/>
        <charset val="134"/>
      </rPr>
      <t>/y0</t>
    </r>
    <phoneticPr fontId="141" type="noConversion"/>
  </si>
  <si>
    <t>问题：目前行列不变化</t>
    <phoneticPr fontId="141" type="noConversion"/>
  </si>
  <si>
    <t>JJG169-2010《互感器校验仪》</t>
    <phoneticPr fontId="141" type="noConversion"/>
  </si>
  <si>
    <t>误差测量</t>
  </si>
  <si>
    <t>数据录入，全检量程测量、非全检量程测量、电流互感器测量回路、电压互感器测量回路</t>
    <phoneticPr fontId="141" type="noConversion"/>
  </si>
  <si>
    <t>校验仪</t>
    <phoneticPr fontId="141" type="noConversion"/>
  </si>
  <si>
    <t>1、内附百分表误差测量</t>
    <phoneticPr fontId="141" type="noConversion"/>
  </si>
  <si>
    <t>仅校验仪</t>
    <phoneticPr fontId="141" type="noConversion"/>
  </si>
  <si>
    <t>额定工作电流(A)</t>
    <phoneticPr fontId="141" type="noConversion"/>
  </si>
  <si>
    <t>额定电流百分比</t>
    <phoneticPr fontId="141" type="noConversion"/>
  </si>
  <si>
    <t>显示值(A)</t>
    <phoneticPr fontId="141" type="noConversion"/>
  </si>
  <si>
    <t>标准值(A)</t>
    <phoneticPr fontId="141" type="noConversion"/>
  </si>
  <si>
    <t>误差</t>
    <phoneticPr fontId="141" type="noConversion"/>
  </si>
  <si>
    <t>最大基本误差</t>
    <phoneticPr fontId="141" type="noConversion"/>
  </si>
  <si>
    <t>结论</t>
    <phoneticPr fontId="141" type="noConversion"/>
  </si>
  <si>
    <r>
      <t>结论是最大基本误差&lt;</t>
    </r>
    <r>
      <rPr>
        <sz val="12"/>
        <rFont val="宋体"/>
        <family val="3"/>
        <charset val="134"/>
      </rPr>
      <t>=0.2,那么合格；否则不合格。</t>
    </r>
    <phoneticPr fontId="141" type="noConversion"/>
  </si>
  <si>
    <t>合格不合格</t>
  </si>
  <si>
    <t>算法与工作电流一样</t>
    <phoneticPr fontId="141" type="noConversion"/>
  </si>
  <si>
    <t>额定工作电压(V)</t>
    <phoneticPr fontId="141" type="noConversion"/>
  </si>
  <si>
    <t>额定电压百分比</t>
    <phoneticPr fontId="141" type="noConversion"/>
  </si>
  <si>
    <t>指示值(V)</t>
    <phoneticPr fontId="141" type="noConversion"/>
  </si>
  <si>
    <t xml:space="preserve"> 100/根号3</t>
    <phoneticPr fontId="141" type="noConversion"/>
  </si>
  <si>
    <t>仅校验仪</t>
    <phoneticPr fontId="141" type="noConversion"/>
  </si>
  <si>
    <t xml:space="preserve">   额定工作电压</t>
    <phoneticPr fontId="141" type="noConversion"/>
  </si>
  <si>
    <t>100/√3</t>
    <phoneticPr fontId="141" type="noConversion"/>
  </si>
  <si>
    <t>试验量程</t>
    <phoneticPr fontId="141" type="noConversion"/>
  </si>
  <si>
    <t>比值差变化</t>
    <phoneticPr fontId="141" type="noConversion"/>
  </si>
  <si>
    <r>
      <t>1×10</t>
    </r>
    <r>
      <rPr>
        <vertAlign val="superscript"/>
        <sz val="12"/>
        <rFont val="宋体"/>
        <family val="3"/>
        <charset val="134"/>
      </rPr>
      <t>-6</t>
    </r>
    <phoneticPr fontId="141" type="noConversion"/>
  </si>
  <si>
    <t>相位差变化</t>
    <phoneticPr fontId="141" type="noConversion"/>
  </si>
  <si>
    <t>0.001′</t>
    <phoneticPr fontId="141" type="noConversion"/>
  </si>
  <si>
    <r>
      <t xml:space="preserve"> </t>
    </r>
    <r>
      <rPr>
        <sz val="12"/>
        <rFont val="宋体"/>
        <family val="3"/>
        <charset val="134"/>
      </rPr>
      <t xml:space="preserve">  </t>
    </r>
    <r>
      <rPr>
        <sz val="12"/>
        <rFont val="宋体"/>
        <family val="3"/>
        <charset val="134"/>
      </rPr>
      <t>额定工作电流</t>
    </r>
    <phoneticPr fontId="141" type="noConversion"/>
  </si>
  <si>
    <t>A</t>
    <phoneticPr fontId="141" type="noConversion"/>
  </si>
  <si>
    <t>4误差测量</t>
    <phoneticPr fontId="141" type="noConversion"/>
  </si>
  <si>
    <t>4.1、全检量程检定</t>
    <phoneticPr fontId="141" type="noConversion"/>
  </si>
  <si>
    <t xml:space="preserve">   测量回路</t>
    <phoneticPr fontId="141" type="noConversion"/>
  </si>
  <si>
    <t>电流</t>
    <phoneticPr fontId="141" type="noConversion"/>
  </si>
  <si>
    <r>
      <t>量程</t>
    </r>
    <r>
      <rPr>
        <sz val="8"/>
        <rFont val="宋体"/>
        <family val="3"/>
        <charset val="134"/>
      </rPr>
      <t/>
    </r>
    <phoneticPr fontId="141" type="noConversion"/>
  </si>
  <si>
    <t xml:space="preserve">   额定工作电流电压</t>
    <phoneticPr fontId="141" type="noConversion"/>
  </si>
  <si>
    <t>5A</t>
    <phoneticPr fontId="141" type="noConversion"/>
  </si>
  <si>
    <t xml:space="preserve">   比值误差检定结果</t>
    <phoneticPr fontId="141" type="noConversion"/>
  </si>
  <si>
    <t>合格</t>
    <phoneticPr fontId="141" type="noConversion"/>
  </si>
  <si>
    <t xml:space="preserve">   相位误差检定结果</t>
    <phoneticPr fontId="141" type="noConversion"/>
  </si>
  <si>
    <t xml:space="preserve">   补充检定点检定结果</t>
    <phoneticPr fontId="141" type="noConversion"/>
  </si>
  <si>
    <t>4误差测量</t>
  </si>
  <si>
    <r>
      <t xml:space="preserve"> </t>
    </r>
    <r>
      <rPr>
        <sz val="12"/>
        <rFont val="宋体"/>
        <family val="3"/>
        <charset val="134"/>
      </rPr>
      <t xml:space="preserve">  </t>
    </r>
    <r>
      <rPr>
        <sz val="12"/>
        <rFont val="宋体"/>
        <family val="3"/>
        <charset val="134"/>
      </rPr>
      <t>电流电压无关性检定结果</t>
    </r>
    <phoneticPr fontId="141" type="noConversion"/>
  </si>
  <si>
    <t xml:space="preserve">     /</t>
    <phoneticPr fontId="141" type="noConversion"/>
  </si>
  <si>
    <t xml:space="preserve">   分/弧量程检定结果</t>
    <phoneticPr fontId="141" type="noConversion"/>
  </si>
  <si>
    <t>4.2、非全检量程检定</t>
    <phoneticPr fontId="141" type="noConversion"/>
  </si>
  <si>
    <t xml:space="preserve">   电流互感器测量回路受检量程</t>
    <phoneticPr fontId="141" type="noConversion"/>
  </si>
  <si>
    <t xml:space="preserve">   电压互感器测量回路受检量程</t>
    <phoneticPr fontId="141" type="noConversion"/>
  </si>
  <si>
    <t>算法参考公式</t>
    <phoneticPr fontId="141" type="noConversion"/>
  </si>
  <si>
    <t>说明</t>
    <phoneticPr fontId="141" type="noConversion"/>
  </si>
  <si>
    <t>整检装置示值</t>
    <phoneticPr fontId="141" type="noConversion"/>
  </si>
  <si>
    <t>a=</t>
    <phoneticPr fontId="141" type="noConversion"/>
  </si>
  <si>
    <t>被检仪器示值</t>
    <phoneticPr fontId="141" type="noConversion"/>
  </si>
  <si>
    <t>误差</t>
    <phoneticPr fontId="141" type="noConversion"/>
  </si>
  <si>
    <t>允许误差 (±)</t>
    <phoneticPr fontId="141" type="noConversion"/>
  </si>
  <si>
    <t>正交分量(ˊ)</t>
    <phoneticPr fontId="141" type="noConversion"/>
  </si>
  <si>
    <t>比差量程</t>
    <phoneticPr fontId="141" type="noConversion"/>
  </si>
  <si>
    <t>角差量程</t>
    <phoneticPr fontId="141" type="noConversion"/>
  </si>
  <si>
    <t xml:space="preserve"> </t>
    <phoneticPr fontId="141" type="noConversion"/>
  </si>
  <si>
    <r>
      <t>△</t>
    </r>
    <r>
      <rPr>
        <i/>
        <sz val="10"/>
        <rFont val="宋体"/>
        <family val="3"/>
        <charset val="134"/>
      </rPr>
      <t>U/U</t>
    </r>
    <phoneticPr fontId="141" type="noConversion"/>
  </si>
  <si>
    <t>△U/U以及△I/I，PT，同时对应的行数目不确定</t>
    <phoneticPr fontId="141" type="noConversion"/>
  </si>
  <si>
    <t>U=100V</t>
    <phoneticPr fontId="141" type="noConversion"/>
  </si>
  <si>
    <t>互感器负荷仪</t>
    <phoneticPr fontId="141" type="noConversion"/>
  </si>
  <si>
    <t>1、误差测量</t>
    <phoneticPr fontId="141" type="noConversion"/>
  </si>
  <si>
    <r>
      <rPr>
        <sz val="12"/>
        <color indexed="10"/>
        <rFont val="宋体"/>
        <family val="3"/>
        <charset val="134"/>
      </rPr>
      <t>二次负荷导纳误差</t>
    </r>
    <r>
      <rPr>
        <sz val="12"/>
        <rFont val="Times New Roman"/>
        <family val="1"/>
      </rPr>
      <t xml:space="preserve"> </t>
    </r>
    <r>
      <rPr>
        <sz val="12"/>
        <rFont val="宋体"/>
        <family val="3"/>
        <charset val="134"/>
      </rPr>
      <t>工作电压</t>
    </r>
    <r>
      <rPr>
        <sz val="12"/>
        <rFont val="Times New Roman"/>
        <family val="1"/>
      </rPr>
      <t>100</t>
    </r>
    <r>
      <rPr>
        <sz val="12"/>
        <rFont val="宋体"/>
        <family val="3"/>
        <charset val="134"/>
      </rPr>
      <t>/ √3   V</t>
    </r>
    <phoneticPr fontId="141" type="noConversion"/>
  </si>
  <si>
    <r>
      <t>工作电压</t>
    </r>
    <r>
      <rPr>
        <sz val="12"/>
        <rFont val="Times New Roman"/>
        <family val="1"/>
      </rPr>
      <t>100</t>
    </r>
    <r>
      <rPr>
        <sz val="12"/>
        <rFont val="宋体"/>
        <family val="3"/>
        <charset val="134"/>
      </rPr>
      <t>/ √3   V</t>
    </r>
    <phoneticPr fontId="141" type="noConversion"/>
  </si>
  <si>
    <r>
      <t>标准值（</t>
    </r>
    <r>
      <rPr>
        <sz val="10.5"/>
        <rFont val="Times New Roman"/>
        <family val="1"/>
      </rPr>
      <t>mS</t>
    </r>
    <r>
      <rPr>
        <sz val="10.5"/>
        <rFont val="宋体"/>
        <family val="3"/>
        <charset val="134"/>
      </rPr>
      <t>）</t>
    </r>
    <phoneticPr fontId="141" type="noConversion"/>
  </si>
  <si>
    <r>
      <t>实测值（</t>
    </r>
    <r>
      <rPr>
        <sz val="10.5"/>
        <rFont val="Times New Roman"/>
        <family val="1"/>
      </rPr>
      <t>mS</t>
    </r>
    <r>
      <rPr>
        <sz val="10.5"/>
        <rFont val="宋体"/>
        <family val="3"/>
        <charset val="134"/>
      </rPr>
      <t>）</t>
    </r>
    <phoneticPr fontId="141" type="noConversion"/>
  </si>
  <si>
    <r>
      <t>G</t>
    </r>
    <r>
      <rPr>
        <b/>
        <vertAlign val="subscript"/>
        <sz val="10"/>
        <rFont val="Times New Roman"/>
        <family val="1"/>
      </rPr>
      <t>O</t>
    </r>
    <phoneticPr fontId="141" type="noConversion"/>
  </si>
  <si>
    <r>
      <t>B</t>
    </r>
    <r>
      <rPr>
        <b/>
        <vertAlign val="subscript"/>
        <sz val="10"/>
        <rFont val="Times New Roman"/>
        <family val="1"/>
      </rPr>
      <t>O</t>
    </r>
    <phoneticPr fontId="141" type="noConversion"/>
  </si>
  <si>
    <t>工作电压100/ √3   V，工作电压100V，工作电流5A，工作电流1A</t>
    <phoneticPr fontId="141" type="noConversion"/>
  </si>
  <si>
    <t>一个表格共17行数据</t>
    <phoneticPr fontId="141" type="noConversion"/>
  </si>
  <si>
    <t>二次负荷阻抗误差</t>
    <phoneticPr fontId="141" type="noConversion"/>
  </si>
  <si>
    <r>
      <t>工作电流</t>
    </r>
    <r>
      <rPr>
        <sz val="12"/>
        <rFont val="Times New Roman"/>
        <family val="1"/>
      </rPr>
      <t>1A</t>
    </r>
    <phoneticPr fontId="141" type="noConversion"/>
  </si>
  <si>
    <t>标准值（Ω）</t>
    <phoneticPr fontId="141" type="noConversion"/>
  </si>
  <si>
    <t>实测值（Ω）</t>
    <phoneticPr fontId="141" type="noConversion"/>
  </si>
  <si>
    <r>
      <t>R</t>
    </r>
    <r>
      <rPr>
        <b/>
        <vertAlign val="subscript"/>
        <sz val="10"/>
        <rFont val="Times New Roman"/>
        <family val="1"/>
      </rPr>
      <t>O</t>
    </r>
    <phoneticPr fontId="141" type="noConversion"/>
  </si>
  <si>
    <r>
      <t>X</t>
    </r>
    <r>
      <rPr>
        <b/>
        <vertAlign val="subscript"/>
        <sz val="10"/>
        <rFont val="Times New Roman"/>
        <family val="1"/>
      </rPr>
      <t>O</t>
    </r>
    <phoneticPr fontId="141" type="noConversion"/>
  </si>
  <si>
    <r>
      <t>R</t>
    </r>
    <r>
      <rPr>
        <b/>
        <vertAlign val="subscript"/>
        <sz val="10"/>
        <rFont val="Times New Roman"/>
        <family val="1"/>
      </rPr>
      <t>X</t>
    </r>
    <phoneticPr fontId="141" type="noConversion"/>
  </si>
  <si>
    <r>
      <t>X</t>
    </r>
    <r>
      <rPr>
        <b/>
        <vertAlign val="subscript"/>
        <sz val="10"/>
        <rFont val="Times New Roman"/>
        <family val="1"/>
      </rPr>
      <t>X</t>
    </r>
    <phoneticPr fontId="141" type="noConversion"/>
  </si>
  <si>
    <t>校准书有不确定度</t>
    <phoneticPr fontId="141" type="noConversion"/>
  </si>
  <si>
    <t>外观和通电检查</t>
    <phoneticPr fontId="141" type="noConversion"/>
  </si>
  <si>
    <t>有功分量和无功分量</t>
    <phoneticPr fontId="141" type="noConversion"/>
  </si>
  <si>
    <t>数据录入,分电压和电流（分额定容量欧和VA）</t>
    <phoneticPr fontId="141" type="noConversion"/>
  </si>
  <si>
    <t>电压</t>
    <phoneticPr fontId="141" type="noConversion"/>
  </si>
  <si>
    <t>电流</t>
    <phoneticPr fontId="141" type="noConversion"/>
  </si>
  <si>
    <t>电压-100V</t>
    <phoneticPr fontId="141" type="noConversion"/>
  </si>
  <si>
    <r>
      <t>5</t>
    </r>
    <r>
      <rPr>
        <sz val="12"/>
        <rFont val="宋体"/>
        <family val="3"/>
        <charset val="134"/>
      </rPr>
      <t>7.7V和100V相同</t>
    </r>
    <phoneticPr fontId="141" type="noConversion"/>
  </si>
  <si>
    <t>标称值  S(VA)</t>
    <phoneticPr fontId="141" type="noConversion"/>
  </si>
  <si>
    <t>有功分量</t>
    <phoneticPr fontId="141" type="noConversion"/>
  </si>
  <si>
    <t>无功分量</t>
    <phoneticPr fontId="141" type="noConversion"/>
  </si>
  <si>
    <r>
      <t>cos</t>
    </r>
    <r>
      <rPr>
        <sz val="11"/>
        <rFont val="Times New Roman"/>
        <family val="1"/>
      </rPr>
      <t>φ</t>
    </r>
    <phoneticPr fontId="141" type="noConversion"/>
  </si>
  <si>
    <t>额定电压（V）</t>
    <phoneticPr fontId="141" type="noConversion"/>
  </si>
  <si>
    <t>标称值S(VA)</t>
    <phoneticPr fontId="141" type="noConversion"/>
  </si>
  <si>
    <t>额定电压百分比(％)</t>
  </si>
  <si>
    <t>有功分量</t>
  </si>
  <si>
    <t>无功分量</t>
  </si>
  <si>
    <t>额定电压(V)</t>
    <phoneticPr fontId="141" type="noConversion"/>
  </si>
  <si>
    <t>实测值 (ms)</t>
    <phoneticPr fontId="141" type="noConversion"/>
  </si>
  <si>
    <t>误差（％）</t>
    <phoneticPr fontId="141" type="noConversion"/>
  </si>
  <si>
    <t xml:space="preserve">有功分量  Urel=1.2％
</t>
    <phoneticPr fontId="141" type="noConversion"/>
  </si>
  <si>
    <t>(％)</t>
  </si>
  <si>
    <t>额定电压以及cosφ值不固定，可以组合，行数不固定，额定电压不同，对应的算法相同</t>
    <phoneticPr fontId="141" type="noConversion"/>
  </si>
  <si>
    <t>无功分量 Urel=1.2％</t>
    <phoneticPr fontId="141" type="noConversion"/>
  </si>
  <si>
    <t>电压-57.7V</t>
    <phoneticPr fontId="141" type="noConversion"/>
  </si>
  <si>
    <t>标称值  S(VA)</t>
    <phoneticPr fontId="141" type="noConversion"/>
  </si>
  <si>
    <t>有功分量</t>
    <phoneticPr fontId="141" type="noConversion"/>
  </si>
  <si>
    <t>无功分量</t>
    <phoneticPr fontId="141" type="noConversion"/>
  </si>
  <si>
    <r>
      <t>cos</t>
    </r>
    <r>
      <rPr>
        <sz val="10"/>
        <rFont val="Times New Roman"/>
        <family val="1"/>
      </rPr>
      <t>φ</t>
    </r>
    <phoneticPr fontId="141" type="noConversion"/>
  </si>
  <si>
    <t>检定证书，校准证书同100V的表格，同上</t>
    <phoneticPr fontId="141" type="noConversion"/>
  </si>
  <si>
    <t>电流</t>
    <phoneticPr fontId="141" type="noConversion"/>
  </si>
  <si>
    <t>电流-5A的VA</t>
    <phoneticPr fontId="141" type="noConversion"/>
  </si>
  <si>
    <t>额定电流（A)</t>
    <phoneticPr fontId="141" type="noConversion"/>
  </si>
  <si>
    <t>不确定度</t>
    <phoneticPr fontId="141" type="noConversion"/>
  </si>
  <si>
    <t>有功分量计算采用           0.8</t>
    <phoneticPr fontId="141" type="noConversion"/>
  </si>
  <si>
    <t>标称值Z（VA)</t>
    <phoneticPr fontId="141" type="noConversion"/>
  </si>
  <si>
    <t>校准点I/In (%)</t>
    <phoneticPr fontId="141" type="noConversion"/>
  </si>
  <si>
    <t>额定电流(A)</t>
    <phoneticPr fontId="141" type="noConversion"/>
  </si>
  <si>
    <r>
      <t xml:space="preserve">实测值      </t>
    </r>
    <r>
      <rPr>
        <sz val="10"/>
        <rFont val="宋体"/>
        <family val="3"/>
        <charset val="134"/>
      </rPr>
      <t>（Ω）</t>
    </r>
    <phoneticPr fontId="141" type="noConversion"/>
  </si>
  <si>
    <t>无功分量计算采用0.6</t>
    <phoneticPr fontId="141" type="noConversion"/>
  </si>
  <si>
    <t>标称值  Z(Ω)</t>
    <phoneticPr fontId="141" type="noConversion"/>
  </si>
  <si>
    <t>额定电流百分比</t>
    <phoneticPr fontId="141" type="noConversion"/>
  </si>
  <si>
    <t>额定电流（A)</t>
    <phoneticPr fontId="141" type="noConversion"/>
  </si>
  <si>
    <t>标称值Z（Ω）</t>
    <phoneticPr fontId="141" type="noConversion"/>
  </si>
  <si>
    <t>实测值      （Ω）</t>
    <phoneticPr fontId="141" type="noConversion"/>
  </si>
  <si>
    <t>误差(％)</t>
    <phoneticPr fontId="141" type="noConversion"/>
  </si>
  <si>
    <r>
      <t>3</t>
    </r>
    <r>
      <rPr>
        <sz val="12"/>
        <rFont val="宋体"/>
        <family val="3"/>
        <charset val="134"/>
      </rPr>
      <t>.示值误差</t>
    </r>
    <phoneticPr fontId="141" type="noConversion"/>
  </si>
  <si>
    <t>高压数字表</t>
    <phoneticPr fontId="141" type="noConversion"/>
  </si>
  <si>
    <t>标称值（V）</t>
    <phoneticPr fontId="141" type="noConversion"/>
  </si>
  <si>
    <t>实际值（V）</t>
    <phoneticPr fontId="141" type="noConversion"/>
  </si>
  <si>
    <t>允许误差（%）</t>
    <phoneticPr fontId="141" type="noConversion"/>
  </si>
  <si>
    <t>允许误差</t>
    <phoneticPr fontId="141" type="noConversion"/>
  </si>
  <si>
    <t>实际值</t>
    <phoneticPr fontId="141" type="noConversion"/>
  </si>
  <si>
    <t>校准证书的不确定度</t>
    <phoneticPr fontId="141" type="noConversion"/>
  </si>
  <si>
    <t>交流电流输出(50Hz）</t>
    <phoneticPr fontId="141" type="noConversion"/>
  </si>
  <si>
    <r>
      <t>规程名称：JJG(航天) 51</t>
    </r>
    <r>
      <rPr>
        <sz val="12"/>
        <rFont val="宋体"/>
        <family val="3"/>
        <charset val="134"/>
      </rPr>
      <t>-19</t>
    </r>
    <r>
      <rPr>
        <sz val="12"/>
        <rFont val="宋体"/>
        <family val="3"/>
        <charset val="134"/>
      </rPr>
      <t>99</t>
    </r>
    <r>
      <rPr>
        <sz val="12"/>
        <rFont val="宋体"/>
        <family val="3"/>
        <charset val="134"/>
      </rPr>
      <t xml:space="preserve"> 交流标准电流源检定规程</t>
    </r>
    <phoneticPr fontId="141" type="noConversion"/>
  </si>
  <si>
    <t>交流电流输出</t>
  </si>
  <si>
    <t>交流电压测量</t>
    <phoneticPr fontId="25" type="noConversion"/>
  </si>
  <si>
    <t>交流电压测量（单相）</t>
    <phoneticPr fontId="141" type="noConversion"/>
  </si>
  <si>
    <t>交流电压测量（两相）</t>
    <phoneticPr fontId="141" type="noConversion"/>
  </si>
  <si>
    <t>交流电压测量（三相）</t>
    <phoneticPr fontId="141" type="noConversion"/>
  </si>
  <si>
    <r>
      <t>1.单相</t>
    </r>
    <r>
      <rPr>
        <sz val="12"/>
        <rFont val="宋体"/>
        <family val="3"/>
        <charset val="134"/>
      </rPr>
      <t>-</t>
    </r>
    <r>
      <rPr>
        <sz val="12"/>
        <rFont val="宋体"/>
        <family val="3"/>
        <charset val="134"/>
      </rPr>
      <t>直流电压测量</t>
    </r>
    <phoneticPr fontId="141" type="noConversion"/>
  </si>
  <si>
    <t>直流电压测量</t>
    <phoneticPr fontId="25" type="noConversion"/>
  </si>
  <si>
    <t>1、单相-直流电流测量</t>
    <phoneticPr fontId="141" type="noConversion"/>
  </si>
  <si>
    <t>直流电流测量</t>
  </si>
  <si>
    <t>直流电流测量</t>
    <phoneticPr fontId="25" type="noConversion"/>
  </si>
  <si>
    <t>交流电流测量</t>
  </si>
  <si>
    <t>交流电流测量（两相）</t>
    <phoneticPr fontId="25" type="noConversion"/>
  </si>
  <si>
    <t>交流电流测量（三相）</t>
    <phoneticPr fontId="25" type="noConversion"/>
  </si>
  <si>
    <t>直流电流测量（三相）</t>
    <phoneticPr fontId="25" type="noConversion"/>
  </si>
  <si>
    <t>直流电流测量（两相）</t>
    <phoneticPr fontId="25" type="noConversion"/>
  </si>
  <si>
    <t>直流电压测量（两相）</t>
    <phoneticPr fontId="25" type="noConversion"/>
  </si>
  <si>
    <t>直流电压测量（三相）</t>
    <phoneticPr fontId="141" type="noConversion"/>
  </si>
  <si>
    <t>直流电阻测量</t>
  </si>
  <si>
    <t>直流电阻输出</t>
  </si>
  <si>
    <t>直流电阻测量</t>
    <phoneticPr fontId="25" type="noConversion"/>
  </si>
  <si>
    <t xml:space="preserve">三相四线有功功率输出 </t>
    <phoneticPr fontId="141" type="noConversion"/>
  </si>
  <si>
    <t xml:space="preserve">三相三线有功功率输出 </t>
    <phoneticPr fontId="141" type="noConversion"/>
  </si>
  <si>
    <r>
      <t>U</t>
    </r>
    <r>
      <rPr>
        <vertAlign val="subscript"/>
        <sz val="12"/>
        <rFont val="宋体"/>
        <family val="3"/>
        <charset val="134"/>
      </rPr>
      <t>1</t>
    </r>
    <r>
      <rPr>
        <sz val="12"/>
        <rFont val="宋体"/>
        <family val="3"/>
        <charset val="134"/>
      </rPr>
      <t>-</t>
    </r>
    <r>
      <rPr>
        <i/>
        <sz val="12"/>
        <rFont val="宋体"/>
        <family val="3"/>
        <charset val="134"/>
      </rPr>
      <t>I</t>
    </r>
    <r>
      <rPr>
        <vertAlign val="subscript"/>
        <sz val="12"/>
        <rFont val="宋体"/>
        <family val="3"/>
        <charset val="134"/>
      </rPr>
      <t>2</t>
    </r>
    <phoneticPr fontId="141" type="noConversion"/>
  </si>
  <si>
    <r>
      <t>U</t>
    </r>
    <r>
      <rPr>
        <vertAlign val="subscript"/>
        <sz val="12"/>
        <rFont val="宋体"/>
        <family val="3"/>
        <charset val="134"/>
      </rPr>
      <t>CB</t>
    </r>
    <phoneticPr fontId="141" type="noConversion"/>
  </si>
  <si>
    <r>
      <t>U</t>
    </r>
    <r>
      <rPr>
        <vertAlign val="subscript"/>
        <sz val="12"/>
        <rFont val="宋体"/>
        <family val="3"/>
        <charset val="134"/>
      </rPr>
      <t>AB</t>
    </r>
    <phoneticPr fontId="141" type="noConversion"/>
  </si>
  <si>
    <r>
      <t>U下标范围为：默认U</t>
    </r>
    <r>
      <rPr>
        <vertAlign val="subscript"/>
        <sz val="12"/>
        <rFont val="宋体"/>
        <family val="3"/>
        <charset val="134"/>
      </rPr>
      <t>AB</t>
    </r>
    <r>
      <rPr>
        <sz val="12"/>
        <rFont val="宋体"/>
        <family val="3"/>
        <charset val="134"/>
      </rPr>
      <t>、</t>
    </r>
    <r>
      <rPr>
        <sz val="12"/>
        <rFont val="宋体"/>
        <family val="3"/>
        <charset val="134"/>
      </rPr>
      <t>U</t>
    </r>
    <r>
      <rPr>
        <vertAlign val="subscript"/>
        <sz val="12"/>
        <rFont val="宋体"/>
        <family val="3"/>
        <charset val="134"/>
      </rPr>
      <t>CB</t>
    </r>
    <r>
      <rPr>
        <sz val="12"/>
        <rFont val="宋体"/>
        <family val="3"/>
        <charset val="134"/>
      </rPr>
      <t>或者是U</t>
    </r>
    <r>
      <rPr>
        <vertAlign val="subscript"/>
        <sz val="12"/>
        <rFont val="宋体"/>
        <family val="3"/>
        <charset val="134"/>
      </rPr>
      <t>A</t>
    </r>
    <r>
      <rPr>
        <sz val="12"/>
        <rFont val="宋体"/>
        <family val="3"/>
        <charset val="134"/>
      </rPr>
      <t>、U</t>
    </r>
    <r>
      <rPr>
        <vertAlign val="subscript"/>
        <sz val="12"/>
        <rFont val="宋体"/>
        <family val="3"/>
        <charset val="134"/>
      </rPr>
      <t>B</t>
    </r>
    <r>
      <rPr>
        <sz val="12"/>
        <rFont val="宋体"/>
        <family val="3"/>
        <charset val="134"/>
      </rPr>
      <t>、U</t>
    </r>
    <r>
      <rPr>
        <vertAlign val="subscript"/>
        <sz val="12"/>
        <rFont val="宋体"/>
        <family val="3"/>
        <charset val="134"/>
      </rPr>
      <t>C</t>
    </r>
    <phoneticPr fontId="141" type="noConversion"/>
  </si>
  <si>
    <t>结论：</t>
    <phoneticPr fontId="177" type="noConversion"/>
  </si>
  <si>
    <r>
      <t>绝对误差小于0.</t>
    </r>
    <r>
      <rPr>
        <sz val="12"/>
        <rFont val="宋体"/>
        <family val="3"/>
        <charset val="134"/>
      </rPr>
      <t>2</t>
    </r>
    <r>
      <rPr>
        <sz val="12"/>
        <rFont val="宋体"/>
        <family val="3"/>
        <charset val="134"/>
      </rPr>
      <t>°。</t>
    </r>
    <phoneticPr fontId="177" type="noConversion"/>
  </si>
  <si>
    <t>备注：</t>
    <phoneticPr fontId="2" type="noConversion"/>
  </si>
  <si>
    <t>三相所有的交流电压电流表格下面的“注”取消，将单位提到表头，分别为电压为V，电流为A</t>
    <phoneticPr fontId="2" type="noConversion"/>
  </si>
  <si>
    <t>只做不确定度</t>
    <phoneticPr fontId="31" type="noConversion"/>
  </si>
  <si>
    <t>相位测量（单相）</t>
    <phoneticPr fontId="141" type="noConversion"/>
  </si>
  <si>
    <t>相位输出（单相）</t>
    <phoneticPr fontId="31" type="noConversion"/>
  </si>
  <si>
    <t>相位测量（两相）</t>
    <phoneticPr fontId="141" type="noConversion"/>
  </si>
  <si>
    <t>相位输出（两相）</t>
    <phoneticPr fontId="31" type="noConversion"/>
  </si>
  <si>
    <t>相位测量（三相）</t>
    <phoneticPr fontId="141" type="noConversion"/>
  </si>
  <si>
    <t>相位输出（三相）</t>
    <phoneticPr fontId="31" type="noConversion"/>
  </si>
  <si>
    <t>被测电阻</t>
    <phoneticPr fontId="141" type="noConversion"/>
  </si>
  <si>
    <t>数据录入，分四类，标准电阻箱、标准电阻、1000Ω以下、10000Ω-100000Ω</t>
    <phoneticPr fontId="141" type="noConversion"/>
  </si>
  <si>
    <r>
      <t>1</t>
    </r>
    <r>
      <rPr>
        <sz val="12"/>
        <rFont val="宋体"/>
        <family val="3"/>
        <charset val="134"/>
      </rPr>
      <t>.1</t>
    </r>
    <r>
      <rPr>
        <sz val="12"/>
        <rFont val="宋体"/>
        <family val="3"/>
        <charset val="134"/>
      </rPr>
      <t>、1000Ω以下，可以自定义增加删除行，</t>
    </r>
    <phoneticPr fontId="141" type="noConversion"/>
  </si>
  <si>
    <t>基本误差的检定</t>
    <phoneticPr fontId="141" type="noConversion"/>
  </si>
  <si>
    <r>
      <t>R</t>
    </r>
    <r>
      <rPr>
        <vertAlign val="subscript"/>
        <sz val="12"/>
        <rFont val="Times New Roman"/>
        <family val="1"/>
      </rPr>
      <t>20</t>
    </r>
    <r>
      <rPr>
        <sz val="12"/>
        <rFont val="Times New Roman"/>
        <family val="1"/>
      </rPr>
      <t>(</t>
    </r>
    <r>
      <rPr>
        <sz val="12"/>
        <rFont val="宋体"/>
        <family val="3"/>
        <charset val="134"/>
      </rPr>
      <t>Ω</t>
    </r>
    <r>
      <rPr>
        <sz val="12"/>
        <rFont val="Times New Roman"/>
        <family val="1"/>
      </rPr>
      <t>)</t>
    </r>
    <phoneticPr fontId="25" type="noConversion"/>
  </si>
  <si>
    <t>二、内附标准电阻基本误差：</t>
    <phoneticPr fontId="141" type="noConversion"/>
  </si>
  <si>
    <t>注</t>
    <phoneticPr fontId="25" type="noConversion"/>
  </si>
  <si>
    <t>合了</t>
    <phoneticPr fontId="141" type="noConversion"/>
  </si>
  <si>
    <t>直阻仪</t>
    <phoneticPr fontId="141" type="noConversion"/>
  </si>
  <si>
    <t>回路</t>
    <phoneticPr fontId="141" type="noConversion"/>
  </si>
  <si>
    <t>准确度等级0.1及以下，检测项目标注合格不合格，否则展示原始记录数据。
Eg：数越小，准确度等级越高，0.2级在0.1级以下（检定证书）</t>
    <phoneticPr fontId="141" type="noConversion"/>
  </si>
  <si>
    <t>单双桥校准结果不确定度放在实验项目最后</t>
    <phoneticPr fontId="25" type="noConversion"/>
  </si>
  <si>
    <r>
      <t>误差（</t>
    </r>
    <r>
      <rPr>
        <sz val="12"/>
        <color indexed="8"/>
        <rFont val="Times New Roman"/>
        <family val="1"/>
      </rPr>
      <t>%</t>
    </r>
    <r>
      <rPr>
        <sz val="12"/>
        <color indexed="8"/>
        <rFont val="宋体"/>
        <family val="3"/>
        <charset val="134"/>
      </rPr>
      <t>）</t>
    </r>
    <phoneticPr fontId="141" type="noConversion"/>
  </si>
  <si>
    <t>不确定度</t>
    <phoneticPr fontId="25" type="noConversion"/>
  </si>
  <si>
    <t>校准证书</t>
    <phoneticPr fontId="25" type="noConversion"/>
  </si>
  <si>
    <t>校准结果的不确定度</t>
    <phoneticPr fontId="141" type="noConversion"/>
  </si>
  <si>
    <t>校准结果的不确定度</t>
    <phoneticPr fontId="25" type="noConversion"/>
  </si>
  <si>
    <r>
      <t>测量结果的不确定度为</t>
    </r>
    <r>
      <rPr>
        <i/>
        <sz val="12"/>
        <color indexed="10"/>
        <rFont val="宋体"/>
        <family val="3"/>
        <charset val="134"/>
      </rPr>
      <t>U</t>
    </r>
    <r>
      <rPr>
        <sz val="12"/>
        <color indexed="10"/>
        <rFont val="宋体"/>
        <family val="3"/>
        <charset val="134"/>
      </rPr>
      <t>=0.024℃ (</t>
    </r>
    <r>
      <rPr>
        <i/>
        <sz val="12"/>
        <color indexed="10"/>
        <rFont val="宋体"/>
        <family val="3"/>
        <charset val="134"/>
      </rPr>
      <t>k</t>
    </r>
    <r>
      <rPr>
        <sz val="12"/>
        <color indexed="10"/>
        <rFont val="宋体"/>
        <family val="3"/>
        <charset val="134"/>
      </rPr>
      <t>=2)</t>
    </r>
    <phoneticPr fontId="141" type="noConversion"/>
  </si>
  <si>
    <t>检定证书</t>
    <phoneticPr fontId="141" type="noConversion"/>
  </si>
  <si>
    <t>校准证书</t>
    <phoneticPr fontId="141" type="noConversion"/>
  </si>
  <si>
    <t>校准证书</t>
    <phoneticPr fontId="31" type="noConversion"/>
  </si>
  <si>
    <t>检定证书</t>
    <phoneticPr fontId="31" type="noConversion"/>
  </si>
  <si>
    <t>负荷仪</t>
    <phoneticPr fontId="141" type="noConversion"/>
  </si>
  <si>
    <t>校验仪</t>
    <phoneticPr fontId="141" type="noConversion"/>
  </si>
  <si>
    <t>4.3、电流互感器测量回路、电压互感器测量回路</t>
    <phoneticPr fontId="141" type="noConversion"/>
  </si>
  <si>
    <t>校准结果的不确定度（k=2）</t>
    <phoneticPr fontId="2" type="noConversion"/>
  </si>
  <si>
    <t>同向扩展不确定度：
正交扩展不确定度：</t>
    <phoneticPr fontId="2" type="noConversion"/>
  </si>
  <si>
    <t>说明</t>
  </si>
  <si>
    <t>整检装置示值</t>
  </si>
  <si>
    <t>被检仪器示值</t>
  </si>
  <si>
    <t xml:space="preserve">PT       100/√3V          </t>
  </si>
  <si>
    <t>校准</t>
    <phoneticPr fontId="2" type="noConversion"/>
  </si>
  <si>
    <t>仅校验仪，压降</t>
    <phoneticPr fontId="2" type="noConversion"/>
  </si>
  <si>
    <t xml:space="preserve">同向扩展不确定度：
正交扩展不确定度： </t>
    <phoneticPr fontId="141" type="noConversion"/>
  </si>
  <si>
    <t xml:space="preserve">同向扩展不确定度：
正交扩展不确定度： </t>
    <phoneticPr fontId="2" type="noConversion"/>
  </si>
  <si>
    <t xml:space="preserve">有功分量  Urel=1.2％
</t>
    <phoneticPr fontId="141" type="noConversion"/>
  </si>
  <si>
    <t>有功分量  Urel=1.2％</t>
    <phoneticPr fontId="2" type="noConversion"/>
  </si>
  <si>
    <t>无功分量  Urel=1.2％</t>
    <phoneticPr fontId="2" type="noConversion"/>
  </si>
  <si>
    <t>同向扩展不确定度：
正交扩展不确定度：</t>
    <phoneticPr fontId="2" type="noConversion"/>
  </si>
  <si>
    <t>电流互感器测量回路、电压互感器测量回路</t>
    <phoneticPr fontId="2" type="noConversion"/>
  </si>
  <si>
    <t>电压互感器测量回路：合格不合格</t>
    <phoneticPr fontId="2" type="noConversion"/>
  </si>
  <si>
    <t>电流互感器测量回路：合格不合格</t>
    <phoneticPr fontId="2" type="noConversion"/>
  </si>
  <si>
    <t>2、仪器分辨力试验</t>
    <phoneticPr fontId="141" type="noConversion"/>
  </si>
  <si>
    <t>仪器分辨力试验：合格不合格</t>
    <phoneticPr fontId="2" type="noConversion"/>
  </si>
  <si>
    <r>
      <t xml:space="preserve">JJG 440-2008 </t>
    </r>
    <r>
      <rPr>
        <b/>
        <sz val="12"/>
        <color indexed="8"/>
        <rFont val="宋体"/>
        <family val="3"/>
        <charset val="134"/>
      </rPr>
      <t>工频单相相位表</t>
    </r>
  </si>
  <si>
    <t>检定</t>
  </si>
  <si>
    <t>相位表检测少，不成熟，所以需要都显示，但是只做前三项。</t>
  </si>
  <si>
    <r>
      <t>检定项目</t>
    </r>
    <r>
      <rPr>
        <sz val="12"/>
        <rFont val="宋体"/>
        <family val="3"/>
        <charset val="134"/>
      </rPr>
      <t xml:space="preserve">   </t>
    </r>
    <r>
      <rPr>
        <vertAlign val="superscript"/>
        <sz val="12"/>
        <rFont val="宋体"/>
        <family val="3"/>
        <charset val="134"/>
      </rPr>
      <t xml:space="preserve"> 检定类别</t>
    </r>
  </si>
  <si>
    <t>合格、不合格</t>
  </si>
  <si>
    <t>基本误差和升降变差</t>
  </si>
  <si>
    <t>数据录入模板</t>
  </si>
  <si>
    <t>非额定负载影响</t>
  </si>
  <si>
    <t>工作位置改变影响</t>
  </si>
  <si>
    <t>暂不测</t>
  </si>
  <si>
    <t>频率影响</t>
  </si>
  <si>
    <t>钮端极性</t>
  </si>
  <si>
    <t>工频耐压</t>
  </si>
  <si>
    <t>⒉基本误差和升降变差</t>
  </si>
  <si>
    <t>检定、校准原始：</t>
  </si>
  <si>
    <t>检定证书：</t>
  </si>
  <si>
    <t>校准证书：</t>
  </si>
  <si>
    <t>等级</t>
  </si>
  <si>
    <t>指示值</t>
  </si>
  <si>
    <t>标准值</t>
  </si>
  <si>
    <t>平均值</t>
  </si>
  <si>
    <t>误差（%）</t>
  </si>
  <si>
    <t>升降变差（%）</t>
  </si>
  <si>
    <r>
      <t>校准结果的不确定度（</t>
    </r>
    <r>
      <rPr>
        <i/>
        <sz val="12"/>
        <color indexed="8"/>
        <rFont val="宋体"/>
        <family val="3"/>
        <charset val="134"/>
      </rPr>
      <t>k</t>
    </r>
    <r>
      <rPr>
        <sz val="12"/>
        <color indexed="8"/>
        <rFont val="宋体"/>
        <family val="3"/>
        <charset val="134"/>
      </rPr>
      <t>=2）</t>
    </r>
  </si>
  <si>
    <r>
      <t>U</t>
    </r>
    <r>
      <rPr>
        <sz val="12"/>
        <rFont val="宋体"/>
        <family val="3"/>
        <charset val="134"/>
      </rPr>
      <t>a</t>
    </r>
    <r>
      <rPr>
        <vertAlign val="subscript"/>
        <sz val="12"/>
        <rFont val="宋体"/>
        <family val="3"/>
        <charset val="134"/>
      </rPr>
      <t>rel</t>
    </r>
  </si>
  <si>
    <r>
      <t>U</t>
    </r>
    <r>
      <rPr>
        <sz val="12"/>
        <rFont val="宋体"/>
        <family val="3"/>
        <charset val="134"/>
      </rPr>
      <t>b</t>
    </r>
    <r>
      <rPr>
        <vertAlign val="subscript"/>
        <sz val="12"/>
        <rFont val="宋体"/>
        <family val="3"/>
        <charset val="134"/>
      </rPr>
      <t>rel</t>
    </r>
  </si>
  <si>
    <r>
      <t>U</t>
    </r>
    <r>
      <rPr>
        <sz val="12"/>
        <rFont val="宋体"/>
        <family val="3"/>
        <charset val="134"/>
      </rPr>
      <t>c</t>
    </r>
    <r>
      <rPr>
        <vertAlign val="subscript"/>
        <sz val="12"/>
        <rFont val="宋体"/>
        <family val="3"/>
        <charset val="134"/>
      </rPr>
      <t>rel</t>
    </r>
  </si>
  <si>
    <t>指数</t>
  </si>
  <si>
    <t>上升</t>
  </si>
  <si>
    <t>下降</t>
  </si>
  <si>
    <t>220V/5A</t>
  </si>
  <si>
    <t>滞后</t>
  </si>
  <si>
    <t>超前</t>
  </si>
  <si>
    <t>110V/2.5A</t>
  </si>
  <si>
    <t>110V/5A</t>
  </si>
  <si>
    <t>220V/2.5A</t>
  </si>
  <si>
    <t>最大基本误差：</t>
  </si>
  <si>
    <t>3.非额定负载影响：</t>
  </si>
  <si>
    <t>算法相同</t>
  </si>
  <si>
    <r>
      <t>量限：220V/2.5A；110V/5A，检定时，通以100%额定电压，40%额定电流</t>
    </r>
    <r>
      <rPr>
        <sz val="10"/>
        <color indexed="9"/>
        <rFont val="宋体"/>
        <family val="3"/>
        <charset val="134"/>
      </rPr>
      <t>，频率50Hz</t>
    </r>
  </si>
  <si>
    <t>检定原始：</t>
  </si>
  <si>
    <t>升降变差</t>
  </si>
  <si>
    <t>非额定负载影响：合格/不合格</t>
  </si>
  <si>
    <t>(%)</t>
  </si>
  <si>
    <t>JJG 622-1997 绝缘电阻表</t>
  </si>
  <si>
    <t>备注2</t>
  </si>
  <si>
    <t>检定证书：准确度等级指数，大于等于10，证书中的检定项目不需要基本数据，每个项目只标准合格以及总结论合格。
例如：15为大于等于10系列的
校准证书：没有准确度要求</t>
  </si>
  <si>
    <t>基本误差检定</t>
  </si>
  <si>
    <t>端钮电压</t>
  </si>
  <si>
    <t>端钮电压的稳定性测量</t>
  </si>
  <si>
    <t>删除</t>
  </si>
  <si>
    <t>1、基本误差：</t>
  </si>
  <si>
    <r>
      <t>不确定算法与1</t>
    </r>
    <r>
      <rPr>
        <sz val="12"/>
        <rFont val="宋体"/>
        <family val="3"/>
        <charset val="134"/>
      </rPr>
      <t>005-2005的算法相同</t>
    </r>
  </si>
  <si>
    <t>额定电压</t>
  </si>
  <si>
    <t>等级指数</t>
  </si>
  <si>
    <t>示值</t>
  </si>
  <si>
    <t>实际值</t>
  </si>
  <si>
    <t>校准结果的不确定度　　(k=2)）</t>
  </si>
  <si>
    <r>
      <t>U</t>
    </r>
    <r>
      <rPr>
        <sz val="12"/>
        <rFont val="宋体"/>
        <family val="3"/>
        <charset val="134"/>
      </rPr>
      <t>b</t>
    </r>
    <r>
      <rPr>
        <vertAlign val="subscript"/>
        <sz val="12"/>
        <rFont val="宋体"/>
        <family val="3"/>
        <charset val="134"/>
      </rPr>
      <t>rel</t>
    </r>
    <r>
      <rPr>
        <sz val="12"/>
        <rFont val="宋体"/>
        <family val="3"/>
        <charset val="134"/>
      </rPr>
      <t>(%)</t>
    </r>
  </si>
  <si>
    <r>
      <t>U</t>
    </r>
    <r>
      <rPr>
        <sz val="12"/>
        <rFont val="宋体"/>
        <family val="3"/>
        <charset val="134"/>
      </rPr>
      <t>c</t>
    </r>
    <r>
      <rPr>
        <vertAlign val="subscript"/>
        <sz val="12"/>
        <rFont val="宋体"/>
        <family val="3"/>
        <charset val="134"/>
      </rPr>
      <t>rel</t>
    </r>
    <r>
      <rPr>
        <sz val="12"/>
        <rFont val="宋体"/>
        <family val="3"/>
        <charset val="134"/>
      </rPr>
      <t>(%)</t>
    </r>
  </si>
  <si>
    <t xml:space="preserve">     1000V</t>
  </si>
  <si>
    <t xml:space="preserve">         1000MΩ</t>
  </si>
  <si>
    <t>0.5</t>
  </si>
  <si>
    <t>0.500</t>
  </si>
  <si>
    <t>1</t>
  </si>
  <si>
    <t>1.00</t>
  </si>
  <si>
    <t>2</t>
  </si>
  <si>
    <t>2.00</t>
  </si>
  <si>
    <t>5</t>
  </si>
  <si>
    <t>5.01</t>
  </si>
  <si>
    <t>10</t>
  </si>
  <si>
    <t>10.0</t>
  </si>
  <si>
    <t>20</t>
  </si>
  <si>
    <t>20.1</t>
  </si>
  <si>
    <t>50</t>
  </si>
  <si>
    <t>51.0</t>
  </si>
  <si>
    <t>100</t>
  </si>
  <si>
    <t>102</t>
  </si>
  <si>
    <t>108</t>
  </si>
  <si>
    <t>500</t>
  </si>
  <si>
    <t>510.0</t>
  </si>
  <si>
    <t>y2(MΩ)</t>
  </si>
  <si>
    <t>y4(MΩ)</t>
  </si>
  <si>
    <t>y7(MΩ)</t>
  </si>
  <si>
    <t>200</t>
  </si>
  <si>
    <t>210</t>
  </si>
  <si>
    <t xml:space="preserve">570 </t>
  </si>
  <si>
    <t>1000</t>
  </si>
  <si>
    <t>1190</t>
  </si>
  <si>
    <t>误差的小数位数是多少？</t>
  </si>
  <si>
    <t>2.1、端钮电压：</t>
  </si>
  <si>
    <t>额定电压(V)</t>
  </si>
  <si>
    <t>开路电压(V)</t>
  </si>
  <si>
    <t>偏差(%)</t>
  </si>
  <si>
    <t>允许偏差(%)</t>
  </si>
  <si>
    <t>中值电压(V)</t>
  </si>
  <si>
    <t>允许偏差（%）</t>
  </si>
  <si>
    <t>校准结果的
不确定度　　(k=2)）</t>
  </si>
  <si>
    <r>
      <t>-10</t>
    </r>
    <r>
      <rPr>
        <sz val="11"/>
        <color indexed="8"/>
        <rFont val="宋体"/>
        <family val="3"/>
        <charset val="134"/>
      </rPr>
      <t>～</t>
    </r>
    <r>
      <rPr>
        <sz val="11"/>
        <color indexed="8"/>
        <rFont val="Times New Roman"/>
        <family val="1"/>
      </rPr>
      <t>+10</t>
    </r>
  </si>
  <si>
    <r>
      <t>≥</t>
    </r>
    <r>
      <rPr>
        <sz val="11"/>
        <color indexed="8"/>
        <rFont val="Times New Roman"/>
        <family val="1"/>
      </rPr>
      <t>-10</t>
    </r>
  </si>
  <si>
    <r>
      <rPr>
        <sz val="11"/>
        <color indexed="8"/>
        <rFont val="宋体"/>
        <family val="3"/>
        <charset val="134"/>
      </rPr>
      <t>误差等</t>
    </r>
    <r>
      <rPr>
        <sz val="11"/>
        <color indexed="8"/>
        <rFont val="Times New Roman"/>
        <family val="1"/>
      </rPr>
      <t>%</t>
    </r>
    <r>
      <rPr>
        <sz val="11"/>
        <color indexed="8"/>
        <rFont val="宋体"/>
        <family val="3"/>
        <charset val="134"/>
      </rPr>
      <t>，在列头还是数据中</t>
    </r>
  </si>
  <si>
    <t>2.2端钮电压稳定性：</t>
  </si>
  <si>
    <t>检定校准证书：</t>
  </si>
  <si>
    <t>1分钟内开路电压输出值（V)</t>
  </si>
  <si>
    <r>
      <rPr>
        <sz val="11"/>
        <color indexed="8"/>
        <rFont val="宋体"/>
        <family val="3"/>
        <charset val="134"/>
      </rPr>
      <t>最大</t>
    </r>
    <r>
      <rPr>
        <sz val="11"/>
        <color indexed="8"/>
        <rFont val="Times New Roman"/>
        <family val="1"/>
      </rPr>
      <t xml:space="preserve"> </t>
    </r>
    <r>
      <rPr>
        <sz val="11"/>
        <color indexed="8"/>
        <rFont val="宋体"/>
        <family val="3"/>
        <charset val="134"/>
      </rPr>
      <t>指示值</t>
    </r>
    <r>
      <rPr>
        <sz val="11"/>
        <color indexed="8"/>
        <rFont val="Times New Roman"/>
        <family val="1"/>
      </rPr>
      <t>U</t>
    </r>
    <r>
      <rPr>
        <vertAlign val="subscript"/>
        <sz val="11"/>
        <color indexed="8"/>
        <rFont val="Times New Roman"/>
        <family val="1"/>
      </rPr>
      <t>max</t>
    </r>
    <r>
      <rPr>
        <sz val="11"/>
        <color indexed="8"/>
        <rFont val="宋体"/>
        <family val="3"/>
        <charset val="134"/>
      </rPr>
      <t>（</t>
    </r>
    <r>
      <rPr>
        <sz val="11"/>
        <color indexed="8"/>
        <rFont val="Times New Roman"/>
        <family val="1"/>
      </rPr>
      <t>V</t>
    </r>
    <r>
      <rPr>
        <sz val="11"/>
        <color indexed="8"/>
        <rFont val="宋体"/>
        <family val="3"/>
        <charset val="134"/>
      </rPr>
      <t>）</t>
    </r>
  </si>
  <si>
    <r>
      <rPr>
        <sz val="11"/>
        <color indexed="8"/>
        <rFont val="宋体"/>
        <family val="3"/>
        <charset val="134"/>
      </rPr>
      <t>最小</t>
    </r>
    <r>
      <rPr>
        <sz val="11"/>
        <color indexed="8"/>
        <rFont val="Times New Roman"/>
        <family val="1"/>
      </rPr>
      <t xml:space="preserve"> </t>
    </r>
    <r>
      <rPr>
        <sz val="11"/>
        <color indexed="8"/>
        <rFont val="宋体"/>
        <family val="3"/>
        <charset val="134"/>
      </rPr>
      <t>指示值</t>
    </r>
    <r>
      <rPr>
        <sz val="11"/>
        <color indexed="8"/>
        <rFont val="Times New Roman"/>
        <family val="1"/>
      </rPr>
      <t>U</t>
    </r>
    <r>
      <rPr>
        <vertAlign val="subscript"/>
        <sz val="11"/>
        <color indexed="8"/>
        <rFont val="Times New Roman"/>
        <family val="1"/>
      </rPr>
      <t>min</t>
    </r>
    <r>
      <rPr>
        <sz val="11"/>
        <color indexed="8"/>
        <rFont val="宋体"/>
        <family val="3"/>
        <charset val="134"/>
      </rPr>
      <t>（</t>
    </r>
    <r>
      <rPr>
        <sz val="11"/>
        <color indexed="8"/>
        <rFont val="Times New Roman"/>
        <family val="1"/>
      </rPr>
      <t>V</t>
    </r>
    <r>
      <rPr>
        <sz val="11"/>
        <color indexed="8"/>
        <rFont val="宋体"/>
        <family val="3"/>
        <charset val="134"/>
      </rPr>
      <t>）</t>
    </r>
  </si>
  <si>
    <r>
      <rPr>
        <sz val="11"/>
        <color indexed="8"/>
        <rFont val="宋体"/>
        <family val="3"/>
        <charset val="134"/>
      </rPr>
      <t>开路电压稳定度（%</t>
    </r>
    <r>
      <rPr>
        <sz val="11"/>
        <color indexed="8"/>
        <rFont val="Times New Roman"/>
        <family val="1"/>
      </rPr>
      <t>)</t>
    </r>
  </si>
  <si>
    <r>
      <rPr>
        <sz val="11"/>
        <color indexed="8"/>
        <rFont val="宋体"/>
        <family val="3"/>
        <charset val="134"/>
      </rPr>
      <t>允许稳定度（%</t>
    </r>
    <r>
      <rPr>
        <sz val="11"/>
        <color indexed="8"/>
        <rFont val="Times New Roman"/>
        <family val="1"/>
      </rPr>
      <t>)</t>
    </r>
  </si>
  <si>
    <r>
      <t>≤</t>
    </r>
    <r>
      <rPr>
        <sz val="11"/>
        <color indexed="8"/>
        <rFont val="Times New Roman"/>
        <family val="1"/>
      </rPr>
      <t>5</t>
    </r>
  </si>
  <si>
    <t>建议端钮电压稳定性排版如下：</t>
  </si>
  <si>
    <t>1分钟内开路电压输出值（V）</t>
  </si>
  <si>
    <t>最大指示值Umax（V）</t>
  </si>
  <si>
    <t>最小指示值Umin（V）</t>
  </si>
  <si>
    <t>开路电压稳定度（%)</t>
  </si>
  <si>
    <t>允许稳定度（%)</t>
  </si>
  <si>
    <t>≤5</t>
  </si>
  <si>
    <t>3、倾斜影响：</t>
  </si>
  <si>
    <t>检定、校准证书：</t>
  </si>
  <si>
    <t>工作位置</t>
  </si>
  <si>
    <t>上限值(MΩ)</t>
  </si>
  <si>
    <t>偏差</t>
  </si>
  <si>
    <t>中值(MΩ)</t>
  </si>
  <si>
    <t>下限值(MΩ)</t>
  </si>
  <si>
    <t>前</t>
  </si>
  <si>
    <t>103</t>
  </si>
  <si>
    <t>20.4</t>
  </si>
  <si>
    <t>2.01</t>
  </si>
  <si>
    <t>后</t>
  </si>
  <si>
    <t>1.99</t>
  </si>
  <si>
    <t>左</t>
  </si>
  <si>
    <t>20.3</t>
  </si>
  <si>
    <t>右</t>
  </si>
  <si>
    <t>104</t>
  </si>
  <si>
    <t>20.5</t>
  </si>
  <si>
    <t>JJG1005-2005 电子式绝缘电阻表</t>
  </si>
  <si>
    <t>电压测量</t>
  </si>
  <si>
    <t>数据录入模板，开路电压和跌落电压合并为电压测量</t>
  </si>
  <si>
    <t>绝缘强度</t>
  </si>
  <si>
    <r>
      <t>短路电流</t>
    </r>
    <r>
      <rPr>
        <vertAlign val="superscript"/>
        <sz val="12"/>
        <rFont val="宋体"/>
        <family val="3"/>
        <charset val="134"/>
      </rPr>
      <t>＊</t>
    </r>
  </si>
  <si>
    <t>1、示值误差的检定：</t>
  </si>
  <si>
    <t>显示值</t>
  </si>
  <si>
    <t>相对误差(%)</t>
  </si>
  <si>
    <r>
      <t>校准结果的不确定度　（</t>
    </r>
    <r>
      <rPr>
        <i/>
        <sz val="12"/>
        <rFont val="宋体"/>
        <family val="3"/>
        <charset val="134"/>
      </rPr>
      <t>k</t>
    </r>
    <r>
      <rPr>
        <sz val="12"/>
        <rFont val="宋体"/>
        <family val="3"/>
        <charset val="134"/>
      </rPr>
      <t>=2）</t>
    </r>
  </si>
  <si>
    <r>
      <t>不确定度(%)　　（</t>
    </r>
    <r>
      <rPr>
        <i/>
        <sz val="12"/>
        <rFont val="宋体"/>
        <family val="3"/>
        <charset val="134"/>
      </rPr>
      <t>k</t>
    </r>
    <r>
      <rPr>
        <sz val="12"/>
        <rFont val="宋体"/>
        <family val="3"/>
        <charset val="134"/>
      </rPr>
      <t>=2）</t>
    </r>
  </si>
  <si>
    <t>1000V</t>
  </si>
  <si>
    <t>1990 MΩ</t>
  </si>
  <si>
    <t>1.000</t>
  </si>
  <si>
    <t>1.0</t>
  </si>
  <si>
    <t>2.000</t>
  </si>
  <si>
    <t>2.1</t>
  </si>
  <si>
    <t>5.000</t>
  </si>
  <si>
    <t>5.1</t>
  </si>
  <si>
    <t>10.00</t>
  </si>
  <si>
    <t>10.2</t>
  </si>
  <si>
    <t>20.00</t>
  </si>
  <si>
    <t>50.00</t>
  </si>
  <si>
    <t>50.8</t>
  </si>
  <si>
    <t>100.0</t>
  </si>
  <si>
    <t>200.0</t>
  </si>
  <si>
    <t>204</t>
  </si>
  <si>
    <t>500.0</t>
  </si>
  <si>
    <t>511</t>
  </si>
  <si>
    <t>GΩ</t>
  </si>
  <si>
    <t>1.01</t>
  </si>
  <si>
    <t>1.900</t>
  </si>
  <si>
    <t>1.93</t>
  </si>
  <si>
    <t>500V</t>
  </si>
  <si>
    <t>999MΩ</t>
  </si>
  <si>
    <t>900.0</t>
  </si>
  <si>
    <t>923</t>
  </si>
  <si>
    <t>513</t>
  </si>
  <si>
    <t>10.3</t>
  </si>
  <si>
    <t>250V</t>
  </si>
  <si>
    <t>100000MΩ</t>
  </si>
  <si>
    <t>101</t>
  </si>
  <si>
    <t>994</t>
  </si>
  <si>
    <t>99.9</t>
  </si>
  <si>
    <t>9.99</t>
  </si>
  <si>
    <t>2500V</t>
  </si>
  <si>
    <t>99900MΩ</t>
  </si>
  <si>
    <t>90.00</t>
  </si>
  <si>
    <t>92.3</t>
  </si>
  <si>
    <t>10.1</t>
  </si>
  <si>
    <t>5000V</t>
  </si>
  <si>
    <t>99.90</t>
  </si>
  <si>
    <t>50.4</t>
  </si>
  <si>
    <t>0.99</t>
  </si>
  <si>
    <t>标准值、显示值、误差的总长度、小数位数是多少？</t>
  </si>
  <si>
    <t>2、电压测量：</t>
  </si>
  <si>
    <t>检定、校准原始</t>
  </si>
  <si>
    <t>允许误差（%）</t>
  </si>
  <si>
    <t>跌落电压（V)</t>
  </si>
  <si>
    <t>校准结果的
不确定度(k=2)）</t>
  </si>
  <si>
    <r>
      <t>-10</t>
    </r>
    <r>
      <rPr>
        <sz val="11"/>
        <rFont val="宋体"/>
        <family val="3"/>
        <charset val="134"/>
      </rPr>
      <t>～</t>
    </r>
    <r>
      <rPr>
        <sz val="11"/>
        <rFont val="Times New Roman"/>
        <family val="1"/>
      </rPr>
      <t>+20</t>
    </r>
  </si>
  <si>
    <r>
      <t>≥</t>
    </r>
    <r>
      <rPr>
        <sz val="11"/>
        <rFont val="Times New Roman"/>
        <family val="1"/>
      </rPr>
      <t>-10</t>
    </r>
  </si>
  <si>
    <r>
      <t>-10</t>
    </r>
    <r>
      <rPr>
        <sz val="11"/>
        <rFont val="宋体"/>
        <family val="3"/>
        <charset val="134"/>
      </rPr>
      <t>～</t>
    </r>
    <r>
      <rPr>
        <sz val="11"/>
        <rFont val="Times New Roman"/>
        <family val="1"/>
      </rPr>
      <t>+10</t>
    </r>
  </si>
  <si>
    <t>电子式备注</t>
  </si>
  <si>
    <t>指针式备注</t>
  </si>
  <si>
    <t>1、准确度等级大于等于2级的，如果合格，则检定项目只标注合格，结论也为合格。如果不合格，只标注在该项目下标准不合格，以下项目以/标注，总结论为不合格
4、如果小于2级的，所有都显示
3、如果数据录入，检定项目内容为空，那么原始记录检定项目为空，证书默认为/
例如：3就是大于等于2级的</t>
  </si>
  <si>
    <t>准确度大于等于2，
与电子式模板一致</t>
  </si>
  <si>
    <r>
      <t>通电检查</t>
    </r>
    <r>
      <rPr>
        <vertAlign val="superscript"/>
        <sz val="12"/>
        <rFont val="宋体"/>
        <family val="3"/>
        <charset val="134"/>
      </rPr>
      <t>①</t>
    </r>
  </si>
  <si>
    <t>数据录入，示值误差检定项目区分为电子式和指针式。</t>
  </si>
  <si>
    <t>根据情况，决定有无。</t>
  </si>
  <si>
    <r>
      <t>辅助接地电阻影响</t>
    </r>
    <r>
      <rPr>
        <vertAlign val="superscript"/>
        <sz val="12"/>
        <rFont val="宋体"/>
        <family val="3"/>
        <charset val="134"/>
      </rPr>
      <t>②</t>
    </r>
  </si>
  <si>
    <t>数据录入，区分为电子式和指针式两个表头。</t>
  </si>
  <si>
    <r>
      <t>地电压的影响</t>
    </r>
    <r>
      <rPr>
        <vertAlign val="superscript"/>
        <sz val="12"/>
        <rFont val="宋体"/>
        <family val="3"/>
        <charset val="134"/>
      </rPr>
      <t>③</t>
    </r>
  </si>
  <si>
    <t>1.1、示值误差</t>
  </si>
  <si>
    <t>根据标准值范围段计算</t>
  </si>
  <si>
    <t>电子式-检定、校准原始：</t>
  </si>
  <si>
    <t>量程(Ω)</t>
  </si>
  <si>
    <t>标准值(Ω)</t>
  </si>
  <si>
    <t>显示值（Ω）</t>
  </si>
  <si>
    <r>
      <t>校准结果的不确定度（</t>
    </r>
    <r>
      <rPr>
        <i/>
        <sz val="12"/>
        <rFont val="宋体"/>
        <family val="3"/>
        <charset val="134"/>
      </rPr>
      <t>k</t>
    </r>
    <r>
      <rPr>
        <sz val="12"/>
        <rFont val="宋体"/>
        <family val="3"/>
        <charset val="134"/>
      </rPr>
      <t>=2）</t>
    </r>
  </si>
  <si>
    <r>
      <t>U</t>
    </r>
    <r>
      <rPr>
        <sz val="12"/>
        <rFont val="宋体"/>
        <family val="3"/>
        <charset val="134"/>
      </rPr>
      <t>a</t>
    </r>
    <r>
      <rPr>
        <vertAlign val="subscript"/>
        <sz val="12"/>
        <rFont val="宋体"/>
        <family val="3"/>
        <charset val="134"/>
      </rPr>
      <t>rel</t>
    </r>
    <r>
      <rPr>
        <sz val="12"/>
        <rFont val="宋体"/>
        <family val="3"/>
        <charset val="134"/>
      </rPr>
      <t>(%)</t>
    </r>
  </si>
  <si>
    <t>校准结果的不确定度（k=2）</t>
  </si>
  <si>
    <t>0.100</t>
  </si>
  <si>
    <t>0.102</t>
  </si>
  <si>
    <t>0.200</t>
  </si>
  <si>
    <t>0.202</t>
  </si>
  <si>
    <t>0.502</t>
  </si>
  <si>
    <t>1.002</t>
  </si>
  <si>
    <t>2.02</t>
  </si>
  <si>
    <t>5.00</t>
  </si>
  <si>
    <t>5.08</t>
  </si>
  <si>
    <t>10.09</t>
  </si>
  <si>
    <t>20.0</t>
  </si>
  <si>
    <t>50.1</t>
  </si>
  <si>
    <t>100.1</t>
  </si>
  <si>
    <t>200.2</t>
  </si>
  <si>
    <t>标准值、显示值、误差的长度和小数位数是?</t>
  </si>
  <si>
    <r>
      <t>1</t>
    </r>
    <r>
      <rPr>
        <sz val="12"/>
        <rFont val="宋体"/>
        <family val="3"/>
        <charset val="134"/>
      </rPr>
      <t>.2、示值误差</t>
    </r>
  </si>
  <si>
    <t>指针式-检定、校准原始</t>
  </si>
  <si>
    <r>
      <t>指针式</t>
    </r>
    <r>
      <rPr>
        <sz val="12"/>
        <rFont val="Times New Roman"/>
        <family val="1"/>
      </rPr>
      <t>-</t>
    </r>
    <r>
      <rPr>
        <sz val="12"/>
        <rFont val="宋体"/>
        <family val="3"/>
        <charset val="134"/>
      </rPr>
      <t>检定证书</t>
    </r>
  </si>
  <si>
    <r>
      <t>指针式</t>
    </r>
    <r>
      <rPr>
        <sz val="12"/>
        <rFont val="Times New Roman"/>
        <family val="1"/>
      </rPr>
      <t>-</t>
    </r>
    <r>
      <rPr>
        <sz val="12"/>
        <rFont val="宋体"/>
        <family val="3"/>
        <charset val="134"/>
      </rPr>
      <t>校准证书</t>
    </r>
  </si>
  <si>
    <t>显示值(Ω)</t>
  </si>
  <si>
    <t>× 10  Ω</t>
  </si>
  <si>
    <t>19.50</t>
  </si>
  <si>
    <t>3</t>
  </si>
  <si>
    <t>3.09</t>
  </si>
  <si>
    <t>4</t>
  </si>
  <si>
    <t>39.10</t>
  </si>
  <si>
    <t>5.10</t>
  </si>
  <si>
    <t>6</t>
  </si>
  <si>
    <t>59.90</t>
  </si>
  <si>
    <t>7</t>
  </si>
  <si>
    <t>7.14</t>
  </si>
  <si>
    <t>8</t>
  </si>
  <si>
    <t>78.84</t>
  </si>
  <si>
    <t>9</t>
  </si>
  <si>
    <t>9.16</t>
  </si>
  <si>
    <t>98.60</t>
  </si>
  <si>
    <t>×  1 Ω</t>
  </si>
  <si>
    <t>10.04</t>
  </si>
  <si>
    <t>7.991</t>
  </si>
  <si>
    <t>4.160</t>
  </si>
  <si>
    <t>×100   Ω</t>
  </si>
  <si>
    <t>982.0</t>
  </si>
  <si>
    <t>784.0</t>
  </si>
  <si>
    <t>391.0</t>
  </si>
  <si>
    <r>
      <t>2</t>
    </r>
    <r>
      <rPr>
        <sz val="12"/>
        <rFont val="宋体"/>
        <family val="3"/>
        <charset val="134"/>
      </rPr>
      <t>、位置影响</t>
    </r>
  </si>
  <si>
    <t>仅指针式</t>
  </si>
  <si>
    <t>指针式-检定、校准证书</t>
  </si>
  <si>
    <t>示值（前）</t>
  </si>
  <si>
    <t>标准值Ω（前）</t>
  </si>
  <si>
    <t>误差%（前）</t>
  </si>
  <si>
    <t>示值（后）</t>
  </si>
  <si>
    <t>标准值Ω（后）</t>
  </si>
  <si>
    <t>误差%（后）</t>
  </si>
  <si>
    <t>示值（左）</t>
  </si>
  <si>
    <t>标准值Ω（左）</t>
  </si>
  <si>
    <t>误差%（左）</t>
  </si>
  <si>
    <t>示值（右）</t>
  </si>
  <si>
    <t>标准值Ω（右）</t>
  </si>
  <si>
    <t>误差%（右）</t>
  </si>
  <si>
    <t>9.990</t>
  </si>
  <si>
    <t>98.50</t>
  </si>
  <si>
    <t>×  100Ω</t>
  </si>
  <si>
    <t>981.0</t>
  </si>
  <si>
    <t>3.1、辅助接地电阻影响</t>
  </si>
  <si>
    <t>电子式</t>
  </si>
  <si>
    <t>电子式-检定、校准原始</t>
  </si>
  <si>
    <t>电子式-检定、校准证书</t>
  </si>
  <si>
    <t>辅助电阻(Ω)</t>
  </si>
  <si>
    <t>500Ω显示值(Ω)</t>
  </si>
  <si>
    <t>改变量</t>
  </si>
  <si>
    <t>19.99</t>
  </si>
  <si>
    <t>3.2、辅助接地电阻影响</t>
  </si>
  <si>
    <t>指针式</t>
  </si>
  <si>
    <t>辅助电阻</t>
  </si>
  <si>
    <t>500Ω电阻实际值</t>
  </si>
  <si>
    <t>（Ω）</t>
  </si>
  <si>
    <t>× 1  Ω</t>
  </si>
  <si>
    <t>JJG 982-2003 直流电阻箱检定规程</t>
    <phoneticPr fontId="25" type="noConversion"/>
  </si>
  <si>
    <r>
      <t>JJG 166-</t>
    </r>
    <r>
      <rPr>
        <sz val="12"/>
        <rFont val="宋体"/>
        <family val="3"/>
        <charset val="134"/>
      </rPr>
      <t>19</t>
    </r>
    <r>
      <rPr>
        <sz val="12"/>
        <rFont val="宋体"/>
        <family val="3"/>
        <charset val="134"/>
      </rPr>
      <t>93直流电阻器</t>
    </r>
    <phoneticPr fontId="141" type="noConversion"/>
  </si>
  <si>
    <r>
      <t>JJF 1264-2010 互感器</t>
    </r>
    <r>
      <rPr>
        <b/>
        <sz val="12"/>
        <rFont val="宋体"/>
        <family val="3"/>
        <charset val="134"/>
      </rPr>
      <t>负荷箱</t>
    </r>
    <r>
      <rPr>
        <sz val="12"/>
        <rFont val="宋体"/>
        <family val="3"/>
        <charset val="134"/>
      </rPr>
      <t>校准规范</t>
    </r>
    <phoneticPr fontId="141" type="noConversion"/>
  </si>
  <si>
    <t>JJG 366-2004 接地电阻表</t>
    <phoneticPr fontId="17" type="noConversion"/>
  </si>
  <si>
    <t>项目:</t>
    <phoneticPr fontId="99" type="noConversion"/>
  </si>
  <si>
    <t>相对误差（％）</t>
    <phoneticPr fontId="141" type="noConversion"/>
  </si>
  <si>
    <t>校准点（%）</t>
    <phoneticPr fontId="141" type="noConversion"/>
  </si>
  <si>
    <t>相对误差  （%）</t>
    <phoneticPr fontId="141" type="noConversion"/>
  </si>
  <si>
    <r>
      <t>校准点</t>
    </r>
    <r>
      <rPr>
        <sz val="10"/>
        <rFont val="宋体"/>
        <family val="3"/>
        <charset val="134"/>
      </rPr>
      <t>(%)</t>
    </r>
    <phoneticPr fontId="141" type="noConversion"/>
  </si>
  <si>
    <t>校准点(%)</t>
    <phoneticPr fontId="141" type="noConversion"/>
  </si>
  <si>
    <t>显示值（Ω）</t>
    <phoneticPr fontId="2" type="noConversion"/>
  </si>
  <si>
    <t>显示值（Ω）</t>
    <phoneticPr fontId="2" type="noConversion"/>
  </si>
  <si>
    <t>相对误差  （％）</t>
    <phoneticPr fontId="141" type="noConversion"/>
  </si>
  <si>
    <t>相对误差（％）</t>
    <phoneticPr fontId="141" type="noConversion"/>
  </si>
  <si>
    <t>校准点（%）</t>
    <phoneticPr fontId="141" type="noConversion"/>
  </si>
  <si>
    <t>标称值  Z(VA)</t>
    <phoneticPr fontId="141" type="noConversion"/>
  </si>
  <si>
    <r>
      <t>电流-5A</t>
    </r>
    <r>
      <rPr>
        <sz val="12"/>
        <rFont val="宋体"/>
        <family val="3"/>
        <charset val="134"/>
      </rPr>
      <t>的容量欧</t>
    </r>
    <phoneticPr fontId="141" type="noConversion"/>
  </si>
  <si>
    <t>容量欧和VA</t>
    <phoneticPr fontId="141" type="noConversion"/>
  </si>
  <si>
    <t>基本误差</t>
    <phoneticPr fontId="141" type="noConversion"/>
  </si>
  <si>
    <t>直流电阻输出</t>
    <phoneticPr fontId="25" type="noConversion"/>
  </si>
  <si>
    <t>JJF 1059[1].1-2012 测量不确定度评定与表示</t>
    <phoneticPr fontId="2" type="noConversion"/>
  </si>
  <si>
    <t>GBT8170-2008数值修约规则</t>
    <phoneticPr fontId="2" type="noConversion"/>
  </si>
  <si>
    <t>http://wenku.baidu.com/link?url=Er2kUIopi2FgC1QLBee5GCXHhzhCfBdT8ZhJn-VuitxmSvPFe1C02ROC1PmeTKOVe7v8NZHquLy-CVPU_QpYD0oEEJDqdnexTUoBZlnOKxG</t>
    <phoneticPr fontId="2" type="noConversion"/>
  </si>
  <si>
    <r>
      <rPr>
        <sz val="12"/>
        <rFont val="宋体"/>
        <family val="3"/>
        <charset val="134"/>
      </rPr>
      <t>（</t>
    </r>
    <r>
      <rPr>
        <sz val="12"/>
        <rFont val="Times New Roman"/>
        <family val="1"/>
      </rPr>
      <t>1</t>
    </r>
    <r>
      <rPr>
        <sz val="12"/>
        <rFont val="宋体"/>
        <family val="3"/>
        <charset val="134"/>
      </rPr>
      <t>）</t>
    </r>
    <r>
      <rPr>
        <sz val="12"/>
        <rFont val="Times New Roman"/>
        <family val="1"/>
      </rPr>
      <t xml:space="preserve"> </t>
    </r>
    <r>
      <rPr>
        <sz val="12"/>
        <rFont val="宋体"/>
        <family val="3"/>
        <charset val="134"/>
      </rPr>
      <t>不确定度的</t>
    </r>
    <r>
      <rPr>
        <sz val="12"/>
        <rFont val="Times New Roman"/>
        <family val="1"/>
      </rPr>
      <t>A</t>
    </r>
    <r>
      <rPr>
        <sz val="12"/>
        <rFont val="宋体"/>
        <family val="3"/>
        <charset val="134"/>
      </rPr>
      <t>类评定</t>
    </r>
    <phoneticPr fontId="2" type="noConversion"/>
  </si>
  <si>
    <r>
      <t>y</t>
    </r>
    <r>
      <rPr>
        <vertAlign val="subscript"/>
        <sz val="9"/>
        <rFont val="Times New Roman"/>
        <family val="1"/>
      </rPr>
      <t>1</t>
    </r>
    <r>
      <rPr>
        <sz val="9"/>
        <rFont val="Times New Roman"/>
        <family val="1"/>
      </rPr>
      <t>/y</t>
    </r>
    <r>
      <rPr>
        <vertAlign val="subscript"/>
        <sz val="9"/>
        <rFont val="Times New Roman"/>
        <family val="1"/>
      </rPr>
      <t>6</t>
    </r>
    <phoneticPr fontId="2" type="noConversion"/>
  </si>
  <si>
    <r>
      <t>y</t>
    </r>
    <r>
      <rPr>
        <vertAlign val="subscript"/>
        <sz val="9"/>
        <rFont val="Times New Roman"/>
        <family val="1"/>
      </rPr>
      <t>2</t>
    </r>
    <r>
      <rPr>
        <sz val="9"/>
        <rFont val="Times New Roman"/>
        <family val="1"/>
      </rPr>
      <t>/y</t>
    </r>
    <r>
      <rPr>
        <vertAlign val="subscript"/>
        <sz val="9"/>
        <rFont val="Times New Roman"/>
        <family val="1"/>
      </rPr>
      <t>7</t>
    </r>
    <phoneticPr fontId="2" type="noConversion"/>
  </si>
  <si>
    <r>
      <t>y</t>
    </r>
    <r>
      <rPr>
        <vertAlign val="subscript"/>
        <sz val="9"/>
        <rFont val="Times New Roman"/>
        <family val="1"/>
      </rPr>
      <t>3</t>
    </r>
    <r>
      <rPr>
        <sz val="9"/>
        <rFont val="Times New Roman"/>
        <family val="1"/>
      </rPr>
      <t>/y</t>
    </r>
    <r>
      <rPr>
        <vertAlign val="subscript"/>
        <sz val="9"/>
        <rFont val="Times New Roman"/>
        <family val="1"/>
      </rPr>
      <t>8</t>
    </r>
    <phoneticPr fontId="2" type="noConversion"/>
  </si>
  <si>
    <r>
      <t>y</t>
    </r>
    <r>
      <rPr>
        <vertAlign val="subscript"/>
        <sz val="9"/>
        <rFont val="Times New Roman"/>
        <family val="1"/>
      </rPr>
      <t>4</t>
    </r>
    <r>
      <rPr>
        <sz val="9"/>
        <rFont val="Times New Roman"/>
        <family val="1"/>
      </rPr>
      <t>/y</t>
    </r>
    <r>
      <rPr>
        <vertAlign val="subscript"/>
        <sz val="9"/>
        <rFont val="Times New Roman"/>
        <family val="1"/>
      </rPr>
      <t>9</t>
    </r>
    <phoneticPr fontId="2" type="noConversion"/>
  </si>
  <si>
    <r>
      <t>y</t>
    </r>
    <r>
      <rPr>
        <vertAlign val="subscript"/>
        <sz val="9"/>
        <rFont val="Times New Roman"/>
        <family val="1"/>
      </rPr>
      <t>5</t>
    </r>
    <r>
      <rPr>
        <sz val="9"/>
        <rFont val="Times New Roman"/>
        <family val="1"/>
      </rPr>
      <t>/y</t>
    </r>
    <r>
      <rPr>
        <vertAlign val="subscript"/>
        <sz val="9"/>
        <rFont val="Times New Roman"/>
        <family val="1"/>
      </rPr>
      <t>10</t>
    </r>
    <phoneticPr fontId="2" type="noConversion"/>
  </si>
  <si>
    <r>
      <t>U</t>
    </r>
    <r>
      <rPr>
        <vertAlign val="subscript"/>
        <sz val="12"/>
        <rFont val="宋体"/>
        <family val="3"/>
        <charset val="134"/>
      </rPr>
      <t>A</t>
    </r>
    <phoneticPr fontId="2" type="noConversion"/>
  </si>
  <si>
    <r>
      <rPr>
        <sz val="12"/>
        <rFont val="宋体"/>
        <family val="3"/>
        <charset val="134"/>
      </rPr>
      <t>（</t>
    </r>
    <r>
      <rPr>
        <sz val="12"/>
        <rFont val="Times New Roman"/>
        <family val="1"/>
      </rPr>
      <t>2</t>
    </r>
    <r>
      <rPr>
        <sz val="12"/>
        <rFont val="宋体"/>
        <family val="3"/>
        <charset val="134"/>
      </rPr>
      <t>）</t>
    </r>
    <r>
      <rPr>
        <sz val="12"/>
        <rFont val="Times New Roman"/>
        <family val="1"/>
      </rPr>
      <t xml:space="preserve"> </t>
    </r>
    <r>
      <rPr>
        <sz val="12"/>
        <rFont val="宋体"/>
        <family val="3"/>
        <charset val="134"/>
      </rPr>
      <t>不确定度的</t>
    </r>
    <r>
      <rPr>
        <sz val="12"/>
        <rFont val="Times New Roman"/>
        <family val="1"/>
      </rPr>
      <t>B</t>
    </r>
    <r>
      <rPr>
        <sz val="12"/>
        <rFont val="宋体"/>
        <family val="3"/>
        <charset val="134"/>
      </rPr>
      <t>类评定</t>
    </r>
    <phoneticPr fontId="2" type="noConversion"/>
  </si>
  <si>
    <t>序号</t>
    <phoneticPr fontId="204" type="noConversion"/>
  </si>
  <si>
    <r>
      <rPr>
        <sz val="12"/>
        <rFont val="宋体"/>
        <family val="3"/>
        <charset val="134"/>
      </rPr>
      <t>误差来源</t>
    </r>
    <phoneticPr fontId="2" type="noConversion"/>
  </si>
  <si>
    <r>
      <rPr>
        <sz val="12"/>
        <rFont val="宋体"/>
        <family val="3"/>
        <charset val="134"/>
      </rPr>
      <t>误差分布状况</t>
    </r>
    <phoneticPr fontId="2" type="noConversion"/>
  </si>
  <si>
    <t>k</t>
    <phoneticPr fontId="2" type="noConversion"/>
  </si>
  <si>
    <r>
      <t>u</t>
    </r>
    <r>
      <rPr>
        <vertAlign val="subscript"/>
        <sz val="12"/>
        <rFont val="Times New Roman"/>
        <family val="1"/>
      </rPr>
      <t>i</t>
    </r>
    <phoneticPr fontId="2" type="noConversion"/>
  </si>
  <si>
    <r>
      <rPr>
        <sz val="12"/>
        <rFont val="宋体"/>
        <family val="3"/>
        <charset val="134"/>
      </rPr>
      <t>本标准器相对误差导致的不确定度</t>
    </r>
    <r>
      <rPr>
        <i/>
        <sz val="12"/>
        <rFont val="Times New Roman"/>
        <family val="1"/>
      </rPr>
      <t>u</t>
    </r>
    <r>
      <rPr>
        <vertAlign val="subscript"/>
        <sz val="12"/>
        <rFont val="Times New Roman"/>
        <family val="1"/>
      </rPr>
      <t>1</t>
    </r>
    <phoneticPr fontId="2" type="noConversion"/>
  </si>
  <si>
    <r>
      <rPr>
        <sz val="12"/>
        <rFont val="宋体"/>
        <family val="3"/>
        <charset val="134"/>
      </rPr>
      <t>正态分布</t>
    </r>
    <phoneticPr fontId="2" type="noConversion"/>
  </si>
  <si>
    <r>
      <rPr>
        <sz val="12"/>
        <rFont val="宋体"/>
        <family val="3"/>
        <charset val="134"/>
      </rPr>
      <t>被试仪表分辨力导致的不确定度</t>
    </r>
    <r>
      <rPr>
        <i/>
        <sz val="12"/>
        <rFont val="Times New Roman"/>
        <family val="1"/>
      </rPr>
      <t>u</t>
    </r>
    <r>
      <rPr>
        <vertAlign val="subscript"/>
        <sz val="12"/>
        <rFont val="Times New Roman"/>
        <family val="1"/>
      </rPr>
      <t>2</t>
    </r>
    <phoneticPr fontId="2" type="noConversion"/>
  </si>
  <si>
    <r>
      <rPr>
        <sz val="12"/>
        <rFont val="宋体"/>
        <family val="3"/>
        <charset val="134"/>
      </rPr>
      <t>矩形分布</t>
    </r>
    <phoneticPr fontId="2" type="noConversion"/>
  </si>
  <si>
    <r>
      <rPr>
        <sz val="10"/>
        <rFont val="宋体"/>
        <family val="3"/>
        <charset val="134"/>
      </rPr>
      <t>标准表上级传递误差导致的测量不确定度（</t>
    </r>
    <r>
      <rPr>
        <sz val="10"/>
        <rFont val="Times New Roman"/>
        <family val="1"/>
      </rPr>
      <t>TPZ303</t>
    </r>
    <r>
      <rPr>
        <sz val="10"/>
        <rFont val="宋体"/>
        <family val="3"/>
        <charset val="134"/>
      </rPr>
      <t>交流电流）</t>
    </r>
    <phoneticPr fontId="2" type="noConversion"/>
  </si>
  <si>
    <r>
      <rPr>
        <sz val="10"/>
        <rFont val="宋体"/>
        <family val="3"/>
        <charset val="134"/>
      </rPr>
      <t>正态分布</t>
    </r>
    <phoneticPr fontId="2" type="noConversion"/>
  </si>
  <si>
    <r>
      <rPr>
        <sz val="10"/>
        <rFont val="宋体"/>
        <family val="3"/>
        <charset val="134"/>
      </rPr>
      <t>标准表上级传递误差导致的测量不确定度（</t>
    </r>
    <r>
      <rPr>
        <sz val="10"/>
        <rFont val="Times New Roman"/>
        <family val="1"/>
      </rPr>
      <t>PP17</t>
    </r>
    <r>
      <rPr>
        <sz val="10"/>
        <rFont val="宋体"/>
        <family val="3"/>
        <charset val="134"/>
      </rPr>
      <t>）</t>
    </r>
    <phoneticPr fontId="2" type="noConversion"/>
  </si>
  <si>
    <t>/</t>
    <phoneticPr fontId="2" type="noConversion"/>
  </si>
  <si>
    <r>
      <rPr>
        <i/>
        <sz val="12"/>
        <rFont val="宋体"/>
        <family val="3"/>
        <charset val="134"/>
      </rPr>
      <t>U</t>
    </r>
    <r>
      <rPr>
        <vertAlign val="subscript"/>
        <sz val="12"/>
        <rFont val="宋体"/>
        <family val="3"/>
        <charset val="134"/>
      </rPr>
      <t>B</t>
    </r>
    <phoneticPr fontId="204" type="noConversion"/>
  </si>
  <si>
    <t xml:space="preserve"> </t>
    <phoneticPr fontId="2" type="noConversion"/>
  </si>
  <si>
    <r>
      <rPr>
        <sz val="12"/>
        <rFont val="宋体"/>
        <family val="3"/>
        <charset val="134"/>
      </rPr>
      <t>（</t>
    </r>
    <r>
      <rPr>
        <sz val="12"/>
        <rFont val="Times New Roman"/>
        <family val="1"/>
      </rPr>
      <t>3</t>
    </r>
    <r>
      <rPr>
        <sz val="12"/>
        <rFont val="宋体"/>
        <family val="3"/>
        <charset val="134"/>
      </rPr>
      <t>）合成不确定度评定</t>
    </r>
    <phoneticPr fontId="2" type="noConversion"/>
  </si>
  <si>
    <r>
      <t>u</t>
    </r>
    <r>
      <rPr>
        <vertAlign val="subscript"/>
        <sz val="12"/>
        <rFont val="Times New Roman"/>
        <family val="1"/>
      </rPr>
      <t>c</t>
    </r>
    <r>
      <rPr>
        <sz val="12"/>
        <rFont val="Times New Roman"/>
        <family val="1"/>
      </rPr>
      <t>=</t>
    </r>
    <phoneticPr fontId="204" type="noConversion"/>
  </si>
  <si>
    <r>
      <rPr>
        <sz val="12"/>
        <rFont val="宋体"/>
        <family val="3"/>
        <charset val="134"/>
      </rPr>
      <t>（</t>
    </r>
    <r>
      <rPr>
        <sz val="12"/>
        <rFont val="Times New Roman"/>
        <family val="1"/>
      </rPr>
      <t>4</t>
    </r>
    <r>
      <rPr>
        <sz val="12"/>
        <rFont val="宋体"/>
        <family val="3"/>
        <charset val="134"/>
      </rPr>
      <t>）</t>
    </r>
    <r>
      <rPr>
        <sz val="12"/>
        <rFont val="Times New Roman"/>
        <family val="1"/>
      </rPr>
      <t xml:space="preserve"> </t>
    </r>
    <r>
      <rPr>
        <sz val="12"/>
        <rFont val="宋体"/>
        <family val="3"/>
        <charset val="134"/>
      </rPr>
      <t>扩展不确定度评定</t>
    </r>
    <phoneticPr fontId="2" type="noConversion"/>
  </si>
  <si>
    <r>
      <t>U</t>
    </r>
    <r>
      <rPr>
        <vertAlign val="subscript"/>
        <sz val="12"/>
        <rFont val="Times New Roman"/>
        <family val="1"/>
      </rPr>
      <t>rel</t>
    </r>
    <r>
      <rPr>
        <sz val="12"/>
        <rFont val="Times New Roman"/>
        <family val="1"/>
      </rPr>
      <t>=</t>
    </r>
    <r>
      <rPr>
        <i/>
        <sz val="12"/>
        <rFont val="Times New Roman"/>
        <family val="1"/>
      </rPr>
      <t/>
    </r>
    <phoneticPr fontId="2" type="noConversion"/>
  </si>
  <si>
    <r>
      <rPr>
        <sz val="12"/>
        <rFont val="宋体"/>
        <family val="3"/>
        <charset val="134"/>
      </rPr>
      <t>（</t>
    </r>
    <r>
      <rPr>
        <sz val="12"/>
        <rFont val="Times New Roman"/>
        <family val="1"/>
      </rPr>
      <t>5</t>
    </r>
    <r>
      <rPr>
        <sz val="12"/>
        <rFont val="宋体"/>
        <family val="3"/>
        <charset val="134"/>
      </rPr>
      <t>）</t>
    </r>
    <r>
      <rPr>
        <sz val="12"/>
        <rFont val="Times New Roman"/>
        <family val="1"/>
      </rPr>
      <t xml:space="preserve"> </t>
    </r>
    <r>
      <rPr>
        <sz val="12"/>
        <rFont val="宋体"/>
        <family val="3"/>
        <charset val="134"/>
      </rPr>
      <t>测量结果报告</t>
    </r>
    <phoneticPr fontId="2" type="noConversion"/>
  </si>
  <si>
    <t>扩展不确定度为：</t>
    <phoneticPr fontId="2" type="noConversion"/>
  </si>
  <si>
    <t>误差限值</t>
    <phoneticPr fontId="2" type="noConversion"/>
  </si>
  <si>
    <t>不确定度</t>
    <phoneticPr fontId="2" type="noConversion"/>
  </si>
  <si>
    <t>按量程</t>
    <phoneticPr fontId="2" type="noConversion"/>
  </si>
  <si>
    <r>
      <rPr>
        <sz val="12"/>
        <rFont val="宋体"/>
        <family val="3"/>
        <charset val="134"/>
      </rPr>
      <t>（</t>
    </r>
    <r>
      <rPr>
        <sz val="12"/>
        <rFont val="Times New Roman"/>
        <family val="1"/>
      </rPr>
      <t>1</t>
    </r>
    <r>
      <rPr>
        <sz val="12"/>
        <rFont val="宋体"/>
        <family val="3"/>
        <charset val="134"/>
      </rPr>
      <t>）</t>
    </r>
    <r>
      <rPr>
        <sz val="12"/>
        <rFont val="Times New Roman"/>
        <family val="1"/>
      </rPr>
      <t xml:space="preserve"> </t>
    </r>
    <r>
      <rPr>
        <sz val="12"/>
        <rFont val="宋体"/>
        <family val="3"/>
        <charset val="134"/>
      </rPr>
      <t>测量不确定度的</t>
    </r>
    <r>
      <rPr>
        <sz val="12"/>
        <rFont val="Times New Roman"/>
        <family val="1"/>
      </rPr>
      <t>A</t>
    </r>
    <r>
      <rPr>
        <sz val="12"/>
        <rFont val="宋体"/>
        <family val="3"/>
        <charset val="134"/>
      </rPr>
      <t>类评定</t>
    </r>
    <phoneticPr fontId="2" type="noConversion"/>
  </si>
  <si>
    <r>
      <t>y</t>
    </r>
    <r>
      <rPr>
        <vertAlign val="subscript"/>
        <sz val="9"/>
        <rFont val="Times New Roman"/>
        <family val="1"/>
      </rPr>
      <t>1</t>
    </r>
    <r>
      <rPr>
        <sz val="9"/>
        <rFont val="Times New Roman"/>
        <family val="1"/>
      </rPr>
      <t>/y</t>
    </r>
    <r>
      <rPr>
        <vertAlign val="subscript"/>
        <sz val="9"/>
        <rFont val="Times New Roman"/>
        <family val="1"/>
      </rPr>
      <t>6</t>
    </r>
    <phoneticPr fontId="2" type="noConversion"/>
  </si>
  <si>
    <r>
      <t>y</t>
    </r>
    <r>
      <rPr>
        <vertAlign val="subscript"/>
        <sz val="9"/>
        <rFont val="Times New Roman"/>
        <family val="1"/>
      </rPr>
      <t>2</t>
    </r>
    <r>
      <rPr>
        <sz val="9"/>
        <rFont val="Times New Roman"/>
        <family val="1"/>
      </rPr>
      <t>/y</t>
    </r>
    <r>
      <rPr>
        <vertAlign val="subscript"/>
        <sz val="9"/>
        <rFont val="Times New Roman"/>
        <family val="1"/>
      </rPr>
      <t>7</t>
    </r>
    <phoneticPr fontId="2" type="noConversion"/>
  </si>
  <si>
    <r>
      <t>y</t>
    </r>
    <r>
      <rPr>
        <vertAlign val="subscript"/>
        <sz val="9"/>
        <rFont val="Times New Roman"/>
        <family val="1"/>
      </rPr>
      <t>3</t>
    </r>
    <r>
      <rPr>
        <sz val="9"/>
        <rFont val="Times New Roman"/>
        <family val="1"/>
      </rPr>
      <t>/y</t>
    </r>
    <r>
      <rPr>
        <vertAlign val="subscript"/>
        <sz val="9"/>
        <rFont val="Times New Roman"/>
        <family val="1"/>
      </rPr>
      <t>8</t>
    </r>
    <phoneticPr fontId="2" type="noConversion"/>
  </si>
  <si>
    <r>
      <t>y</t>
    </r>
    <r>
      <rPr>
        <vertAlign val="subscript"/>
        <sz val="9"/>
        <rFont val="Times New Roman"/>
        <family val="1"/>
      </rPr>
      <t>4</t>
    </r>
    <r>
      <rPr>
        <sz val="9"/>
        <rFont val="Times New Roman"/>
        <family val="1"/>
      </rPr>
      <t>/y</t>
    </r>
    <r>
      <rPr>
        <vertAlign val="subscript"/>
        <sz val="9"/>
        <rFont val="Times New Roman"/>
        <family val="1"/>
      </rPr>
      <t>9</t>
    </r>
    <phoneticPr fontId="2" type="noConversion"/>
  </si>
  <si>
    <r>
      <t>y</t>
    </r>
    <r>
      <rPr>
        <vertAlign val="subscript"/>
        <sz val="9"/>
        <rFont val="Times New Roman"/>
        <family val="1"/>
      </rPr>
      <t>5</t>
    </r>
    <r>
      <rPr>
        <sz val="9"/>
        <rFont val="Times New Roman"/>
        <family val="1"/>
      </rPr>
      <t>/y</t>
    </r>
    <r>
      <rPr>
        <vertAlign val="subscript"/>
        <sz val="9"/>
        <rFont val="Times New Roman"/>
        <family val="1"/>
      </rPr>
      <t>10</t>
    </r>
    <phoneticPr fontId="2" type="noConversion"/>
  </si>
  <si>
    <r>
      <t>U</t>
    </r>
    <r>
      <rPr>
        <vertAlign val="subscript"/>
        <sz val="12"/>
        <rFont val="宋体"/>
        <family val="3"/>
        <charset val="134"/>
      </rPr>
      <t>A</t>
    </r>
    <phoneticPr fontId="2" type="noConversion"/>
  </si>
  <si>
    <t xml:space="preserve"> </t>
    <phoneticPr fontId="2" type="noConversion"/>
  </si>
  <si>
    <r>
      <rPr>
        <sz val="12"/>
        <rFont val="宋体"/>
        <family val="3"/>
        <charset val="134"/>
      </rPr>
      <t>（</t>
    </r>
    <r>
      <rPr>
        <sz val="12"/>
        <rFont val="Times New Roman"/>
        <family val="1"/>
      </rPr>
      <t>2</t>
    </r>
    <r>
      <rPr>
        <sz val="12"/>
        <rFont val="宋体"/>
        <family val="3"/>
        <charset val="134"/>
      </rPr>
      <t>）</t>
    </r>
    <r>
      <rPr>
        <sz val="12"/>
        <rFont val="Times New Roman"/>
        <family val="1"/>
      </rPr>
      <t xml:space="preserve"> </t>
    </r>
    <r>
      <rPr>
        <sz val="12"/>
        <rFont val="宋体"/>
        <family val="3"/>
        <charset val="134"/>
      </rPr>
      <t>测量不确定度的</t>
    </r>
    <r>
      <rPr>
        <sz val="12"/>
        <rFont val="Times New Roman"/>
        <family val="1"/>
      </rPr>
      <t>B</t>
    </r>
    <r>
      <rPr>
        <sz val="12"/>
        <rFont val="宋体"/>
        <family val="3"/>
        <charset val="134"/>
      </rPr>
      <t>类评定</t>
    </r>
    <phoneticPr fontId="2" type="noConversion"/>
  </si>
  <si>
    <t>序号</t>
    <phoneticPr fontId="204" type="noConversion"/>
  </si>
  <si>
    <r>
      <rPr>
        <sz val="12"/>
        <rFont val="宋体"/>
        <family val="3"/>
        <charset val="134"/>
      </rPr>
      <t>误差来源</t>
    </r>
    <phoneticPr fontId="2" type="noConversion"/>
  </si>
  <si>
    <r>
      <rPr>
        <sz val="12"/>
        <rFont val="宋体"/>
        <family val="3"/>
        <charset val="134"/>
      </rPr>
      <t>误差限</t>
    </r>
    <r>
      <rPr>
        <sz val="12"/>
        <rFont val="Times New Roman"/>
        <family val="1"/>
      </rPr>
      <t xml:space="preserve"> </t>
    </r>
    <phoneticPr fontId="2" type="noConversion"/>
  </si>
  <si>
    <r>
      <rPr>
        <sz val="12"/>
        <rFont val="宋体"/>
        <family val="3"/>
        <charset val="134"/>
      </rPr>
      <t>误差分布状况</t>
    </r>
    <phoneticPr fontId="2" type="noConversion"/>
  </si>
  <si>
    <t>k</t>
    <phoneticPr fontId="2" type="noConversion"/>
  </si>
  <si>
    <r>
      <t>u</t>
    </r>
    <r>
      <rPr>
        <vertAlign val="subscript"/>
        <sz val="12"/>
        <rFont val="Times New Roman"/>
        <family val="1"/>
      </rPr>
      <t>i</t>
    </r>
    <phoneticPr fontId="2" type="noConversion"/>
  </si>
  <si>
    <r>
      <rPr>
        <sz val="12"/>
        <rFont val="宋体"/>
        <family val="3"/>
        <charset val="134"/>
      </rPr>
      <t>上级标准器导致的不确定度</t>
    </r>
    <r>
      <rPr>
        <i/>
        <sz val="12"/>
        <rFont val="Times New Roman"/>
        <family val="1"/>
      </rPr>
      <t>u</t>
    </r>
    <r>
      <rPr>
        <vertAlign val="subscript"/>
        <sz val="12"/>
        <rFont val="Times New Roman"/>
        <family val="1"/>
      </rPr>
      <t>1</t>
    </r>
    <phoneticPr fontId="2" type="noConversion"/>
  </si>
  <si>
    <r>
      <rPr>
        <sz val="12"/>
        <rFont val="宋体"/>
        <family val="3"/>
        <charset val="134"/>
      </rPr>
      <t>本标准器相对误差导致的不确定度</t>
    </r>
    <r>
      <rPr>
        <i/>
        <sz val="12"/>
        <rFont val="Times New Roman"/>
        <family val="1"/>
      </rPr>
      <t>u</t>
    </r>
    <r>
      <rPr>
        <vertAlign val="subscript"/>
        <sz val="12"/>
        <rFont val="Times New Roman"/>
        <family val="1"/>
      </rPr>
      <t>2</t>
    </r>
    <phoneticPr fontId="2" type="noConversion"/>
  </si>
  <si>
    <r>
      <rPr>
        <sz val="12"/>
        <rFont val="宋体"/>
        <family val="3"/>
        <charset val="134"/>
      </rPr>
      <t>正态分布</t>
    </r>
    <phoneticPr fontId="2" type="noConversion"/>
  </si>
  <si>
    <r>
      <rPr>
        <sz val="12"/>
        <rFont val="宋体"/>
        <family val="3"/>
        <charset val="134"/>
      </rPr>
      <t>标准仪表分辨力导致的不确定度</t>
    </r>
    <r>
      <rPr>
        <i/>
        <sz val="12"/>
        <rFont val="Times New Roman"/>
        <family val="1"/>
      </rPr>
      <t>u</t>
    </r>
    <r>
      <rPr>
        <vertAlign val="subscript"/>
        <sz val="12"/>
        <rFont val="Times New Roman"/>
        <family val="1"/>
      </rPr>
      <t>3</t>
    </r>
    <phoneticPr fontId="2" type="noConversion"/>
  </si>
  <si>
    <t>矩形分布</t>
    <phoneticPr fontId="2" type="noConversion"/>
  </si>
  <si>
    <r>
      <rPr>
        <sz val="12"/>
        <color indexed="10"/>
        <rFont val="宋体"/>
        <family val="3"/>
        <charset val="134"/>
      </rPr>
      <t>√</t>
    </r>
    <r>
      <rPr>
        <sz val="12"/>
        <color indexed="10"/>
        <rFont val="Times New Roman"/>
        <family val="1"/>
      </rPr>
      <t>3</t>
    </r>
    <phoneticPr fontId="2" type="noConversion"/>
  </si>
  <si>
    <r>
      <rPr>
        <i/>
        <sz val="12"/>
        <rFont val="宋体"/>
        <family val="3"/>
        <charset val="134"/>
      </rPr>
      <t>U</t>
    </r>
    <r>
      <rPr>
        <vertAlign val="subscript"/>
        <sz val="12"/>
        <rFont val="宋体"/>
        <family val="3"/>
        <charset val="134"/>
      </rPr>
      <t>B</t>
    </r>
    <phoneticPr fontId="204" type="noConversion"/>
  </si>
  <si>
    <r>
      <rPr>
        <sz val="10"/>
        <rFont val="宋体"/>
        <family val="3"/>
        <charset val="134"/>
      </rPr>
      <t>标准表上级传递误差导致的测量不确定度（</t>
    </r>
    <r>
      <rPr>
        <sz val="10"/>
        <rFont val="Times New Roman"/>
        <family val="1"/>
      </rPr>
      <t>TPZ303</t>
    </r>
    <r>
      <rPr>
        <sz val="10"/>
        <rFont val="宋体"/>
        <family val="3"/>
        <charset val="134"/>
      </rPr>
      <t>交流电流）</t>
    </r>
    <phoneticPr fontId="2" type="noConversion"/>
  </si>
  <si>
    <r>
      <rPr>
        <sz val="10"/>
        <rFont val="宋体"/>
        <family val="3"/>
        <charset val="134"/>
      </rPr>
      <t>正态分布</t>
    </r>
    <phoneticPr fontId="2" type="noConversion"/>
  </si>
  <si>
    <r>
      <rPr>
        <sz val="10"/>
        <rFont val="宋体"/>
        <family val="3"/>
        <charset val="134"/>
      </rPr>
      <t>标准表上级传递误差导致的测量不确定度（</t>
    </r>
    <r>
      <rPr>
        <sz val="10"/>
        <rFont val="Times New Roman"/>
        <family val="1"/>
      </rPr>
      <t>PP17</t>
    </r>
    <r>
      <rPr>
        <sz val="10"/>
        <rFont val="宋体"/>
        <family val="3"/>
        <charset val="134"/>
      </rPr>
      <t>）</t>
    </r>
    <phoneticPr fontId="2" type="noConversion"/>
  </si>
  <si>
    <r>
      <rPr>
        <sz val="12"/>
        <rFont val="宋体"/>
        <family val="3"/>
        <charset val="134"/>
      </rPr>
      <t>（</t>
    </r>
    <r>
      <rPr>
        <sz val="12"/>
        <rFont val="Times New Roman"/>
        <family val="1"/>
      </rPr>
      <t>3</t>
    </r>
    <r>
      <rPr>
        <sz val="12"/>
        <rFont val="宋体"/>
        <family val="3"/>
        <charset val="134"/>
      </rPr>
      <t>）合成不确定度评定</t>
    </r>
    <phoneticPr fontId="2" type="noConversion"/>
  </si>
  <si>
    <r>
      <t>u</t>
    </r>
    <r>
      <rPr>
        <vertAlign val="subscript"/>
        <sz val="12"/>
        <rFont val="Times New Roman"/>
        <family val="1"/>
      </rPr>
      <t>c</t>
    </r>
    <r>
      <rPr>
        <sz val="12"/>
        <rFont val="Times New Roman"/>
        <family val="1"/>
      </rPr>
      <t>=</t>
    </r>
    <phoneticPr fontId="204" type="noConversion"/>
  </si>
  <si>
    <r>
      <rPr>
        <sz val="12"/>
        <rFont val="宋体"/>
        <family val="3"/>
        <charset val="134"/>
      </rPr>
      <t>（</t>
    </r>
    <r>
      <rPr>
        <sz val="12"/>
        <rFont val="Times New Roman"/>
        <family val="1"/>
      </rPr>
      <t>4</t>
    </r>
    <r>
      <rPr>
        <sz val="12"/>
        <rFont val="宋体"/>
        <family val="3"/>
        <charset val="134"/>
      </rPr>
      <t>）</t>
    </r>
    <r>
      <rPr>
        <sz val="12"/>
        <rFont val="Times New Roman"/>
        <family val="1"/>
      </rPr>
      <t xml:space="preserve"> </t>
    </r>
    <r>
      <rPr>
        <sz val="12"/>
        <rFont val="宋体"/>
        <family val="3"/>
        <charset val="134"/>
      </rPr>
      <t>扩展不确定度评定</t>
    </r>
    <phoneticPr fontId="2" type="noConversion"/>
  </si>
  <si>
    <r>
      <t>U</t>
    </r>
    <r>
      <rPr>
        <vertAlign val="subscript"/>
        <sz val="12"/>
        <rFont val="Times New Roman"/>
        <family val="1"/>
      </rPr>
      <t>rel</t>
    </r>
    <r>
      <rPr>
        <sz val="12"/>
        <rFont val="Times New Roman"/>
        <family val="1"/>
      </rPr>
      <t>=</t>
    </r>
    <r>
      <rPr>
        <i/>
        <sz val="12"/>
        <rFont val="Times New Roman"/>
        <family val="1"/>
      </rPr>
      <t/>
    </r>
    <phoneticPr fontId="2" type="noConversion"/>
  </si>
  <si>
    <r>
      <rPr>
        <sz val="12"/>
        <rFont val="宋体"/>
        <family val="3"/>
        <charset val="134"/>
      </rPr>
      <t>（</t>
    </r>
    <r>
      <rPr>
        <sz val="12"/>
        <rFont val="Times New Roman"/>
        <family val="1"/>
      </rPr>
      <t>5</t>
    </r>
    <r>
      <rPr>
        <sz val="12"/>
        <rFont val="宋体"/>
        <family val="3"/>
        <charset val="134"/>
      </rPr>
      <t>）</t>
    </r>
    <r>
      <rPr>
        <sz val="12"/>
        <rFont val="Times New Roman"/>
        <family val="1"/>
      </rPr>
      <t xml:space="preserve"> </t>
    </r>
    <r>
      <rPr>
        <sz val="12"/>
        <rFont val="宋体"/>
        <family val="3"/>
        <charset val="134"/>
      </rPr>
      <t>测量结果报告</t>
    </r>
    <phoneticPr fontId="2" type="noConversion"/>
  </si>
  <si>
    <t>扩展不确定度为：</t>
    <phoneticPr fontId="2" type="noConversion"/>
  </si>
  <si>
    <t>按量程</t>
    <phoneticPr fontId="2" type="noConversion"/>
  </si>
  <si>
    <r>
      <rPr>
        <sz val="12"/>
        <rFont val="宋体"/>
        <family val="3"/>
        <charset val="134"/>
      </rPr>
      <t>（</t>
    </r>
    <r>
      <rPr>
        <sz val="12"/>
        <rFont val="Times New Roman"/>
        <family val="1"/>
      </rPr>
      <t>1</t>
    </r>
    <r>
      <rPr>
        <sz val="12"/>
        <rFont val="宋体"/>
        <family val="3"/>
        <charset val="134"/>
      </rPr>
      <t>）</t>
    </r>
    <r>
      <rPr>
        <sz val="12"/>
        <rFont val="Times New Roman"/>
        <family val="1"/>
      </rPr>
      <t xml:space="preserve"> </t>
    </r>
    <r>
      <rPr>
        <sz val="12"/>
        <rFont val="宋体"/>
        <family val="3"/>
        <charset val="134"/>
      </rPr>
      <t>不确定度的</t>
    </r>
    <r>
      <rPr>
        <sz val="12"/>
        <rFont val="Times New Roman"/>
        <family val="1"/>
      </rPr>
      <t>A</t>
    </r>
    <r>
      <rPr>
        <sz val="12"/>
        <rFont val="宋体"/>
        <family val="3"/>
        <charset val="134"/>
      </rPr>
      <t>类评定</t>
    </r>
    <phoneticPr fontId="2" type="noConversion"/>
  </si>
  <si>
    <r>
      <t>y</t>
    </r>
    <r>
      <rPr>
        <vertAlign val="subscript"/>
        <sz val="9"/>
        <rFont val="Times New Roman"/>
        <family val="1"/>
      </rPr>
      <t>1</t>
    </r>
    <r>
      <rPr>
        <sz val="9"/>
        <rFont val="Times New Roman"/>
        <family val="1"/>
      </rPr>
      <t>/y</t>
    </r>
    <r>
      <rPr>
        <vertAlign val="subscript"/>
        <sz val="9"/>
        <rFont val="Times New Roman"/>
        <family val="1"/>
      </rPr>
      <t>6</t>
    </r>
    <phoneticPr fontId="2" type="noConversion"/>
  </si>
  <si>
    <r>
      <t>y</t>
    </r>
    <r>
      <rPr>
        <vertAlign val="subscript"/>
        <sz val="9"/>
        <rFont val="Times New Roman"/>
        <family val="1"/>
      </rPr>
      <t>2</t>
    </r>
    <r>
      <rPr>
        <sz val="9"/>
        <rFont val="Times New Roman"/>
        <family val="1"/>
      </rPr>
      <t>/y</t>
    </r>
    <r>
      <rPr>
        <vertAlign val="subscript"/>
        <sz val="9"/>
        <rFont val="Times New Roman"/>
        <family val="1"/>
      </rPr>
      <t>7</t>
    </r>
    <phoneticPr fontId="2" type="noConversion"/>
  </si>
  <si>
    <r>
      <t>y</t>
    </r>
    <r>
      <rPr>
        <vertAlign val="subscript"/>
        <sz val="9"/>
        <rFont val="Times New Roman"/>
        <family val="1"/>
      </rPr>
      <t>3</t>
    </r>
    <r>
      <rPr>
        <sz val="9"/>
        <rFont val="Times New Roman"/>
        <family val="1"/>
      </rPr>
      <t>/y</t>
    </r>
    <r>
      <rPr>
        <vertAlign val="subscript"/>
        <sz val="9"/>
        <rFont val="Times New Roman"/>
        <family val="1"/>
      </rPr>
      <t>8</t>
    </r>
    <phoneticPr fontId="2" type="noConversion"/>
  </si>
  <si>
    <r>
      <t>y</t>
    </r>
    <r>
      <rPr>
        <vertAlign val="subscript"/>
        <sz val="9"/>
        <rFont val="Times New Roman"/>
        <family val="1"/>
      </rPr>
      <t>4</t>
    </r>
    <r>
      <rPr>
        <sz val="9"/>
        <rFont val="Times New Roman"/>
        <family val="1"/>
      </rPr>
      <t>/y</t>
    </r>
    <r>
      <rPr>
        <vertAlign val="subscript"/>
        <sz val="9"/>
        <rFont val="Times New Roman"/>
        <family val="1"/>
      </rPr>
      <t>9</t>
    </r>
    <phoneticPr fontId="2" type="noConversion"/>
  </si>
  <si>
    <r>
      <t>y</t>
    </r>
    <r>
      <rPr>
        <vertAlign val="subscript"/>
        <sz val="9"/>
        <rFont val="Times New Roman"/>
        <family val="1"/>
      </rPr>
      <t>5</t>
    </r>
    <r>
      <rPr>
        <sz val="9"/>
        <rFont val="Times New Roman"/>
        <family val="1"/>
      </rPr>
      <t>/y</t>
    </r>
    <r>
      <rPr>
        <vertAlign val="subscript"/>
        <sz val="9"/>
        <rFont val="Times New Roman"/>
        <family val="1"/>
      </rPr>
      <t>10</t>
    </r>
    <phoneticPr fontId="2" type="noConversion"/>
  </si>
  <si>
    <r>
      <t>U</t>
    </r>
    <r>
      <rPr>
        <vertAlign val="subscript"/>
        <sz val="12"/>
        <rFont val="宋体"/>
        <family val="3"/>
        <charset val="134"/>
      </rPr>
      <t>A</t>
    </r>
    <phoneticPr fontId="2" type="noConversion"/>
  </si>
  <si>
    <r>
      <rPr>
        <sz val="12"/>
        <rFont val="宋体"/>
        <family val="3"/>
        <charset val="134"/>
      </rPr>
      <t>（</t>
    </r>
    <r>
      <rPr>
        <sz val="12"/>
        <rFont val="Times New Roman"/>
        <family val="1"/>
      </rPr>
      <t>2</t>
    </r>
    <r>
      <rPr>
        <sz val="12"/>
        <rFont val="宋体"/>
        <family val="3"/>
        <charset val="134"/>
      </rPr>
      <t>）</t>
    </r>
    <r>
      <rPr>
        <sz val="12"/>
        <rFont val="Times New Roman"/>
        <family val="1"/>
      </rPr>
      <t xml:space="preserve"> </t>
    </r>
    <r>
      <rPr>
        <sz val="12"/>
        <rFont val="宋体"/>
        <family val="3"/>
        <charset val="134"/>
      </rPr>
      <t>不确定度的</t>
    </r>
    <r>
      <rPr>
        <sz val="12"/>
        <rFont val="Times New Roman"/>
        <family val="1"/>
      </rPr>
      <t>B</t>
    </r>
    <r>
      <rPr>
        <sz val="12"/>
        <rFont val="宋体"/>
        <family val="3"/>
        <charset val="134"/>
      </rPr>
      <t>类评定</t>
    </r>
    <phoneticPr fontId="2" type="noConversion"/>
  </si>
  <si>
    <r>
      <rPr>
        <sz val="12"/>
        <rFont val="宋体"/>
        <family val="3"/>
        <charset val="134"/>
      </rPr>
      <t>误差来源</t>
    </r>
    <phoneticPr fontId="2" type="noConversion"/>
  </si>
  <si>
    <r>
      <rPr>
        <sz val="12"/>
        <rFont val="宋体"/>
        <family val="3"/>
        <charset val="134"/>
      </rPr>
      <t>误差限</t>
    </r>
    <r>
      <rPr>
        <sz val="12"/>
        <rFont val="Times New Roman"/>
        <family val="1"/>
      </rPr>
      <t xml:space="preserve"> </t>
    </r>
    <phoneticPr fontId="2" type="noConversion"/>
  </si>
  <si>
    <r>
      <rPr>
        <sz val="12"/>
        <rFont val="宋体"/>
        <family val="3"/>
        <charset val="134"/>
      </rPr>
      <t>误差分布状况</t>
    </r>
    <phoneticPr fontId="2" type="noConversion"/>
  </si>
  <si>
    <t>k</t>
    <phoneticPr fontId="2" type="noConversion"/>
  </si>
  <si>
    <t>不确定度</t>
    <phoneticPr fontId="2" type="noConversion"/>
  </si>
  <si>
    <r>
      <rPr>
        <sz val="12"/>
        <rFont val="宋体"/>
        <family val="3"/>
        <charset val="134"/>
      </rPr>
      <t>上级标准器导致的不确定度</t>
    </r>
    <r>
      <rPr>
        <i/>
        <sz val="12"/>
        <rFont val="Times New Roman"/>
        <family val="1"/>
      </rPr>
      <t>u</t>
    </r>
    <r>
      <rPr>
        <vertAlign val="subscript"/>
        <sz val="12"/>
        <rFont val="Times New Roman"/>
        <family val="1"/>
      </rPr>
      <t>1</t>
    </r>
    <phoneticPr fontId="2" type="noConversion"/>
  </si>
  <si>
    <r>
      <rPr>
        <sz val="12"/>
        <rFont val="宋体"/>
        <family val="3"/>
        <charset val="134"/>
      </rPr>
      <t>正态分布</t>
    </r>
    <phoneticPr fontId="2" type="noConversion"/>
  </si>
  <si>
    <r>
      <rPr>
        <sz val="12"/>
        <rFont val="宋体"/>
        <family val="3"/>
        <charset val="134"/>
      </rPr>
      <t>本标准器相对误差导致的不确定度</t>
    </r>
    <r>
      <rPr>
        <i/>
        <sz val="12"/>
        <rFont val="Times New Roman"/>
        <family val="1"/>
      </rPr>
      <t>u</t>
    </r>
    <r>
      <rPr>
        <vertAlign val="subscript"/>
        <sz val="12"/>
        <rFont val="Times New Roman"/>
        <family val="1"/>
      </rPr>
      <t>2</t>
    </r>
    <phoneticPr fontId="2" type="noConversion"/>
  </si>
  <si>
    <r>
      <rPr>
        <sz val="12"/>
        <rFont val="宋体"/>
        <family val="3"/>
        <charset val="134"/>
      </rPr>
      <t>正态分布</t>
    </r>
    <phoneticPr fontId="2" type="noConversion"/>
  </si>
  <si>
    <r>
      <rPr>
        <sz val="12"/>
        <rFont val="宋体"/>
        <family val="3"/>
        <charset val="134"/>
      </rPr>
      <t>标准仪表分辨力导致的不确定度</t>
    </r>
    <r>
      <rPr>
        <i/>
        <sz val="12"/>
        <rFont val="Times New Roman"/>
        <family val="1"/>
      </rPr>
      <t>u</t>
    </r>
    <r>
      <rPr>
        <vertAlign val="subscript"/>
        <sz val="12"/>
        <rFont val="Times New Roman"/>
        <family val="1"/>
      </rPr>
      <t>3</t>
    </r>
    <phoneticPr fontId="2" type="noConversion"/>
  </si>
  <si>
    <t>矩形分布</t>
    <phoneticPr fontId="2" type="noConversion"/>
  </si>
  <si>
    <r>
      <rPr>
        <sz val="12"/>
        <color indexed="10"/>
        <rFont val="宋体"/>
        <family val="3"/>
        <charset val="134"/>
      </rPr>
      <t>√</t>
    </r>
    <r>
      <rPr>
        <sz val="12"/>
        <color indexed="10"/>
        <rFont val="Times New Roman"/>
        <family val="1"/>
      </rPr>
      <t>3</t>
    </r>
    <phoneticPr fontId="2" type="noConversion"/>
  </si>
  <si>
    <r>
      <rPr>
        <sz val="10"/>
        <rFont val="宋体"/>
        <family val="3"/>
        <charset val="134"/>
      </rPr>
      <t>标准表上级传递误差导致的测量不确定度（</t>
    </r>
    <r>
      <rPr>
        <sz val="10"/>
        <rFont val="Times New Roman"/>
        <family val="1"/>
      </rPr>
      <t>TPZ303</t>
    </r>
    <r>
      <rPr>
        <sz val="10"/>
        <rFont val="宋体"/>
        <family val="3"/>
        <charset val="134"/>
      </rPr>
      <t>交流电流）</t>
    </r>
    <phoneticPr fontId="2" type="noConversion"/>
  </si>
  <si>
    <r>
      <rPr>
        <sz val="10"/>
        <rFont val="宋体"/>
        <family val="3"/>
        <charset val="134"/>
      </rPr>
      <t>正态分布</t>
    </r>
    <phoneticPr fontId="2" type="noConversion"/>
  </si>
  <si>
    <r>
      <rPr>
        <sz val="10"/>
        <rFont val="宋体"/>
        <family val="3"/>
        <charset val="134"/>
      </rPr>
      <t>标准表上级传递误差导致的测量不确定度（</t>
    </r>
    <r>
      <rPr>
        <sz val="10"/>
        <rFont val="Times New Roman"/>
        <family val="1"/>
      </rPr>
      <t>PP17</t>
    </r>
    <r>
      <rPr>
        <sz val="10"/>
        <rFont val="宋体"/>
        <family val="3"/>
        <charset val="134"/>
      </rPr>
      <t>）</t>
    </r>
    <phoneticPr fontId="2" type="noConversion"/>
  </si>
  <si>
    <r>
      <rPr>
        <i/>
        <sz val="12"/>
        <rFont val="Times New Roman"/>
        <family val="1"/>
      </rPr>
      <t xml:space="preserve"> U</t>
    </r>
    <r>
      <rPr>
        <vertAlign val="subscript"/>
        <sz val="12"/>
        <rFont val="Times New Roman"/>
        <family val="1"/>
      </rPr>
      <t>B</t>
    </r>
    <phoneticPr fontId="2" type="noConversion"/>
  </si>
  <si>
    <r>
      <rPr>
        <sz val="12"/>
        <rFont val="宋体"/>
        <family val="3"/>
        <charset val="134"/>
      </rPr>
      <t>（</t>
    </r>
    <r>
      <rPr>
        <sz val="12"/>
        <rFont val="Times New Roman"/>
        <family val="1"/>
      </rPr>
      <t>3</t>
    </r>
    <r>
      <rPr>
        <sz val="12"/>
        <rFont val="宋体"/>
        <family val="3"/>
        <charset val="134"/>
      </rPr>
      <t>）合成不确定度</t>
    </r>
    <phoneticPr fontId="2" type="noConversion"/>
  </si>
  <si>
    <r>
      <t>u</t>
    </r>
    <r>
      <rPr>
        <vertAlign val="subscript"/>
        <sz val="12"/>
        <rFont val="Times New Roman"/>
        <family val="1"/>
      </rPr>
      <t>c</t>
    </r>
    <r>
      <rPr>
        <sz val="12"/>
        <rFont val="Times New Roman"/>
        <family val="1"/>
      </rPr>
      <t>=</t>
    </r>
    <phoneticPr fontId="204" type="noConversion"/>
  </si>
  <si>
    <r>
      <rPr>
        <sz val="12"/>
        <rFont val="宋体"/>
        <family val="3"/>
        <charset val="134"/>
      </rPr>
      <t>（</t>
    </r>
    <r>
      <rPr>
        <sz val="12"/>
        <rFont val="Times New Roman"/>
        <family val="1"/>
      </rPr>
      <t>4</t>
    </r>
    <r>
      <rPr>
        <sz val="12"/>
        <rFont val="宋体"/>
        <family val="3"/>
        <charset val="134"/>
      </rPr>
      <t>）</t>
    </r>
    <r>
      <rPr>
        <sz val="12"/>
        <rFont val="Times New Roman"/>
        <family val="1"/>
      </rPr>
      <t xml:space="preserve"> </t>
    </r>
    <r>
      <rPr>
        <sz val="12"/>
        <rFont val="宋体"/>
        <family val="3"/>
        <charset val="134"/>
      </rPr>
      <t>扩展不确定度</t>
    </r>
    <phoneticPr fontId="2" type="noConversion"/>
  </si>
  <si>
    <r>
      <t>U</t>
    </r>
    <r>
      <rPr>
        <vertAlign val="subscript"/>
        <sz val="12"/>
        <rFont val="Times New Roman"/>
        <family val="1"/>
      </rPr>
      <t>rel</t>
    </r>
    <r>
      <rPr>
        <sz val="12"/>
        <rFont val="Times New Roman"/>
        <family val="1"/>
      </rPr>
      <t>=</t>
    </r>
    <r>
      <rPr>
        <i/>
        <sz val="12"/>
        <rFont val="Times New Roman"/>
        <family val="1"/>
      </rPr>
      <t/>
    </r>
    <phoneticPr fontId="2" type="noConversion"/>
  </si>
  <si>
    <r>
      <rPr>
        <sz val="12"/>
        <rFont val="宋体"/>
        <family val="3"/>
        <charset val="134"/>
      </rPr>
      <t>（</t>
    </r>
    <r>
      <rPr>
        <sz val="12"/>
        <rFont val="Times New Roman"/>
        <family val="1"/>
      </rPr>
      <t>5</t>
    </r>
    <r>
      <rPr>
        <sz val="12"/>
        <rFont val="宋体"/>
        <family val="3"/>
        <charset val="134"/>
      </rPr>
      <t>）</t>
    </r>
    <r>
      <rPr>
        <sz val="12"/>
        <rFont val="Times New Roman"/>
        <family val="1"/>
      </rPr>
      <t xml:space="preserve"> </t>
    </r>
    <r>
      <rPr>
        <sz val="12"/>
        <rFont val="宋体"/>
        <family val="3"/>
        <charset val="134"/>
      </rPr>
      <t>报告不确定度</t>
    </r>
    <phoneticPr fontId="2" type="noConversion"/>
  </si>
  <si>
    <t>扩展不确定度为：</t>
    <phoneticPr fontId="2" type="noConversion"/>
  </si>
  <si>
    <r>
      <rPr>
        <sz val="12"/>
        <rFont val="宋体"/>
        <family val="3"/>
        <charset val="134"/>
      </rPr>
      <t>（</t>
    </r>
    <r>
      <rPr>
        <sz val="12"/>
        <rFont val="Times New Roman"/>
        <family val="1"/>
      </rPr>
      <t>1</t>
    </r>
    <r>
      <rPr>
        <sz val="12"/>
        <rFont val="宋体"/>
        <family val="3"/>
        <charset val="134"/>
      </rPr>
      <t>）</t>
    </r>
    <r>
      <rPr>
        <sz val="12"/>
        <rFont val="Times New Roman"/>
        <family val="1"/>
      </rPr>
      <t xml:space="preserve"> </t>
    </r>
    <r>
      <rPr>
        <sz val="12"/>
        <rFont val="宋体"/>
        <family val="3"/>
        <charset val="134"/>
      </rPr>
      <t>不确定度的</t>
    </r>
    <r>
      <rPr>
        <sz val="12"/>
        <rFont val="Times New Roman"/>
        <family val="1"/>
      </rPr>
      <t>A</t>
    </r>
    <r>
      <rPr>
        <sz val="12"/>
        <rFont val="宋体"/>
        <family val="3"/>
        <charset val="134"/>
      </rPr>
      <t>类评定</t>
    </r>
    <phoneticPr fontId="2" type="noConversion"/>
  </si>
  <si>
    <r>
      <t>y</t>
    </r>
    <r>
      <rPr>
        <vertAlign val="subscript"/>
        <sz val="9"/>
        <rFont val="Times New Roman"/>
        <family val="1"/>
      </rPr>
      <t>1</t>
    </r>
    <r>
      <rPr>
        <sz val="9"/>
        <rFont val="Times New Roman"/>
        <family val="1"/>
      </rPr>
      <t>/y</t>
    </r>
    <r>
      <rPr>
        <vertAlign val="subscript"/>
        <sz val="9"/>
        <rFont val="Times New Roman"/>
        <family val="1"/>
      </rPr>
      <t>6</t>
    </r>
    <phoneticPr fontId="2" type="noConversion"/>
  </si>
  <si>
    <r>
      <t>y</t>
    </r>
    <r>
      <rPr>
        <vertAlign val="subscript"/>
        <sz val="9"/>
        <rFont val="Times New Roman"/>
        <family val="1"/>
      </rPr>
      <t>2</t>
    </r>
    <r>
      <rPr>
        <sz val="9"/>
        <rFont val="Times New Roman"/>
        <family val="1"/>
      </rPr>
      <t>/y</t>
    </r>
    <r>
      <rPr>
        <vertAlign val="subscript"/>
        <sz val="9"/>
        <rFont val="Times New Roman"/>
        <family val="1"/>
      </rPr>
      <t>7</t>
    </r>
    <phoneticPr fontId="2" type="noConversion"/>
  </si>
  <si>
    <r>
      <t>y</t>
    </r>
    <r>
      <rPr>
        <vertAlign val="subscript"/>
        <sz val="9"/>
        <rFont val="Times New Roman"/>
        <family val="1"/>
      </rPr>
      <t>3</t>
    </r>
    <r>
      <rPr>
        <sz val="9"/>
        <rFont val="Times New Roman"/>
        <family val="1"/>
      </rPr>
      <t>/y</t>
    </r>
    <r>
      <rPr>
        <vertAlign val="subscript"/>
        <sz val="9"/>
        <rFont val="Times New Roman"/>
        <family val="1"/>
      </rPr>
      <t>8</t>
    </r>
    <phoneticPr fontId="2" type="noConversion"/>
  </si>
  <si>
    <r>
      <t>y</t>
    </r>
    <r>
      <rPr>
        <vertAlign val="subscript"/>
        <sz val="9"/>
        <rFont val="Times New Roman"/>
        <family val="1"/>
      </rPr>
      <t>4</t>
    </r>
    <r>
      <rPr>
        <sz val="9"/>
        <rFont val="Times New Roman"/>
        <family val="1"/>
      </rPr>
      <t>/y</t>
    </r>
    <r>
      <rPr>
        <vertAlign val="subscript"/>
        <sz val="9"/>
        <rFont val="Times New Roman"/>
        <family val="1"/>
      </rPr>
      <t>9</t>
    </r>
    <phoneticPr fontId="2" type="noConversion"/>
  </si>
  <si>
    <r>
      <t>y</t>
    </r>
    <r>
      <rPr>
        <vertAlign val="subscript"/>
        <sz val="9"/>
        <rFont val="Times New Roman"/>
        <family val="1"/>
      </rPr>
      <t>5</t>
    </r>
    <r>
      <rPr>
        <sz val="9"/>
        <rFont val="Times New Roman"/>
        <family val="1"/>
      </rPr>
      <t>/y</t>
    </r>
    <r>
      <rPr>
        <vertAlign val="subscript"/>
        <sz val="9"/>
        <rFont val="Times New Roman"/>
        <family val="1"/>
      </rPr>
      <t>10</t>
    </r>
    <phoneticPr fontId="2" type="noConversion"/>
  </si>
  <si>
    <r>
      <t>U</t>
    </r>
    <r>
      <rPr>
        <vertAlign val="subscript"/>
        <sz val="12"/>
        <rFont val="宋体"/>
        <family val="3"/>
        <charset val="134"/>
      </rPr>
      <t>A</t>
    </r>
    <phoneticPr fontId="2" type="noConversion"/>
  </si>
  <si>
    <r>
      <rPr>
        <sz val="12"/>
        <rFont val="宋体"/>
        <family val="3"/>
        <charset val="134"/>
      </rPr>
      <t>（</t>
    </r>
    <r>
      <rPr>
        <sz val="12"/>
        <rFont val="Times New Roman"/>
        <family val="1"/>
      </rPr>
      <t>2</t>
    </r>
    <r>
      <rPr>
        <sz val="12"/>
        <rFont val="宋体"/>
        <family val="3"/>
        <charset val="134"/>
      </rPr>
      <t>）</t>
    </r>
    <r>
      <rPr>
        <sz val="12"/>
        <rFont val="Times New Roman"/>
        <family val="1"/>
      </rPr>
      <t xml:space="preserve"> </t>
    </r>
    <r>
      <rPr>
        <sz val="12"/>
        <rFont val="宋体"/>
        <family val="3"/>
        <charset val="134"/>
      </rPr>
      <t>不确定度的</t>
    </r>
    <r>
      <rPr>
        <sz val="12"/>
        <rFont val="Times New Roman"/>
        <family val="1"/>
      </rPr>
      <t>B</t>
    </r>
    <r>
      <rPr>
        <sz val="12"/>
        <rFont val="宋体"/>
        <family val="3"/>
        <charset val="134"/>
      </rPr>
      <t>类评定</t>
    </r>
    <phoneticPr fontId="2" type="noConversion"/>
  </si>
  <si>
    <r>
      <rPr>
        <sz val="12"/>
        <rFont val="宋体"/>
        <family val="3"/>
        <charset val="134"/>
      </rPr>
      <t>误差来源</t>
    </r>
    <phoneticPr fontId="2" type="noConversion"/>
  </si>
  <si>
    <r>
      <rPr>
        <sz val="12"/>
        <rFont val="宋体"/>
        <family val="3"/>
        <charset val="134"/>
      </rPr>
      <t>误差限</t>
    </r>
    <r>
      <rPr>
        <sz val="12"/>
        <rFont val="Times New Roman"/>
        <family val="1"/>
      </rPr>
      <t xml:space="preserve"> </t>
    </r>
    <phoneticPr fontId="2" type="noConversion"/>
  </si>
  <si>
    <r>
      <rPr>
        <sz val="12"/>
        <rFont val="宋体"/>
        <family val="3"/>
        <charset val="134"/>
      </rPr>
      <t>误差分布状况</t>
    </r>
    <phoneticPr fontId="2" type="noConversion"/>
  </si>
  <si>
    <t>不确定度</t>
    <phoneticPr fontId="2" type="noConversion"/>
  </si>
  <si>
    <r>
      <rPr>
        <sz val="12"/>
        <rFont val="宋体"/>
        <family val="3"/>
        <charset val="134"/>
      </rPr>
      <t>上级标准器导致的不确定度</t>
    </r>
    <r>
      <rPr>
        <i/>
        <sz val="12"/>
        <rFont val="Times New Roman"/>
        <family val="1"/>
      </rPr>
      <t>u</t>
    </r>
    <r>
      <rPr>
        <vertAlign val="subscript"/>
        <sz val="12"/>
        <rFont val="Times New Roman"/>
        <family val="1"/>
      </rPr>
      <t>1</t>
    </r>
    <phoneticPr fontId="2" type="noConversion"/>
  </si>
  <si>
    <r>
      <rPr>
        <i/>
        <sz val="12"/>
        <rFont val="Times New Roman"/>
        <family val="1"/>
      </rPr>
      <t xml:space="preserve"> U</t>
    </r>
    <r>
      <rPr>
        <vertAlign val="subscript"/>
        <sz val="12"/>
        <rFont val="Times New Roman"/>
        <family val="1"/>
      </rPr>
      <t>B</t>
    </r>
    <phoneticPr fontId="2" type="noConversion"/>
  </si>
  <si>
    <r>
      <rPr>
        <sz val="12"/>
        <rFont val="宋体"/>
        <family val="3"/>
        <charset val="134"/>
      </rPr>
      <t>（</t>
    </r>
    <r>
      <rPr>
        <sz val="12"/>
        <rFont val="Times New Roman"/>
        <family val="1"/>
      </rPr>
      <t>3</t>
    </r>
    <r>
      <rPr>
        <sz val="12"/>
        <rFont val="宋体"/>
        <family val="3"/>
        <charset val="134"/>
      </rPr>
      <t>）合成不确定度</t>
    </r>
    <phoneticPr fontId="2" type="noConversion"/>
  </si>
  <si>
    <r>
      <rPr>
        <sz val="12"/>
        <rFont val="宋体"/>
        <family val="3"/>
        <charset val="134"/>
      </rPr>
      <t>（</t>
    </r>
    <r>
      <rPr>
        <sz val="12"/>
        <rFont val="Times New Roman"/>
        <family val="1"/>
      </rPr>
      <t>4</t>
    </r>
    <r>
      <rPr>
        <sz val="12"/>
        <rFont val="宋体"/>
        <family val="3"/>
        <charset val="134"/>
      </rPr>
      <t>）</t>
    </r>
    <r>
      <rPr>
        <sz val="12"/>
        <rFont val="Times New Roman"/>
        <family val="1"/>
      </rPr>
      <t xml:space="preserve"> </t>
    </r>
    <r>
      <rPr>
        <sz val="12"/>
        <rFont val="宋体"/>
        <family val="3"/>
        <charset val="134"/>
      </rPr>
      <t>扩展不确定度</t>
    </r>
    <phoneticPr fontId="2" type="noConversion"/>
  </si>
  <si>
    <r>
      <rPr>
        <sz val="12"/>
        <rFont val="宋体"/>
        <family val="3"/>
        <charset val="134"/>
      </rPr>
      <t>（</t>
    </r>
    <r>
      <rPr>
        <sz val="12"/>
        <rFont val="Times New Roman"/>
        <family val="1"/>
      </rPr>
      <t>5</t>
    </r>
    <r>
      <rPr>
        <sz val="12"/>
        <rFont val="宋体"/>
        <family val="3"/>
        <charset val="134"/>
      </rPr>
      <t>）</t>
    </r>
    <r>
      <rPr>
        <sz val="12"/>
        <rFont val="Times New Roman"/>
        <family val="1"/>
      </rPr>
      <t xml:space="preserve"> </t>
    </r>
    <r>
      <rPr>
        <sz val="12"/>
        <rFont val="宋体"/>
        <family val="3"/>
        <charset val="134"/>
      </rPr>
      <t>报告不确定度</t>
    </r>
    <phoneticPr fontId="2" type="noConversion"/>
  </si>
  <si>
    <t>扩展不确定度为：</t>
    <phoneticPr fontId="2" type="noConversion"/>
  </si>
  <si>
    <r>
      <rPr>
        <sz val="12"/>
        <rFont val="宋体"/>
        <family val="3"/>
        <charset val="134"/>
      </rPr>
      <t>（</t>
    </r>
    <r>
      <rPr>
        <sz val="12"/>
        <rFont val="Times New Roman"/>
        <family val="1"/>
      </rPr>
      <t>1</t>
    </r>
    <r>
      <rPr>
        <sz val="12"/>
        <rFont val="宋体"/>
        <family val="3"/>
        <charset val="134"/>
      </rPr>
      <t>）</t>
    </r>
    <r>
      <rPr>
        <sz val="12"/>
        <rFont val="Times New Roman"/>
        <family val="1"/>
      </rPr>
      <t xml:space="preserve"> </t>
    </r>
    <r>
      <rPr>
        <sz val="12"/>
        <rFont val="宋体"/>
        <family val="3"/>
        <charset val="134"/>
      </rPr>
      <t>不确定度的</t>
    </r>
    <r>
      <rPr>
        <sz val="12"/>
        <rFont val="Times New Roman"/>
        <family val="1"/>
      </rPr>
      <t>A</t>
    </r>
    <r>
      <rPr>
        <sz val="12"/>
        <rFont val="宋体"/>
        <family val="3"/>
        <charset val="134"/>
      </rPr>
      <t>类评定</t>
    </r>
    <phoneticPr fontId="2" type="noConversion"/>
  </si>
  <si>
    <r>
      <t>y</t>
    </r>
    <r>
      <rPr>
        <vertAlign val="subscript"/>
        <sz val="9"/>
        <rFont val="Times New Roman"/>
        <family val="1"/>
      </rPr>
      <t>1</t>
    </r>
    <r>
      <rPr>
        <sz val="9"/>
        <rFont val="Times New Roman"/>
        <family val="1"/>
      </rPr>
      <t>/y</t>
    </r>
    <r>
      <rPr>
        <vertAlign val="subscript"/>
        <sz val="9"/>
        <rFont val="Times New Roman"/>
        <family val="1"/>
      </rPr>
      <t>6</t>
    </r>
    <phoneticPr fontId="2" type="noConversion"/>
  </si>
  <si>
    <r>
      <t>y</t>
    </r>
    <r>
      <rPr>
        <vertAlign val="subscript"/>
        <sz val="9"/>
        <rFont val="Times New Roman"/>
        <family val="1"/>
      </rPr>
      <t>2</t>
    </r>
    <r>
      <rPr>
        <sz val="9"/>
        <rFont val="Times New Roman"/>
        <family val="1"/>
      </rPr>
      <t>/y</t>
    </r>
    <r>
      <rPr>
        <vertAlign val="subscript"/>
        <sz val="9"/>
        <rFont val="Times New Roman"/>
        <family val="1"/>
      </rPr>
      <t>7</t>
    </r>
    <phoneticPr fontId="2" type="noConversion"/>
  </si>
  <si>
    <r>
      <t>y</t>
    </r>
    <r>
      <rPr>
        <vertAlign val="subscript"/>
        <sz val="9"/>
        <rFont val="Times New Roman"/>
        <family val="1"/>
      </rPr>
      <t>3</t>
    </r>
    <r>
      <rPr>
        <sz val="9"/>
        <rFont val="Times New Roman"/>
        <family val="1"/>
      </rPr>
      <t>/y</t>
    </r>
    <r>
      <rPr>
        <vertAlign val="subscript"/>
        <sz val="9"/>
        <rFont val="Times New Roman"/>
        <family val="1"/>
      </rPr>
      <t>8</t>
    </r>
    <phoneticPr fontId="2" type="noConversion"/>
  </si>
  <si>
    <r>
      <t>y</t>
    </r>
    <r>
      <rPr>
        <vertAlign val="subscript"/>
        <sz val="9"/>
        <rFont val="Times New Roman"/>
        <family val="1"/>
      </rPr>
      <t>4</t>
    </r>
    <r>
      <rPr>
        <sz val="9"/>
        <rFont val="Times New Roman"/>
        <family val="1"/>
      </rPr>
      <t>/y</t>
    </r>
    <r>
      <rPr>
        <vertAlign val="subscript"/>
        <sz val="9"/>
        <rFont val="Times New Roman"/>
        <family val="1"/>
      </rPr>
      <t>9</t>
    </r>
    <phoneticPr fontId="2" type="noConversion"/>
  </si>
  <si>
    <r>
      <t>y</t>
    </r>
    <r>
      <rPr>
        <vertAlign val="subscript"/>
        <sz val="9"/>
        <rFont val="Times New Roman"/>
        <family val="1"/>
      </rPr>
      <t>5</t>
    </r>
    <r>
      <rPr>
        <sz val="9"/>
        <rFont val="Times New Roman"/>
        <family val="1"/>
      </rPr>
      <t>/y</t>
    </r>
    <r>
      <rPr>
        <vertAlign val="subscript"/>
        <sz val="9"/>
        <rFont val="Times New Roman"/>
        <family val="1"/>
      </rPr>
      <t>10</t>
    </r>
    <phoneticPr fontId="2" type="noConversion"/>
  </si>
  <si>
    <r>
      <t>U</t>
    </r>
    <r>
      <rPr>
        <vertAlign val="subscript"/>
        <sz val="12"/>
        <rFont val="宋体"/>
        <family val="3"/>
        <charset val="134"/>
      </rPr>
      <t>A</t>
    </r>
    <phoneticPr fontId="2" type="noConversion"/>
  </si>
  <si>
    <r>
      <rPr>
        <sz val="12"/>
        <rFont val="宋体"/>
        <family val="3"/>
        <charset val="134"/>
      </rPr>
      <t>（</t>
    </r>
    <r>
      <rPr>
        <sz val="12"/>
        <rFont val="Times New Roman"/>
        <family val="1"/>
      </rPr>
      <t>2</t>
    </r>
    <r>
      <rPr>
        <sz val="12"/>
        <rFont val="宋体"/>
        <family val="3"/>
        <charset val="134"/>
      </rPr>
      <t>）</t>
    </r>
    <r>
      <rPr>
        <sz val="12"/>
        <rFont val="宋体"/>
        <family val="3"/>
        <charset val="134"/>
      </rPr>
      <t>不确定度的</t>
    </r>
    <r>
      <rPr>
        <sz val="12"/>
        <rFont val="Times New Roman"/>
        <family val="1"/>
      </rPr>
      <t>B</t>
    </r>
    <r>
      <rPr>
        <sz val="12"/>
        <rFont val="宋体"/>
        <family val="3"/>
        <charset val="134"/>
      </rPr>
      <t>类评定</t>
    </r>
    <phoneticPr fontId="2" type="noConversion"/>
  </si>
  <si>
    <t>序号</t>
    <phoneticPr fontId="204" type="noConversion"/>
  </si>
  <si>
    <r>
      <rPr>
        <sz val="12"/>
        <rFont val="宋体"/>
        <family val="3"/>
        <charset val="134"/>
      </rPr>
      <t>误差来源</t>
    </r>
    <phoneticPr fontId="2" type="noConversion"/>
  </si>
  <si>
    <r>
      <rPr>
        <sz val="12"/>
        <rFont val="宋体"/>
        <family val="3"/>
        <charset val="134"/>
      </rPr>
      <t>误差限</t>
    </r>
    <r>
      <rPr>
        <sz val="12"/>
        <rFont val="Times New Roman"/>
        <family val="1"/>
      </rPr>
      <t xml:space="preserve"> </t>
    </r>
    <phoneticPr fontId="2" type="noConversion"/>
  </si>
  <si>
    <r>
      <rPr>
        <sz val="12"/>
        <rFont val="宋体"/>
        <family val="3"/>
        <charset val="134"/>
      </rPr>
      <t>误差分布状况</t>
    </r>
    <phoneticPr fontId="2" type="noConversion"/>
  </si>
  <si>
    <t>k</t>
    <phoneticPr fontId="2" type="noConversion"/>
  </si>
  <si>
    <r>
      <t>u</t>
    </r>
    <r>
      <rPr>
        <vertAlign val="subscript"/>
        <sz val="12"/>
        <rFont val="Times New Roman"/>
        <family val="1"/>
      </rPr>
      <t>i</t>
    </r>
    <phoneticPr fontId="2" type="noConversion"/>
  </si>
  <si>
    <r>
      <rPr>
        <sz val="12"/>
        <rFont val="宋体"/>
        <family val="3"/>
        <charset val="134"/>
      </rPr>
      <t>上级标准器导致的不确定度</t>
    </r>
    <r>
      <rPr>
        <i/>
        <sz val="12"/>
        <rFont val="Times New Roman"/>
        <family val="1"/>
      </rPr>
      <t>u</t>
    </r>
    <r>
      <rPr>
        <vertAlign val="subscript"/>
        <sz val="12"/>
        <rFont val="Times New Roman"/>
        <family val="1"/>
      </rPr>
      <t>1</t>
    </r>
    <phoneticPr fontId="2" type="noConversion"/>
  </si>
  <si>
    <r>
      <rPr>
        <sz val="12"/>
        <rFont val="宋体"/>
        <family val="3"/>
        <charset val="134"/>
      </rPr>
      <t>正态分布</t>
    </r>
    <phoneticPr fontId="2" type="noConversion"/>
  </si>
  <si>
    <r>
      <rPr>
        <sz val="12"/>
        <rFont val="宋体"/>
        <family val="3"/>
        <charset val="134"/>
      </rPr>
      <t>本标准器相对误差导致的不确定度</t>
    </r>
    <r>
      <rPr>
        <i/>
        <sz val="12"/>
        <rFont val="Times New Roman"/>
        <family val="1"/>
      </rPr>
      <t>u</t>
    </r>
    <r>
      <rPr>
        <vertAlign val="subscript"/>
        <sz val="12"/>
        <rFont val="Times New Roman"/>
        <family val="1"/>
      </rPr>
      <t>2</t>
    </r>
    <phoneticPr fontId="2" type="noConversion"/>
  </si>
  <si>
    <r>
      <rPr>
        <sz val="12"/>
        <rFont val="宋体"/>
        <family val="3"/>
        <charset val="134"/>
      </rPr>
      <t>正态分布</t>
    </r>
    <phoneticPr fontId="2" type="noConversion"/>
  </si>
  <si>
    <r>
      <rPr>
        <sz val="12"/>
        <rFont val="宋体"/>
        <family val="3"/>
        <charset val="134"/>
      </rPr>
      <t>标准仪表分辨力导致的不确定度</t>
    </r>
    <r>
      <rPr>
        <i/>
        <sz val="12"/>
        <rFont val="Times New Roman"/>
        <family val="1"/>
      </rPr>
      <t>u</t>
    </r>
    <r>
      <rPr>
        <vertAlign val="subscript"/>
        <sz val="12"/>
        <rFont val="Times New Roman"/>
        <family val="1"/>
      </rPr>
      <t>3</t>
    </r>
    <phoneticPr fontId="2" type="noConversion"/>
  </si>
  <si>
    <t>矩形分布</t>
    <phoneticPr fontId="2" type="noConversion"/>
  </si>
  <si>
    <r>
      <rPr>
        <sz val="12"/>
        <color indexed="10"/>
        <rFont val="宋体"/>
        <family val="3"/>
        <charset val="134"/>
      </rPr>
      <t>√</t>
    </r>
    <r>
      <rPr>
        <sz val="12"/>
        <color indexed="10"/>
        <rFont val="Times New Roman"/>
        <family val="1"/>
      </rPr>
      <t>3</t>
    </r>
    <phoneticPr fontId="2" type="noConversion"/>
  </si>
  <si>
    <r>
      <t xml:space="preserve"> U</t>
    </r>
    <r>
      <rPr>
        <i/>
        <vertAlign val="subscript"/>
        <sz val="12"/>
        <rFont val="Times New Roman"/>
        <family val="1"/>
      </rPr>
      <t>B</t>
    </r>
    <phoneticPr fontId="2" type="noConversion"/>
  </si>
  <si>
    <r>
      <rPr>
        <sz val="12"/>
        <rFont val="宋体"/>
        <family val="3"/>
        <charset val="134"/>
      </rPr>
      <t>（</t>
    </r>
    <r>
      <rPr>
        <sz val="12"/>
        <rFont val="Times New Roman"/>
        <family val="1"/>
      </rPr>
      <t>1</t>
    </r>
    <r>
      <rPr>
        <sz val="12"/>
        <rFont val="宋体"/>
        <family val="3"/>
        <charset val="134"/>
      </rPr>
      <t>）</t>
    </r>
    <r>
      <rPr>
        <sz val="12"/>
        <rFont val="Times New Roman"/>
        <family val="1"/>
      </rPr>
      <t xml:space="preserve"> </t>
    </r>
    <r>
      <rPr>
        <sz val="12"/>
        <rFont val="宋体"/>
        <family val="3"/>
        <charset val="134"/>
      </rPr>
      <t>不确定度的</t>
    </r>
    <r>
      <rPr>
        <sz val="12"/>
        <rFont val="Times New Roman"/>
        <family val="1"/>
      </rPr>
      <t>A</t>
    </r>
    <r>
      <rPr>
        <sz val="12"/>
        <rFont val="宋体"/>
        <family val="3"/>
        <charset val="134"/>
      </rPr>
      <t>类评定</t>
    </r>
    <phoneticPr fontId="2" type="noConversion"/>
  </si>
  <si>
    <r>
      <t>y</t>
    </r>
    <r>
      <rPr>
        <vertAlign val="subscript"/>
        <sz val="9"/>
        <rFont val="Times New Roman"/>
        <family val="1"/>
      </rPr>
      <t>1</t>
    </r>
    <r>
      <rPr>
        <sz val="9"/>
        <rFont val="Times New Roman"/>
        <family val="1"/>
      </rPr>
      <t>/y</t>
    </r>
    <r>
      <rPr>
        <vertAlign val="subscript"/>
        <sz val="9"/>
        <rFont val="Times New Roman"/>
        <family val="1"/>
      </rPr>
      <t>6</t>
    </r>
    <phoneticPr fontId="2" type="noConversion"/>
  </si>
  <si>
    <r>
      <t>y</t>
    </r>
    <r>
      <rPr>
        <vertAlign val="subscript"/>
        <sz val="9"/>
        <rFont val="Times New Roman"/>
        <family val="1"/>
      </rPr>
      <t>2</t>
    </r>
    <r>
      <rPr>
        <sz val="9"/>
        <rFont val="Times New Roman"/>
        <family val="1"/>
      </rPr>
      <t>/y</t>
    </r>
    <r>
      <rPr>
        <vertAlign val="subscript"/>
        <sz val="9"/>
        <rFont val="Times New Roman"/>
        <family val="1"/>
      </rPr>
      <t>7</t>
    </r>
    <phoneticPr fontId="2" type="noConversion"/>
  </si>
  <si>
    <r>
      <t>y</t>
    </r>
    <r>
      <rPr>
        <vertAlign val="subscript"/>
        <sz val="9"/>
        <rFont val="Times New Roman"/>
        <family val="1"/>
      </rPr>
      <t>3</t>
    </r>
    <r>
      <rPr>
        <sz val="9"/>
        <rFont val="Times New Roman"/>
        <family val="1"/>
      </rPr>
      <t>/y</t>
    </r>
    <r>
      <rPr>
        <vertAlign val="subscript"/>
        <sz val="9"/>
        <rFont val="Times New Roman"/>
        <family val="1"/>
      </rPr>
      <t>8</t>
    </r>
    <phoneticPr fontId="2" type="noConversion"/>
  </si>
  <si>
    <r>
      <t>y</t>
    </r>
    <r>
      <rPr>
        <vertAlign val="subscript"/>
        <sz val="9"/>
        <rFont val="Times New Roman"/>
        <family val="1"/>
      </rPr>
      <t>4</t>
    </r>
    <r>
      <rPr>
        <sz val="9"/>
        <rFont val="Times New Roman"/>
        <family val="1"/>
      </rPr>
      <t>/y</t>
    </r>
    <r>
      <rPr>
        <vertAlign val="subscript"/>
        <sz val="9"/>
        <rFont val="Times New Roman"/>
        <family val="1"/>
      </rPr>
      <t>9</t>
    </r>
    <phoneticPr fontId="2" type="noConversion"/>
  </si>
  <si>
    <r>
      <t>y</t>
    </r>
    <r>
      <rPr>
        <vertAlign val="subscript"/>
        <sz val="9"/>
        <rFont val="Times New Roman"/>
        <family val="1"/>
      </rPr>
      <t>5</t>
    </r>
    <r>
      <rPr>
        <sz val="9"/>
        <rFont val="Times New Roman"/>
        <family val="1"/>
      </rPr>
      <t>/y</t>
    </r>
    <r>
      <rPr>
        <vertAlign val="subscript"/>
        <sz val="9"/>
        <rFont val="Times New Roman"/>
        <family val="1"/>
      </rPr>
      <t>10</t>
    </r>
    <phoneticPr fontId="2" type="noConversion"/>
  </si>
  <si>
    <r>
      <t>U</t>
    </r>
    <r>
      <rPr>
        <vertAlign val="subscript"/>
        <sz val="12"/>
        <rFont val="宋体"/>
        <family val="3"/>
        <charset val="134"/>
      </rPr>
      <t>A</t>
    </r>
    <phoneticPr fontId="2" type="noConversion"/>
  </si>
  <si>
    <r>
      <rPr>
        <sz val="12"/>
        <rFont val="宋体"/>
        <family val="3"/>
        <charset val="134"/>
      </rPr>
      <t>（</t>
    </r>
    <r>
      <rPr>
        <sz val="12"/>
        <rFont val="Times New Roman"/>
        <family val="1"/>
      </rPr>
      <t>2</t>
    </r>
    <r>
      <rPr>
        <sz val="12"/>
        <rFont val="宋体"/>
        <family val="3"/>
        <charset val="134"/>
      </rPr>
      <t>）</t>
    </r>
    <r>
      <rPr>
        <sz val="12"/>
        <rFont val="宋体"/>
        <family val="3"/>
        <charset val="134"/>
      </rPr>
      <t>不确定度的</t>
    </r>
    <r>
      <rPr>
        <sz val="12"/>
        <rFont val="Times New Roman"/>
        <family val="1"/>
      </rPr>
      <t>B</t>
    </r>
    <r>
      <rPr>
        <sz val="12"/>
        <rFont val="宋体"/>
        <family val="3"/>
        <charset val="134"/>
      </rPr>
      <t>类评定</t>
    </r>
    <phoneticPr fontId="2" type="noConversion"/>
  </si>
  <si>
    <t>序号</t>
    <phoneticPr fontId="204" type="noConversion"/>
  </si>
  <si>
    <r>
      <rPr>
        <sz val="12"/>
        <rFont val="宋体"/>
        <family val="3"/>
        <charset val="134"/>
      </rPr>
      <t>误差来源</t>
    </r>
    <phoneticPr fontId="2" type="noConversion"/>
  </si>
  <si>
    <r>
      <rPr>
        <sz val="12"/>
        <rFont val="宋体"/>
        <family val="3"/>
        <charset val="134"/>
      </rPr>
      <t>误差限</t>
    </r>
    <r>
      <rPr>
        <sz val="12"/>
        <rFont val="Times New Roman"/>
        <family val="1"/>
      </rPr>
      <t xml:space="preserve"> </t>
    </r>
    <phoneticPr fontId="2" type="noConversion"/>
  </si>
  <si>
    <r>
      <rPr>
        <sz val="12"/>
        <rFont val="宋体"/>
        <family val="3"/>
        <charset val="134"/>
      </rPr>
      <t>误差分布状况</t>
    </r>
    <phoneticPr fontId="2" type="noConversion"/>
  </si>
  <si>
    <t>k</t>
    <phoneticPr fontId="2" type="noConversion"/>
  </si>
  <si>
    <r>
      <rPr>
        <sz val="12"/>
        <rFont val="宋体"/>
        <family val="3"/>
        <charset val="134"/>
      </rPr>
      <t>上级标准器导致的不确定度</t>
    </r>
    <r>
      <rPr>
        <i/>
        <sz val="12"/>
        <rFont val="Times New Roman"/>
        <family val="1"/>
      </rPr>
      <t>u</t>
    </r>
    <r>
      <rPr>
        <vertAlign val="subscript"/>
        <sz val="12"/>
        <rFont val="Times New Roman"/>
        <family val="1"/>
      </rPr>
      <t>1</t>
    </r>
    <phoneticPr fontId="2" type="noConversion"/>
  </si>
  <si>
    <r>
      <rPr>
        <sz val="12"/>
        <rFont val="宋体"/>
        <family val="3"/>
        <charset val="134"/>
      </rPr>
      <t>正态分布</t>
    </r>
    <phoneticPr fontId="2" type="noConversion"/>
  </si>
  <si>
    <r>
      <rPr>
        <sz val="12"/>
        <rFont val="宋体"/>
        <family val="3"/>
        <charset val="134"/>
      </rPr>
      <t>本标准器相对误差导致的不确定度</t>
    </r>
    <r>
      <rPr>
        <i/>
        <sz val="12"/>
        <rFont val="Times New Roman"/>
        <family val="1"/>
      </rPr>
      <t>u</t>
    </r>
    <r>
      <rPr>
        <vertAlign val="subscript"/>
        <sz val="12"/>
        <rFont val="Times New Roman"/>
        <family val="1"/>
      </rPr>
      <t>2</t>
    </r>
    <phoneticPr fontId="2" type="noConversion"/>
  </si>
  <si>
    <r>
      <rPr>
        <sz val="12"/>
        <rFont val="宋体"/>
        <family val="3"/>
        <charset val="134"/>
      </rPr>
      <t>正态分布</t>
    </r>
    <phoneticPr fontId="2" type="noConversion"/>
  </si>
  <si>
    <r>
      <rPr>
        <sz val="12"/>
        <rFont val="宋体"/>
        <family val="3"/>
        <charset val="134"/>
      </rPr>
      <t>标准仪表分辨力导致的不确定度</t>
    </r>
    <r>
      <rPr>
        <i/>
        <sz val="12"/>
        <rFont val="Times New Roman"/>
        <family val="1"/>
      </rPr>
      <t>u</t>
    </r>
    <r>
      <rPr>
        <vertAlign val="subscript"/>
        <sz val="12"/>
        <rFont val="Times New Roman"/>
        <family val="1"/>
      </rPr>
      <t>3</t>
    </r>
    <phoneticPr fontId="2" type="noConversion"/>
  </si>
  <si>
    <t>矩形分布</t>
    <phoneticPr fontId="2" type="noConversion"/>
  </si>
  <si>
    <r>
      <rPr>
        <sz val="12"/>
        <color indexed="10"/>
        <rFont val="宋体"/>
        <family val="3"/>
        <charset val="134"/>
      </rPr>
      <t>√</t>
    </r>
    <r>
      <rPr>
        <sz val="12"/>
        <color indexed="10"/>
        <rFont val="Times New Roman"/>
        <family val="1"/>
      </rPr>
      <t>3</t>
    </r>
    <phoneticPr fontId="2" type="noConversion"/>
  </si>
  <si>
    <r>
      <t xml:space="preserve"> U</t>
    </r>
    <r>
      <rPr>
        <i/>
        <vertAlign val="subscript"/>
        <sz val="12"/>
        <rFont val="Times New Roman"/>
        <family val="1"/>
      </rPr>
      <t>B</t>
    </r>
    <phoneticPr fontId="2" type="noConversion"/>
  </si>
  <si>
    <r>
      <rPr>
        <sz val="12"/>
        <rFont val="宋体"/>
        <family val="3"/>
        <charset val="134"/>
      </rPr>
      <t>（</t>
    </r>
    <r>
      <rPr>
        <sz val="12"/>
        <rFont val="Times New Roman"/>
        <family val="1"/>
      </rPr>
      <t>3</t>
    </r>
    <r>
      <rPr>
        <sz val="12"/>
        <rFont val="宋体"/>
        <family val="3"/>
        <charset val="134"/>
      </rPr>
      <t>）合成不确定度评定</t>
    </r>
    <phoneticPr fontId="2" type="noConversion"/>
  </si>
  <si>
    <r>
      <t>u</t>
    </r>
    <r>
      <rPr>
        <vertAlign val="subscript"/>
        <sz val="12"/>
        <rFont val="Times New Roman"/>
        <family val="1"/>
      </rPr>
      <t>c</t>
    </r>
    <r>
      <rPr>
        <sz val="12"/>
        <rFont val="Times New Roman"/>
        <family val="1"/>
      </rPr>
      <t>=</t>
    </r>
    <phoneticPr fontId="204" type="noConversion"/>
  </si>
  <si>
    <r>
      <rPr>
        <sz val="12"/>
        <rFont val="宋体"/>
        <family val="3"/>
        <charset val="134"/>
      </rPr>
      <t>（</t>
    </r>
    <r>
      <rPr>
        <sz val="12"/>
        <rFont val="Times New Roman"/>
        <family val="1"/>
      </rPr>
      <t>4</t>
    </r>
    <r>
      <rPr>
        <sz val="12"/>
        <rFont val="宋体"/>
        <family val="3"/>
        <charset val="134"/>
      </rPr>
      <t>）</t>
    </r>
    <r>
      <rPr>
        <sz val="12"/>
        <rFont val="Times New Roman"/>
        <family val="1"/>
      </rPr>
      <t xml:space="preserve"> </t>
    </r>
    <r>
      <rPr>
        <sz val="12"/>
        <rFont val="宋体"/>
        <family val="3"/>
        <charset val="134"/>
      </rPr>
      <t>扩展不确定度评定</t>
    </r>
    <phoneticPr fontId="2" type="noConversion"/>
  </si>
  <si>
    <r>
      <t>U</t>
    </r>
    <r>
      <rPr>
        <vertAlign val="subscript"/>
        <sz val="12"/>
        <rFont val="Times New Roman"/>
        <family val="1"/>
      </rPr>
      <t>rel</t>
    </r>
    <r>
      <rPr>
        <sz val="12"/>
        <rFont val="Times New Roman"/>
        <family val="1"/>
      </rPr>
      <t>=</t>
    </r>
    <r>
      <rPr>
        <i/>
        <sz val="12"/>
        <rFont val="Times New Roman"/>
        <family val="1"/>
      </rPr>
      <t/>
    </r>
    <phoneticPr fontId="2" type="noConversion"/>
  </si>
  <si>
    <r>
      <rPr>
        <sz val="12"/>
        <rFont val="宋体"/>
        <family val="3"/>
        <charset val="134"/>
      </rPr>
      <t>（</t>
    </r>
    <r>
      <rPr>
        <sz val="12"/>
        <rFont val="Times New Roman"/>
        <family val="1"/>
      </rPr>
      <t>5</t>
    </r>
    <r>
      <rPr>
        <sz val="12"/>
        <rFont val="宋体"/>
        <family val="3"/>
        <charset val="134"/>
      </rPr>
      <t>）</t>
    </r>
    <r>
      <rPr>
        <sz val="12"/>
        <rFont val="Times New Roman"/>
        <family val="1"/>
      </rPr>
      <t xml:space="preserve"> </t>
    </r>
    <r>
      <rPr>
        <sz val="12"/>
        <rFont val="宋体"/>
        <family val="3"/>
        <charset val="134"/>
      </rPr>
      <t>测量结果报告</t>
    </r>
    <phoneticPr fontId="2" type="noConversion"/>
  </si>
  <si>
    <t>扩展不确定度为：</t>
    <phoneticPr fontId="2" type="noConversion"/>
  </si>
  <si>
    <t>测量不确定度的评定</t>
  </si>
  <si>
    <r>
      <rPr>
        <sz val="12"/>
        <rFont val="宋体"/>
        <family val="3"/>
        <charset val="134"/>
      </rPr>
      <t>评定依据：</t>
    </r>
    <r>
      <rPr>
        <sz val="12"/>
        <rFont val="Times New Roman"/>
        <family val="1"/>
      </rPr>
      <t/>
    </r>
  </si>
  <si>
    <r>
      <t xml:space="preserve">JJF 1059.1-2012 </t>
    </r>
    <r>
      <rPr>
        <sz val="12"/>
        <rFont val="宋体"/>
        <family val="3"/>
        <charset val="134"/>
      </rPr>
      <t>测量不确定度评定与表示</t>
    </r>
  </si>
  <si>
    <r>
      <rPr>
        <sz val="12"/>
        <rFont val="宋体"/>
        <family val="3"/>
        <charset val="134"/>
      </rPr>
      <t>（</t>
    </r>
    <r>
      <rPr>
        <sz val="12"/>
        <rFont val="Times New Roman"/>
        <family val="1"/>
      </rPr>
      <t>1</t>
    </r>
    <r>
      <rPr>
        <sz val="12"/>
        <rFont val="宋体"/>
        <family val="3"/>
        <charset val="134"/>
      </rPr>
      <t>）</t>
    </r>
    <r>
      <rPr>
        <sz val="12"/>
        <rFont val="Times New Roman"/>
        <family val="1"/>
      </rPr>
      <t xml:space="preserve"> </t>
    </r>
    <r>
      <rPr>
        <sz val="12"/>
        <rFont val="宋体"/>
        <family val="3"/>
        <charset val="134"/>
      </rPr>
      <t>测量不确定度的</t>
    </r>
    <r>
      <rPr>
        <sz val="12"/>
        <rFont val="Times New Roman"/>
        <family val="1"/>
      </rPr>
      <t>A</t>
    </r>
    <r>
      <rPr>
        <sz val="12"/>
        <rFont val="宋体"/>
        <family val="3"/>
        <charset val="134"/>
      </rPr>
      <t>类评定</t>
    </r>
    <phoneticPr fontId="2" type="noConversion"/>
  </si>
  <si>
    <r>
      <t>y</t>
    </r>
    <r>
      <rPr>
        <vertAlign val="subscript"/>
        <sz val="9"/>
        <rFont val="Times New Roman"/>
        <family val="1"/>
      </rPr>
      <t>1</t>
    </r>
    <r>
      <rPr>
        <sz val="9"/>
        <rFont val="Times New Roman"/>
        <family val="1"/>
      </rPr>
      <t>/y</t>
    </r>
    <r>
      <rPr>
        <vertAlign val="subscript"/>
        <sz val="9"/>
        <rFont val="Times New Roman"/>
        <family val="1"/>
      </rPr>
      <t>6</t>
    </r>
    <phoneticPr fontId="2" type="noConversion"/>
  </si>
  <si>
    <r>
      <t>y</t>
    </r>
    <r>
      <rPr>
        <vertAlign val="subscript"/>
        <sz val="9"/>
        <rFont val="Times New Roman"/>
        <family val="1"/>
      </rPr>
      <t>2</t>
    </r>
    <r>
      <rPr>
        <sz val="9"/>
        <rFont val="Times New Roman"/>
        <family val="1"/>
      </rPr>
      <t>/y</t>
    </r>
    <r>
      <rPr>
        <vertAlign val="subscript"/>
        <sz val="9"/>
        <rFont val="Times New Roman"/>
        <family val="1"/>
      </rPr>
      <t>7</t>
    </r>
    <phoneticPr fontId="2" type="noConversion"/>
  </si>
  <si>
    <r>
      <t>y</t>
    </r>
    <r>
      <rPr>
        <vertAlign val="subscript"/>
        <sz val="9"/>
        <rFont val="Times New Roman"/>
        <family val="1"/>
      </rPr>
      <t>3</t>
    </r>
    <r>
      <rPr>
        <sz val="9"/>
        <rFont val="Times New Roman"/>
        <family val="1"/>
      </rPr>
      <t>/y</t>
    </r>
    <r>
      <rPr>
        <vertAlign val="subscript"/>
        <sz val="9"/>
        <rFont val="Times New Roman"/>
        <family val="1"/>
      </rPr>
      <t>8</t>
    </r>
    <phoneticPr fontId="2" type="noConversion"/>
  </si>
  <si>
    <r>
      <t>y</t>
    </r>
    <r>
      <rPr>
        <vertAlign val="subscript"/>
        <sz val="9"/>
        <rFont val="Times New Roman"/>
        <family val="1"/>
      </rPr>
      <t>4</t>
    </r>
    <r>
      <rPr>
        <sz val="9"/>
        <rFont val="Times New Roman"/>
        <family val="1"/>
      </rPr>
      <t>/y</t>
    </r>
    <r>
      <rPr>
        <vertAlign val="subscript"/>
        <sz val="9"/>
        <rFont val="Times New Roman"/>
        <family val="1"/>
      </rPr>
      <t>9</t>
    </r>
    <phoneticPr fontId="2" type="noConversion"/>
  </si>
  <si>
    <r>
      <t>y</t>
    </r>
    <r>
      <rPr>
        <vertAlign val="subscript"/>
        <sz val="9"/>
        <rFont val="Times New Roman"/>
        <family val="1"/>
      </rPr>
      <t>5</t>
    </r>
    <r>
      <rPr>
        <sz val="9"/>
        <rFont val="Times New Roman"/>
        <family val="1"/>
      </rPr>
      <t>/y</t>
    </r>
    <r>
      <rPr>
        <vertAlign val="subscript"/>
        <sz val="9"/>
        <rFont val="Times New Roman"/>
        <family val="1"/>
      </rPr>
      <t>10</t>
    </r>
    <phoneticPr fontId="2" type="noConversion"/>
  </si>
  <si>
    <r>
      <t>U</t>
    </r>
    <r>
      <rPr>
        <vertAlign val="subscript"/>
        <sz val="12"/>
        <rFont val="宋体"/>
        <family val="3"/>
        <charset val="134"/>
      </rPr>
      <t>A</t>
    </r>
    <phoneticPr fontId="2" type="noConversion"/>
  </si>
  <si>
    <r>
      <rPr>
        <sz val="12"/>
        <rFont val="宋体"/>
        <family val="3"/>
        <charset val="134"/>
      </rPr>
      <t>（</t>
    </r>
    <r>
      <rPr>
        <sz val="12"/>
        <rFont val="Times New Roman"/>
        <family val="1"/>
      </rPr>
      <t>2</t>
    </r>
    <r>
      <rPr>
        <sz val="12"/>
        <rFont val="宋体"/>
        <family val="3"/>
        <charset val="134"/>
      </rPr>
      <t>）</t>
    </r>
    <r>
      <rPr>
        <sz val="12"/>
        <rFont val="Times New Roman"/>
        <family val="1"/>
      </rPr>
      <t xml:space="preserve"> </t>
    </r>
    <r>
      <rPr>
        <sz val="12"/>
        <rFont val="宋体"/>
        <family val="3"/>
        <charset val="134"/>
      </rPr>
      <t>测量不确定度的</t>
    </r>
    <r>
      <rPr>
        <sz val="12"/>
        <rFont val="Times New Roman"/>
        <family val="1"/>
      </rPr>
      <t>B</t>
    </r>
    <r>
      <rPr>
        <sz val="12"/>
        <rFont val="宋体"/>
        <family val="3"/>
        <charset val="134"/>
      </rPr>
      <t>类评定</t>
    </r>
    <phoneticPr fontId="2" type="noConversion"/>
  </si>
  <si>
    <t>序号</t>
    <phoneticPr fontId="207" type="noConversion"/>
  </si>
  <si>
    <t>误差来源</t>
    <phoneticPr fontId="207" type="noConversion"/>
  </si>
  <si>
    <r>
      <rPr>
        <sz val="12"/>
        <rFont val="宋体"/>
        <family val="3"/>
        <charset val="134"/>
      </rPr>
      <t>误差限</t>
    </r>
    <r>
      <rPr>
        <sz val="12"/>
        <rFont val="Times New Roman"/>
        <family val="1"/>
      </rPr>
      <t xml:space="preserve"> </t>
    </r>
  </si>
  <si>
    <r>
      <rPr>
        <sz val="12"/>
        <rFont val="宋体"/>
        <family val="3"/>
        <charset val="134"/>
      </rPr>
      <t>误差分布状况</t>
    </r>
  </si>
  <si>
    <r>
      <t>u</t>
    </r>
    <r>
      <rPr>
        <vertAlign val="subscript"/>
        <sz val="12"/>
        <rFont val="Times New Roman"/>
        <family val="1"/>
      </rPr>
      <t>i</t>
    </r>
  </si>
  <si>
    <r>
      <t>RD33</t>
    </r>
    <r>
      <rPr>
        <sz val="12"/>
        <rFont val="宋体"/>
        <family val="3"/>
        <charset val="134"/>
      </rPr>
      <t>相对误差导致的不确定度</t>
    </r>
    <r>
      <rPr>
        <sz val="12"/>
        <rFont val="Times New Roman"/>
        <family val="1"/>
      </rPr>
      <t>u1</t>
    </r>
    <phoneticPr fontId="207" type="noConversion"/>
  </si>
  <si>
    <r>
      <rPr>
        <sz val="12"/>
        <rFont val="宋体"/>
        <family val="3"/>
        <charset val="134"/>
      </rPr>
      <t>正态分布</t>
    </r>
  </si>
  <si>
    <r>
      <t>8508A</t>
    </r>
    <r>
      <rPr>
        <sz val="12"/>
        <rFont val="宋体"/>
        <family val="3"/>
        <charset val="134"/>
      </rPr>
      <t>相对误差导致的不确定度</t>
    </r>
    <r>
      <rPr>
        <sz val="12"/>
        <rFont val="Times New Roman"/>
        <family val="1"/>
      </rPr>
      <t>u2</t>
    </r>
    <phoneticPr fontId="207" type="noConversion"/>
  </si>
  <si>
    <r>
      <rPr>
        <i/>
        <sz val="11"/>
        <color indexed="8"/>
        <rFont val="宋体"/>
        <family val="3"/>
        <charset val="134"/>
      </rPr>
      <t>U</t>
    </r>
    <r>
      <rPr>
        <vertAlign val="subscript"/>
        <sz val="11"/>
        <color indexed="8"/>
        <rFont val="宋体"/>
        <family val="3"/>
        <charset val="134"/>
      </rPr>
      <t>B</t>
    </r>
    <phoneticPr fontId="207" type="noConversion"/>
  </si>
  <si>
    <r>
      <rPr>
        <sz val="12"/>
        <rFont val="宋体"/>
        <family val="3"/>
        <charset val="134"/>
      </rPr>
      <t>（</t>
    </r>
    <r>
      <rPr>
        <sz val="12"/>
        <rFont val="Times New Roman"/>
        <family val="1"/>
      </rPr>
      <t>3</t>
    </r>
    <r>
      <rPr>
        <sz val="12"/>
        <rFont val="宋体"/>
        <family val="3"/>
        <charset val="134"/>
      </rPr>
      <t>）合成不确定度评定</t>
    </r>
    <phoneticPr fontId="2" type="noConversion"/>
  </si>
  <si>
    <r>
      <t>u</t>
    </r>
    <r>
      <rPr>
        <vertAlign val="subscript"/>
        <sz val="12"/>
        <rFont val="Times New Roman"/>
        <family val="1"/>
      </rPr>
      <t>c</t>
    </r>
    <r>
      <rPr>
        <sz val="12"/>
        <rFont val="Times New Roman"/>
        <family val="1"/>
      </rPr>
      <t>=</t>
    </r>
    <phoneticPr fontId="207" type="noConversion"/>
  </si>
  <si>
    <r>
      <rPr>
        <sz val="12"/>
        <rFont val="宋体"/>
        <family val="3"/>
        <charset val="134"/>
      </rPr>
      <t>（</t>
    </r>
    <r>
      <rPr>
        <sz val="12"/>
        <rFont val="Times New Roman"/>
        <family val="1"/>
      </rPr>
      <t>4</t>
    </r>
    <r>
      <rPr>
        <sz val="12"/>
        <rFont val="宋体"/>
        <family val="3"/>
        <charset val="134"/>
      </rPr>
      <t>）</t>
    </r>
    <r>
      <rPr>
        <sz val="12"/>
        <rFont val="Times New Roman"/>
        <family val="1"/>
      </rPr>
      <t xml:space="preserve"> </t>
    </r>
    <r>
      <rPr>
        <sz val="12"/>
        <rFont val="宋体"/>
        <family val="3"/>
        <charset val="134"/>
      </rPr>
      <t>扩展不确定度评定</t>
    </r>
    <phoneticPr fontId="2" type="noConversion"/>
  </si>
  <si>
    <r>
      <t>U</t>
    </r>
    <r>
      <rPr>
        <vertAlign val="subscript"/>
        <sz val="12"/>
        <rFont val="Times New Roman"/>
        <family val="1"/>
      </rPr>
      <t>rel</t>
    </r>
    <r>
      <rPr>
        <sz val="12"/>
        <rFont val="Times New Roman"/>
        <family val="1"/>
      </rPr>
      <t>=</t>
    </r>
    <r>
      <rPr>
        <i/>
        <sz val="12"/>
        <rFont val="Times New Roman"/>
        <family val="1"/>
      </rPr>
      <t/>
    </r>
    <phoneticPr fontId="2" type="noConversion"/>
  </si>
  <si>
    <r>
      <rPr>
        <sz val="12"/>
        <rFont val="宋体"/>
        <family val="3"/>
        <charset val="134"/>
      </rPr>
      <t>（</t>
    </r>
    <r>
      <rPr>
        <sz val="12"/>
        <rFont val="Times New Roman"/>
        <family val="1"/>
      </rPr>
      <t>5</t>
    </r>
    <r>
      <rPr>
        <sz val="12"/>
        <rFont val="宋体"/>
        <family val="3"/>
        <charset val="134"/>
      </rPr>
      <t>）</t>
    </r>
    <r>
      <rPr>
        <sz val="12"/>
        <rFont val="Times New Roman"/>
        <family val="1"/>
      </rPr>
      <t xml:space="preserve"> </t>
    </r>
    <r>
      <rPr>
        <sz val="12"/>
        <rFont val="宋体"/>
        <family val="3"/>
        <charset val="134"/>
      </rPr>
      <t>测量结果报告</t>
    </r>
    <phoneticPr fontId="2" type="noConversion"/>
  </si>
  <si>
    <t>扩展不确定度为：</t>
    <phoneticPr fontId="2" type="noConversion"/>
  </si>
  <si>
    <t>校准结果的不确定度
（k=2）</t>
    <phoneticPr fontId="2" type="noConversion"/>
  </si>
  <si>
    <t>数表实验室（三相）</t>
    <phoneticPr fontId="2" type="noConversion"/>
  </si>
  <si>
    <t>误差，
不确定度都做</t>
    <phoneticPr fontId="2" type="noConversion"/>
  </si>
  <si>
    <t>黄色代表不展示不打印（不要了）</t>
    <phoneticPr fontId="118" type="noConversion"/>
  </si>
  <si>
    <t>指示仪表实验室</t>
    <phoneticPr fontId="2" type="noConversion"/>
  </si>
  <si>
    <t>、；</t>
    <phoneticPr fontId="17" type="noConversion"/>
  </si>
  <si>
    <t xml:space="preserve">2、 </t>
    <phoneticPr fontId="2" type="noConversion"/>
  </si>
  <si>
    <t>量程</t>
    <phoneticPr fontId="2" type="noConversion"/>
  </si>
  <si>
    <t>显示值</t>
    <phoneticPr fontId="2" type="noConversion"/>
  </si>
  <si>
    <t>显示值</t>
    <phoneticPr fontId="2" type="noConversion"/>
  </si>
  <si>
    <t>标准值(V)</t>
    <phoneticPr fontId="2" type="noConversion"/>
  </si>
  <si>
    <t>标准值</t>
    <phoneticPr fontId="2" type="noConversion"/>
  </si>
  <si>
    <t>标准值</t>
    <phoneticPr fontId="2" type="noConversion"/>
  </si>
  <si>
    <t>引用误差</t>
    <phoneticPr fontId="2" type="noConversion"/>
  </si>
  <si>
    <r>
      <rPr>
        <i/>
        <sz val="12"/>
        <rFont val="宋体"/>
        <family val="3"/>
        <charset val="134"/>
      </rPr>
      <t>U</t>
    </r>
    <r>
      <rPr>
        <vertAlign val="subscript"/>
        <sz val="12"/>
        <rFont val="宋体"/>
        <family val="3"/>
        <charset val="134"/>
      </rPr>
      <t>rel</t>
    </r>
    <r>
      <rPr>
        <sz val="12"/>
        <rFont val="宋体"/>
        <family val="3"/>
        <charset val="134"/>
      </rPr>
      <t>（</t>
    </r>
    <r>
      <rPr>
        <i/>
        <sz val="12"/>
        <rFont val="宋体"/>
        <family val="3"/>
        <charset val="134"/>
      </rPr>
      <t>k</t>
    </r>
    <r>
      <rPr>
        <sz val="12"/>
        <rFont val="宋体"/>
        <family val="3"/>
        <charset val="134"/>
      </rPr>
      <t xml:space="preserve">=2)  </t>
    </r>
    <phoneticPr fontId="2" type="noConversion"/>
  </si>
  <si>
    <t>A相</t>
    <phoneticPr fontId="2" type="noConversion"/>
  </si>
  <si>
    <t>C相</t>
    <phoneticPr fontId="2" type="noConversion"/>
  </si>
  <si>
    <t>A</t>
    <phoneticPr fontId="2" type="noConversion"/>
  </si>
  <si>
    <t>C</t>
    <phoneticPr fontId="2" type="noConversion"/>
  </si>
  <si>
    <t>注：显示值与标准值的单位与量程单位一致。</t>
    <phoneticPr fontId="2" type="noConversion"/>
  </si>
  <si>
    <t xml:space="preserve">2、 </t>
    <phoneticPr fontId="2" type="noConversion"/>
  </si>
  <si>
    <t>量程</t>
    <phoneticPr fontId="2" type="noConversion"/>
  </si>
  <si>
    <t>显示值</t>
    <phoneticPr fontId="2" type="noConversion"/>
  </si>
  <si>
    <t>标准值</t>
    <phoneticPr fontId="2" type="noConversion"/>
  </si>
  <si>
    <t>引用误差</t>
    <phoneticPr fontId="2" type="noConversion"/>
  </si>
  <si>
    <r>
      <rPr>
        <i/>
        <sz val="12"/>
        <rFont val="宋体"/>
        <family val="3"/>
        <charset val="134"/>
      </rPr>
      <t>U</t>
    </r>
    <r>
      <rPr>
        <vertAlign val="subscript"/>
        <sz val="12"/>
        <rFont val="宋体"/>
        <family val="3"/>
        <charset val="134"/>
      </rPr>
      <t>rel</t>
    </r>
    <r>
      <rPr>
        <sz val="12"/>
        <rFont val="宋体"/>
        <family val="3"/>
        <charset val="134"/>
      </rPr>
      <t>（</t>
    </r>
    <r>
      <rPr>
        <i/>
        <sz val="12"/>
        <rFont val="宋体"/>
        <family val="3"/>
        <charset val="134"/>
      </rPr>
      <t>k</t>
    </r>
    <r>
      <rPr>
        <sz val="12"/>
        <rFont val="宋体"/>
        <family val="3"/>
        <charset val="134"/>
      </rPr>
      <t xml:space="preserve">=2)  </t>
    </r>
    <phoneticPr fontId="2" type="noConversion"/>
  </si>
  <si>
    <t>A相</t>
    <phoneticPr fontId="2" type="noConversion"/>
  </si>
  <si>
    <t>B相</t>
    <phoneticPr fontId="2" type="noConversion"/>
  </si>
  <si>
    <t>C相</t>
    <phoneticPr fontId="2" type="noConversion"/>
  </si>
  <si>
    <t>3、</t>
    <phoneticPr fontId="2" type="noConversion"/>
  </si>
  <si>
    <t>Urel（k=2)</t>
  </si>
  <si>
    <r>
      <t>相位输出（1</t>
    </r>
    <r>
      <rPr>
        <sz val="12"/>
        <rFont val="宋体"/>
        <family val="3"/>
        <charset val="134"/>
      </rPr>
      <t>00V/5A，</t>
    </r>
    <r>
      <rPr>
        <sz val="12"/>
        <rFont val="宋体"/>
        <family val="3"/>
        <charset val="134"/>
      </rPr>
      <t>50Hz）</t>
    </r>
    <phoneticPr fontId="141" type="noConversion"/>
  </si>
  <si>
    <r>
      <rPr>
        <i/>
        <sz val="12"/>
        <rFont val="宋体"/>
        <family val="3"/>
        <charset val="134"/>
      </rPr>
      <t>U</t>
    </r>
    <r>
      <rPr>
        <i/>
        <vertAlign val="subscript"/>
        <sz val="12"/>
        <rFont val="宋体"/>
        <family val="3"/>
        <charset val="134"/>
      </rPr>
      <t>3</t>
    </r>
    <r>
      <rPr>
        <sz val="12"/>
        <rFont val="宋体"/>
        <family val="3"/>
        <charset val="134"/>
      </rPr>
      <t>-</t>
    </r>
    <r>
      <rPr>
        <i/>
        <sz val="12"/>
        <rFont val="宋体"/>
        <family val="3"/>
        <charset val="134"/>
      </rPr>
      <t>I</t>
    </r>
    <r>
      <rPr>
        <i/>
        <vertAlign val="subscript"/>
        <sz val="12"/>
        <rFont val="宋体"/>
        <family val="3"/>
        <charset val="134"/>
      </rPr>
      <t>4</t>
    </r>
    <phoneticPr fontId="31" type="noConversion"/>
  </si>
  <si>
    <r>
      <t>U</t>
    </r>
    <r>
      <rPr>
        <i/>
        <vertAlign val="subscript"/>
        <sz val="12"/>
        <rFont val="宋体"/>
        <family val="3"/>
        <charset val="134"/>
      </rPr>
      <t>3</t>
    </r>
    <r>
      <rPr>
        <i/>
        <sz val="12"/>
        <rFont val="宋体"/>
        <family val="3"/>
        <charset val="134"/>
      </rPr>
      <t>-I</t>
    </r>
    <r>
      <rPr>
        <i/>
        <vertAlign val="subscript"/>
        <sz val="12"/>
        <rFont val="宋体"/>
        <family val="3"/>
        <charset val="134"/>
      </rPr>
      <t>4</t>
    </r>
    <phoneticPr fontId="31" type="noConversion"/>
  </si>
  <si>
    <r>
      <rPr>
        <i/>
        <sz val="12"/>
        <rFont val="宋体"/>
        <family val="3"/>
        <charset val="134"/>
      </rPr>
      <t>U</t>
    </r>
    <r>
      <rPr>
        <vertAlign val="subscript"/>
        <sz val="12"/>
        <rFont val="宋体"/>
        <family val="3"/>
        <charset val="134"/>
      </rPr>
      <t>3</t>
    </r>
    <r>
      <rPr>
        <sz val="12"/>
        <rFont val="宋体"/>
        <family val="3"/>
        <charset val="134"/>
      </rPr>
      <t>-</t>
    </r>
    <r>
      <rPr>
        <i/>
        <sz val="12"/>
        <rFont val="宋体"/>
        <family val="3"/>
        <charset val="134"/>
      </rPr>
      <t>I</t>
    </r>
    <r>
      <rPr>
        <vertAlign val="subscript"/>
        <sz val="12"/>
        <rFont val="宋体"/>
        <family val="3"/>
        <charset val="134"/>
      </rPr>
      <t>4</t>
    </r>
    <phoneticPr fontId="31" type="noConversion"/>
  </si>
  <si>
    <r>
      <rPr>
        <i/>
        <sz val="12"/>
        <rFont val="宋体"/>
        <family val="3"/>
        <charset val="134"/>
      </rPr>
      <t>U</t>
    </r>
    <r>
      <rPr>
        <i/>
        <vertAlign val="subscript"/>
        <sz val="12"/>
        <rFont val="宋体"/>
        <family val="3"/>
        <charset val="134"/>
      </rPr>
      <t>5</t>
    </r>
    <r>
      <rPr>
        <sz val="12"/>
        <rFont val="宋体"/>
        <family val="3"/>
        <charset val="134"/>
      </rPr>
      <t>-</t>
    </r>
    <r>
      <rPr>
        <i/>
        <sz val="12"/>
        <rFont val="宋体"/>
        <family val="3"/>
        <charset val="134"/>
      </rPr>
      <t>I</t>
    </r>
    <r>
      <rPr>
        <i/>
        <vertAlign val="subscript"/>
        <sz val="12"/>
        <rFont val="宋体"/>
        <family val="3"/>
        <charset val="134"/>
      </rPr>
      <t>6</t>
    </r>
    <phoneticPr fontId="31" type="noConversion"/>
  </si>
  <si>
    <r>
      <rPr>
        <i/>
        <sz val="12"/>
        <rFont val="宋体"/>
        <family val="3"/>
        <charset val="134"/>
      </rPr>
      <t>U</t>
    </r>
    <r>
      <rPr>
        <i/>
        <vertAlign val="subscript"/>
        <sz val="12"/>
        <rFont val="宋体"/>
        <family val="3"/>
        <charset val="134"/>
      </rPr>
      <t>5</t>
    </r>
    <r>
      <rPr>
        <sz val="12"/>
        <rFont val="宋体"/>
        <family val="3"/>
        <charset val="134"/>
      </rPr>
      <t>-</t>
    </r>
    <r>
      <rPr>
        <i/>
        <sz val="12"/>
        <rFont val="宋体"/>
        <family val="3"/>
        <charset val="134"/>
      </rPr>
      <t>I</t>
    </r>
    <r>
      <rPr>
        <i/>
        <vertAlign val="subscript"/>
        <sz val="12"/>
        <rFont val="宋体"/>
        <family val="3"/>
        <charset val="134"/>
      </rPr>
      <t>6</t>
    </r>
    <phoneticPr fontId="31" type="noConversion"/>
  </si>
  <si>
    <r>
      <t>相位输出（1</t>
    </r>
    <r>
      <rPr>
        <sz val="12"/>
        <rFont val="宋体"/>
        <family val="3"/>
        <charset val="134"/>
      </rPr>
      <t>00V/5A，</t>
    </r>
    <r>
      <rPr>
        <sz val="12"/>
        <rFont val="宋体"/>
        <family val="3"/>
        <charset val="134"/>
      </rPr>
      <t>50Hz）</t>
    </r>
    <phoneticPr fontId="141" type="noConversion"/>
  </si>
  <si>
    <t>相对误差或绝对误差</t>
    <phoneticPr fontId="25" type="noConversion"/>
  </si>
  <si>
    <t>JJG 603-2006 频率表检定规程</t>
    <phoneticPr fontId="2" type="noConversion"/>
  </si>
  <si>
    <t>JJG 410-1994 精密交流电压源检定规程</t>
    <phoneticPr fontId="2" type="noConversion"/>
  </si>
  <si>
    <t>JJG 315-1983 直流数字电压表检定规程（试行）</t>
    <phoneticPr fontId="141" type="noConversion"/>
  </si>
  <si>
    <t>JJG 315-1983 直流数字电压表试行检定规程</t>
    <phoneticPr fontId="2" type="noConversion"/>
  </si>
  <si>
    <t>JJG 598-1989 直流数字电流表试行检定规程</t>
    <phoneticPr fontId="2" type="noConversion"/>
  </si>
  <si>
    <t>校准证书（CNAS）</t>
    <phoneticPr fontId="2" type="noConversion"/>
  </si>
  <si>
    <t>JJG(航天)38-1987 直流标准电流源检定规程</t>
    <phoneticPr fontId="2" type="noConversion"/>
  </si>
  <si>
    <t>JJG(航天)51-1999 交流标准电流源检定规程</t>
    <phoneticPr fontId="2" type="noConversion"/>
  </si>
  <si>
    <t>JJG（航天）35-1999 交流数字电流表检定规程</t>
    <phoneticPr fontId="2" type="noConversion"/>
  </si>
  <si>
    <r>
      <t xml:space="preserve">校 </t>
    </r>
    <r>
      <rPr>
        <sz val="14"/>
        <rFont val="黑体"/>
        <family val="3"/>
        <charset val="134"/>
      </rPr>
      <t xml:space="preserve"> </t>
    </r>
    <r>
      <rPr>
        <sz val="14"/>
        <rFont val="黑体"/>
        <family val="3"/>
        <charset val="134"/>
      </rPr>
      <t>准  结  果</t>
    </r>
    <phoneticPr fontId="210" type="noConversion"/>
  </si>
  <si>
    <t>一、外观检查：合格</t>
  </si>
  <si>
    <t>二、显示能力：正常</t>
    <phoneticPr fontId="210" type="noConversion"/>
  </si>
  <si>
    <t>直流电压测量</t>
    <phoneticPr fontId="210" type="noConversion"/>
  </si>
  <si>
    <t>量程</t>
    <phoneticPr fontId="210" type="noConversion"/>
  </si>
  <si>
    <t>标准值</t>
    <phoneticPr fontId="210" type="noConversion"/>
  </si>
  <si>
    <t>显示值</t>
    <phoneticPr fontId="210" type="noConversion"/>
  </si>
  <si>
    <r>
      <t xml:space="preserve">测量结果不确定度
</t>
    </r>
    <r>
      <rPr>
        <i/>
        <sz val="11"/>
        <rFont val="宋体"/>
        <family val="3"/>
        <charset val="134"/>
      </rPr>
      <t>U</t>
    </r>
    <r>
      <rPr>
        <sz val="11"/>
        <rFont val="宋体"/>
        <family val="3"/>
        <charset val="134"/>
      </rPr>
      <t xml:space="preserve"> (</t>
    </r>
    <r>
      <rPr>
        <i/>
        <sz val="11"/>
        <rFont val="宋体"/>
        <family val="3"/>
        <charset val="134"/>
      </rPr>
      <t>k</t>
    </r>
    <r>
      <rPr>
        <sz val="11"/>
        <rFont val="宋体"/>
        <family val="3"/>
        <charset val="134"/>
      </rPr>
      <t xml:space="preserve">=2)   </t>
    </r>
    <phoneticPr fontId="210" type="noConversion"/>
  </si>
  <si>
    <t>指标</t>
    <phoneticPr fontId="210" type="noConversion"/>
  </si>
  <si>
    <t>分辨力</t>
    <phoneticPr fontId="210" type="noConversion"/>
  </si>
  <si>
    <t>+</t>
    <phoneticPr fontId="210" type="noConversion"/>
  </si>
  <si>
    <t>-</t>
    <phoneticPr fontId="210" type="noConversion"/>
  </si>
  <si>
    <t>三、直流电压测量</t>
  </si>
  <si>
    <t>绝对误差</t>
  </si>
  <si>
    <t>a</t>
  </si>
  <si>
    <t>b</t>
  </si>
  <si>
    <t>误差限</t>
  </si>
  <si>
    <t>(ppm of reading)</t>
  </si>
  <si>
    <t>(ppm of range)</t>
  </si>
  <si>
    <t>（绝对值）</t>
  </si>
  <si>
    <t>结论：直流电压绝对误差符合出厂技术指标。</t>
  </si>
  <si>
    <t>绝对误差</t>
    <phoneticPr fontId="25" type="noConversion"/>
  </si>
  <si>
    <t>相对误差</t>
    <phoneticPr fontId="25" type="noConversion"/>
  </si>
  <si>
    <r>
      <t xml:space="preserve">校准结果的不确定度
</t>
    </r>
    <r>
      <rPr>
        <i/>
        <sz val="11"/>
        <rFont val="宋体"/>
        <family val="3"/>
        <charset val="134"/>
      </rPr>
      <t>U</t>
    </r>
    <r>
      <rPr>
        <sz val="11"/>
        <rFont val="宋体"/>
        <family val="3"/>
        <charset val="134"/>
      </rPr>
      <t xml:space="preserve"> (</t>
    </r>
    <r>
      <rPr>
        <i/>
        <sz val="11"/>
        <rFont val="宋体"/>
        <family val="3"/>
        <charset val="134"/>
      </rPr>
      <t>k</t>
    </r>
    <r>
      <rPr>
        <sz val="11"/>
        <rFont val="宋体"/>
        <family val="3"/>
        <charset val="134"/>
      </rPr>
      <t xml:space="preserve">=3)   </t>
    </r>
    <phoneticPr fontId="141" type="noConversion"/>
  </si>
  <si>
    <t>原始记录编号：DC/数表原始-296-2015</t>
    <phoneticPr fontId="216" type="noConversion"/>
  </si>
  <si>
    <t>校  准  结  果</t>
    <phoneticPr fontId="216" type="noConversion"/>
  </si>
  <si>
    <r>
      <t>1</t>
    </r>
    <r>
      <rPr>
        <sz val="12"/>
        <rFont val="宋体"/>
        <family val="3"/>
        <charset val="134"/>
      </rPr>
      <t>.</t>
    </r>
    <r>
      <rPr>
        <sz val="12"/>
        <rFont val="宋体"/>
        <family val="3"/>
        <charset val="134"/>
      </rPr>
      <t>直流电压测量</t>
    </r>
    <phoneticPr fontId="216" type="noConversion"/>
  </si>
  <si>
    <t>量程</t>
    <phoneticPr fontId="216" type="noConversion"/>
  </si>
  <si>
    <t>输入标准值</t>
    <phoneticPr fontId="216" type="noConversion"/>
  </si>
  <si>
    <t>显示值CH1</t>
    <phoneticPr fontId="216" type="noConversion"/>
  </si>
  <si>
    <t>误差（%）</t>
    <phoneticPr fontId="216" type="noConversion"/>
  </si>
  <si>
    <r>
      <rPr>
        <i/>
        <sz val="12"/>
        <rFont val="宋体"/>
        <family val="3"/>
        <charset val="134"/>
      </rPr>
      <t>U</t>
    </r>
    <r>
      <rPr>
        <vertAlign val="subscript"/>
        <sz val="12"/>
        <rFont val="宋体"/>
        <family val="3"/>
        <charset val="134"/>
      </rPr>
      <t>rel</t>
    </r>
    <r>
      <rPr>
        <sz val="12"/>
        <rFont val="宋体"/>
        <family val="3"/>
        <charset val="134"/>
      </rPr>
      <t>（</t>
    </r>
    <r>
      <rPr>
        <i/>
        <sz val="12"/>
        <rFont val="宋体"/>
        <family val="3"/>
        <charset val="134"/>
      </rPr>
      <t>k</t>
    </r>
    <r>
      <rPr>
        <sz val="12"/>
        <rFont val="宋体"/>
        <family val="3"/>
        <charset val="134"/>
      </rPr>
      <t xml:space="preserve">=2)  </t>
    </r>
    <phoneticPr fontId="216" type="noConversion"/>
  </si>
  <si>
    <t>+</t>
    <phoneticPr fontId="216" type="noConversion"/>
  </si>
  <si>
    <t>-</t>
    <phoneticPr fontId="216" type="noConversion"/>
  </si>
  <si>
    <t>V</t>
    <phoneticPr fontId="216" type="noConversion"/>
  </si>
  <si>
    <t>量程</t>
    <phoneticPr fontId="216" type="noConversion"/>
  </si>
  <si>
    <t>显示值CH2</t>
    <phoneticPr fontId="216" type="noConversion"/>
  </si>
  <si>
    <t>V</t>
    <phoneticPr fontId="216" type="noConversion"/>
  </si>
  <si>
    <t>输入标准值</t>
    <phoneticPr fontId="216" type="noConversion"/>
  </si>
  <si>
    <t>显示值CH3</t>
    <phoneticPr fontId="216" type="noConversion"/>
  </si>
  <si>
    <r>
      <rPr>
        <i/>
        <sz val="12"/>
        <rFont val="宋体"/>
        <family val="3"/>
        <charset val="134"/>
      </rPr>
      <t>U</t>
    </r>
    <r>
      <rPr>
        <vertAlign val="subscript"/>
        <sz val="12"/>
        <rFont val="宋体"/>
        <family val="3"/>
        <charset val="134"/>
      </rPr>
      <t>rel</t>
    </r>
    <r>
      <rPr>
        <sz val="12"/>
        <rFont val="宋体"/>
        <family val="3"/>
        <charset val="134"/>
      </rPr>
      <t>（</t>
    </r>
    <r>
      <rPr>
        <i/>
        <sz val="12"/>
        <rFont val="宋体"/>
        <family val="3"/>
        <charset val="134"/>
      </rPr>
      <t>k</t>
    </r>
    <r>
      <rPr>
        <sz val="12"/>
        <rFont val="宋体"/>
        <family val="3"/>
        <charset val="134"/>
      </rPr>
      <t xml:space="preserve">=2)  </t>
    </r>
    <phoneticPr fontId="216" type="noConversion"/>
  </si>
  <si>
    <t>直流电压测量(续)</t>
    <phoneticPr fontId="216" type="noConversion"/>
  </si>
  <si>
    <t>显示值CH4</t>
    <phoneticPr fontId="216" type="noConversion"/>
  </si>
  <si>
    <t>误差（%）</t>
    <phoneticPr fontId="216" type="noConversion"/>
  </si>
  <si>
    <t>-</t>
    <phoneticPr fontId="216" type="noConversion"/>
  </si>
  <si>
    <t>显示值CH5</t>
    <phoneticPr fontId="216" type="noConversion"/>
  </si>
  <si>
    <t>+</t>
    <phoneticPr fontId="216" type="noConversion"/>
  </si>
  <si>
    <t>输入标准值</t>
    <phoneticPr fontId="216" type="noConversion"/>
  </si>
  <si>
    <t>显示值CH6</t>
    <phoneticPr fontId="216" type="noConversion"/>
  </si>
  <si>
    <t>直流电压测量(续)</t>
    <phoneticPr fontId="216" type="noConversion"/>
  </si>
  <si>
    <t>显示值CH7</t>
    <phoneticPr fontId="216" type="noConversion"/>
  </si>
  <si>
    <t>显示值CH8</t>
    <phoneticPr fontId="216" type="noConversion"/>
  </si>
  <si>
    <t>显示值CH9</t>
    <phoneticPr fontId="216" type="noConversion"/>
  </si>
  <si>
    <t>显示值CH10</t>
    <phoneticPr fontId="216" type="noConversion"/>
  </si>
  <si>
    <t>输入标准值</t>
    <phoneticPr fontId="216" type="noConversion"/>
  </si>
  <si>
    <t>显示值CH11</t>
    <phoneticPr fontId="216" type="noConversion"/>
  </si>
  <si>
    <t>误差（%）</t>
    <phoneticPr fontId="216" type="noConversion"/>
  </si>
  <si>
    <t>量程</t>
    <phoneticPr fontId="216" type="noConversion"/>
  </si>
  <si>
    <t>显示值CH12</t>
    <phoneticPr fontId="216" type="noConversion"/>
  </si>
  <si>
    <t>+</t>
    <phoneticPr fontId="216" type="noConversion"/>
  </si>
  <si>
    <t>V</t>
    <phoneticPr fontId="216" type="noConversion"/>
  </si>
  <si>
    <t>显示值CH13</t>
    <phoneticPr fontId="216" type="noConversion"/>
  </si>
  <si>
    <t>显示值CH14</t>
    <phoneticPr fontId="216" type="noConversion"/>
  </si>
  <si>
    <t>显示值CH15</t>
    <phoneticPr fontId="216" type="noConversion"/>
  </si>
  <si>
    <t>-</t>
    <phoneticPr fontId="216" type="noConversion"/>
  </si>
  <si>
    <t>直流电压测量(续)</t>
    <phoneticPr fontId="216" type="noConversion"/>
  </si>
  <si>
    <t>显示值CH16</t>
    <phoneticPr fontId="216" type="noConversion"/>
  </si>
  <si>
    <r>
      <t>测量不确定度： 直流电压测量扩展不确定度</t>
    </r>
    <r>
      <rPr>
        <i/>
        <sz val="12"/>
        <rFont val="宋体"/>
        <family val="3"/>
        <charset val="134"/>
      </rPr>
      <t>U</t>
    </r>
    <r>
      <rPr>
        <vertAlign val="subscript"/>
        <sz val="12"/>
        <rFont val="宋体"/>
        <family val="3"/>
        <charset val="134"/>
      </rPr>
      <t>Brel</t>
    </r>
    <r>
      <rPr>
        <sz val="12"/>
        <rFont val="华文中宋"/>
        <family val="3"/>
        <charset val="134"/>
      </rPr>
      <t>=</t>
    </r>
    <r>
      <rPr>
        <sz val="12"/>
        <rFont val="宋体"/>
        <family val="3"/>
        <charset val="134"/>
      </rPr>
      <t>0.</t>
    </r>
    <r>
      <rPr>
        <sz val="12"/>
        <rFont val="宋体"/>
        <family val="3"/>
        <charset val="134"/>
      </rPr>
      <t>0</t>
    </r>
    <r>
      <rPr>
        <sz val="12"/>
        <rFont val="宋体"/>
        <family val="3"/>
        <charset val="134"/>
      </rPr>
      <t>1</t>
    </r>
    <r>
      <rPr>
        <sz val="12"/>
        <rFont val="宋体"/>
        <family val="3"/>
        <charset val="134"/>
      </rPr>
      <t>% （</t>
    </r>
    <r>
      <rPr>
        <i/>
        <sz val="12"/>
        <rFont val="宋体"/>
        <family val="3"/>
        <charset val="134"/>
      </rPr>
      <t>k</t>
    </r>
    <r>
      <rPr>
        <sz val="12"/>
        <rFont val="宋体"/>
        <family val="3"/>
        <charset val="134"/>
      </rPr>
      <t>=2）</t>
    </r>
    <phoneticPr fontId="216" type="noConversion"/>
  </si>
  <si>
    <t>………………………………………………以下空白………………………………………………</t>
    <phoneticPr fontId="216" type="noConversion"/>
  </si>
  <si>
    <t>直流电流测量</t>
    <phoneticPr fontId="141" type="noConversion"/>
  </si>
  <si>
    <t>一列（正负极性）
JJG 315-1983-直流电压测量-一列（正负极性）
需注意目前的样表缺少误差列，误差列参考A列所链接的样表</t>
    <phoneticPr fontId="2" type="noConversion"/>
  </si>
  <si>
    <t>证书编号：DC/数表-002-2016</t>
    <phoneticPr fontId="216" type="noConversion"/>
  </si>
  <si>
    <t>校 准 结 果</t>
    <phoneticPr fontId="216" type="noConversion"/>
  </si>
  <si>
    <r>
      <t>1.</t>
    </r>
    <r>
      <rPr>
        <sz val="12"/>
        <rFont val="黑体"/>
        <family val="3"/>
        <charset val="134"/>
      </rPr>
      <t>直流电压测量</t>
    </r>
    <phoneticPr fontId="216" type="noConversion"/>
  </si>
  <si>
    <r>
      <rPr>
        <sz val="12"/>
        <rFont val="宋体"/>
        <family val="3"/>
        <charset val="134"/>
      </rPr>
      <t>量程</t>
    </r>
    <phoneticPr fontId="216" type="noConversion"/>
  </si>
  <si>
    <r>
      <rPr>
        <sz val="12"/>
        <rFont val="宋体"/>
        <family val="3"/>
        <charset val="134"/>
      </rPr>
      <t>显示值</t>
    </r>
    <r>
      <rPr>
        <sz val="12"/>
        <rFont val="Times New Roman"/>
        <family val="1"/>
      </rPr>
      <t>(V)</t>
    </r>
    <phoneticPr fontId="216" type="noConversion"/>
  </si>
  <si>
    <r>
      <rPr>
        <sz val="12"/>
        <rFont val="宋体"/>
        <family val="3"/>
        <charset val="134"/>
      </rPr>
      <t>标准值</t>
    </r>
    <r>
      <rPr>
        <sz val="12"/>
        <rFont val="Times New Roman"/>
        <family val="1"/>
      </rPr>
      <t>(V)</t>
    </r>
    <phoneticPr fontId="216" type="noConversion"/>
  </si>
  <si>
    <r>
      <rPr>
        <sz val="12"/>
        <rFont val="宋体"/>
        <family val="3"/>
        <charset val="134"/>
      </rPr>
      <t>相对误差</t>
    </r>
  </si>
  <si>
    <r>
      <rPr>
        <i/>
        <sz val="12"/>
        <rFont val="宋体"/>
        <family val="3"/>
        <charset val="134"/>
      </rPr>
      <t>U</t>
    </r>
    <r>
      <rPr>
        <vertAlign val="subscript"/>
        <sz val="12"/>
        <rFont val="宋体"/>
        <family val="3"/>
        <charset val="134"/>
      </rPr>
      <t>rel</t>
    </r>
    <r>
      <rPr>
        <sz val="12"/>
        <rFont val="宋体"/>
        <family val="3"/>
        <charset val="134"/>
      </rPr>
      <t>（</t>
    </r>
    <r>
      <rPr>
        <i/>
        <sz val="12"/>
        <rFont val="宋体"/>
        <family val="3"/>
        <charset val="134"/>
      </rPr>
      <t>k</t>
    </r>
    <r>
      <rPr>
        <sz val="12"/>
        <rFont val="宋体"/>
        <family val="3"/>
        <charset val="134"/>
      </rPr>
      <t xml:space="preserve">=2)  </t>
    </r>
    <phoneticPr fontId="216" type="noConversion"/>
  </si>
  <si>
    <t>红色字体为下拉菜单选项</t>
    <phoneticPr fontId="216" type="noConversion"/>
  </si>
  <si>
    <r>
      <t>U</t>
    </r>
    <r>
      <rPr>
        <i/>
        <vertAlign val="subscript"/>
        <sz val="12"/>
        <color indexed="10"/>
        <rFont val="Times New Roman"/>
        <family val="1"/>
      </rPr>
      <t>0</t>
    </r>
    <phoneticPr fontId="216" type="noConversion"/>
  </si>
  <si>
    <r>
      <t>U</t>
    </r>
    <r>
      <rPr>
        <vertAlign val="subscript"/>
        <sz val="12"/>
        <color indexed="10"/>
        <rFont val="Times New Roman"/>
        <family val="1"/>
      </rPr>
      <t>2</t>
    </r>
    <phoneticPr fontId="216" type="noConversion"/>
  </si>
  <si>
    <r>
      <t>U</t>
    </r>
    <r>
      <rPr>
        <vertAlign val="subscript"/>
        <sz val="12"/>
        <color indexed="10"/>
        <rFont val="Times New Roman"/>
        <family val="1"/>
      </rPr>
      <t>4</t>
    </r>
    <phoneticPr fontId="216" type="noConversion"/>
  </si>
  <si>
    <r>
      <t>U</t>
    </r>
    <r>
      <rPr>
        <vertAlign val="subscript"/>
        <sz val="12"/>
        <color indexed="10"/>
        <rFont val="Times New Roman"/>
        <family val="1"/>
      </rPr>
      <t>4</t>
    </r>
    <phoneticPr fontId="216" type="noConversion"/>
  </si>
  <si>
    <r>
      <t>U</t>
    </r>
    <r>
      <rPr>
        <i/>
        <vertAlign val="subscript"/>
        <sz val="12"/>
        <rFont val="Times New Roman"/>
        <family val="1"/>
      </rPr>
      <t>0</t>
    </r>
    <phoneticPr fontId="216" type="noConversion"/>
  </si>
  <si>
    <r>
      <t>U</t>
    </r>
    <r>
      <rPr>
        <vertAlign val="subscript"/>
        <sz val="12"/>
        <rFont val="Times New Roman"/>
        <family val="1"/>
      </rPr>
      <t>2</t>
    </r>
    <phoneticPr fontId="216" type="noConversion"/>
  </si>
  <si>
    <r>
      <t>U</t>
    </r>
    <r>
      <rPr>
        <vertAlign val="subscript"/>
        <sz val="12"/>
        <rFont val="Times New Roman"/>
        <family val="1"/>
      </rPr>
      <t>4</t>
    </r>
    <phoneticPr fontId="216" type="noConversion"/>
  </si>
  <si>
    <r>
      <rPr>
        <sz val="12"/>
        <rFont val="宋体"/>
        <family val="3"/>
        <charset val="134"/>
      </rPr>
      <t>量程</t>
    </r>
    <phoneticPr fontId="216" type="noConversion"/>
  </si>
  <si>
    <r>
      <rPr>
        <sz val="12"/>
        <rFont val="宋体"/>
        <family val="3"/>
        <charset val="134"/>
      </rPr>
      <t>标准值</t>
    </r>
    <r>
      <rPr>
        <sz val="12"/>
        <rFont val="Times New Roman"/>
        <family val="1"/>
      </rPr>
      <t>(V)</t>
    </r>
    <phoneticPr fontId="216" type="noConversion"/>
  </si>
  <si>
    <r>
      <t>U</t>
    </r>
    <r>
      <rPr>
        <vertAlign val="subscript"/>
        <sz val="12"/>
        <color indexed="10"/>
        <rFont val="Times New Roman"/>
        <family val="1"/>
      </rPr>
      <t>1</t>
    </r>
    <phoneticPr fontId="216" type="noConversion"/>
  </si>
  <si>
    <r>
      <t>U</t>
    </r>
    <r>
      <rPr>
        <sz val="6"/>
        <color indexed="10"/>
        <rFont val="Times New Roman"/>
        <family val="1"/>
      </rPr>
      <t>3</t>
    </r>
    <phoneticPr fontId="216" type="noConversion"/>
  </si>
  <si>
    <r>
      <t>U</t>
    </r>
    <r>
      <rPr>
        <sz val="6"/>
        <color indexed="10"/>
        <rFont val="Times New Roman"/>
        <family val="1"/>
      </rPr>
      <t>5</t>
    </r>
    <phoneticPr fontId="216" type="noConversion"/>
  </si>
  <si>
    <r>
      <t>U</t>
    </r>
    <r>
      <rPr>
        <sz val="6"/>
        <color indexed="10"/>
        <rFont val="Times New Roman"/>
        <family val="1"/>
      </rPr>
      <t>3</t>
    </r>
    <phoneticPr fontId="216" type="noConversion"/>
  </si>
  <si>
    <r>
      <t>U</t>
    </r>
    <r>
      <rPr>
        <sz val="6"/>
        <color indexed="10"/>
        <rFont val="Times New Roman"/>
        <family val="1"/>
      </rPr>
      <t>5</t>
    </r>
    <phoneticPr fontId="216" type="noConversion"/>
  </si>
  <si>
    <r>
      <t>U</t>
    </r>
    <r>
      <rPr>
        <vertAlign val="subscript"/>
        <sz val="12"/>
        <rFont val="Times New Roman"/>
        <family val="1"/>
      </rPr>
      <t>1</t>
    </r>
    <phoneticPr fontId="216" type="noConversion"/>
  </si>
  <si>
    <r>
      <t>U</t>
    </r>
    <r>
      <rPr>
        <sz val="6"/>
        <rFont val="Times New Roman"/>
        <family val="1"/>
      </rPr>
      <t>3</t>
    </r>
    <phoneticPr fontId="216" type="noConversion"/>
  </si>
  <si>
    <r>
      <t>U</t>
    </r>
    <r>
      <rPr>
        <sz val="6"/>
        <rFont val="Times New Roman"/>
        <family val="1"/>
      </rPr>
      <t>5</t>
    </r>
    <phoneticPr fontId="216" type="noConversion"/>
  </si>
  <si>
    <r>
      <t>U</t>
    </r>
    <r>
      <rPr>
        <vertAlign val="subscript"/>
        <sz val="12"/>
        <color indexed="10"/>
        <rFont val="Times New Roman"/>
        <family val="1"/>
      </rPr>
      <t>6</t>
    </r>
    <phoneticPr fontId="216" type="noConversion"/>
  </si>
  <si>
    <r>
      <t>U</t>
    </r>
    <r>
      <rPr>
        <sz val="6"/>
        <color indexed="10"/>
        <rFont val="Times New Roman"/>
        <family val="1"/>
      </rPr>
      <t>7</t>
    </r>
    <phoneticPr fontId="216" type="noConversion"/>
  </si>
  <si>
    <t>/</t>
    <phoneticPr fontId="216" type="noConversion"/>
  </si>
  <si>
    <r>
      <t>U</t>
    </r>
    <r>
      <rPr>
        <sz val="6"/>
        <color indexed="10"/>
        <rFont val="Times New Roman"/>
        <family val="1"/>
      </rPr>
      <t>7</t>
    </r>
    <phoneticPr fontId="216" type="noConversion"/>
  </si>
  <si>
    <t>/</t>
    <phoneticPr fontId="216" type="noConversion"/>
  </si>
  <si>
    <r>
      <t>U</t>
    </r>
    <r>
      <rPr>
        <vertAlign val="subscript"/>
        <sz val="12"/>
        <rFont val="Times New Roman"/>
        <family val="1"/>
      </rPr>
      <t>6</t>
    </r>
    <phoneticPr fontId="216" type="noConversion"/>
  </si>
  <si>
    <r>
      <t>U</t>
    </r>
    <r>
      <rPr>
        <sz val="6"/>
        <rFont val="Times New Roman"/>
        <family val="1"/>
      </rPr>
      <t>7</t>
    </r>
    <phoneticPr fontId="216" type="noConversion"/>
  </si>
  <si>
    <t>/</t>
    <phoneticPr fontId="216" type="noConversion"/>
  </si>
  <si>
    <t>Urel（k=2)</t>
    <phoneticPr fontId="216" type="noConversion"/>
  </si>
  <si>
    <t>/</t>
    <phoneticPr fontId="216" type="noConversion"/>
  </si>
  <si>
    <t>/</t>
    <phoneticPr fontId="216" type="noConversion"/>
  </si>
  <si>
    <r>
      <rPr>
        <sz val="12"/>
        <rFont val="宋体"/>
        <family val="3"/>
        <charset val="134"/>
      </rPr>
      <t>标准值</t>
    </r>
    <r>
      <rPr>
        <sz val="12"/>
        <rFont val="Times New Roman"/>
        <family val="1"/>
      </rPr>
      <t>(V)</t>
    </r>
    <phoneticPr fontId="216" type="noConversion"/>
  </si>
  <si>
    <r>
      <t>U</t>
    </r>
    <r>
      <rPr>
        <vertAlign val="subscript"/>
        <sz val="12"/>
        <rFont val="Times New Roman"/>
        <family val="1"/>
      </rPr>
      <t>1</t>
    </r>
    <phoneticPr fontId="216" type="noConversion"/>
  </si>
  <si>
    <r>
      <t>U</t>
    </r>
    <r>
      <rPr>
        <vertAlign val="subscript"/>
        <sz val="12"/>
        <rFont val="Times New Roman"/>
        <family val="1"/>
      </rPr>
      <t>3</t>
    </r>
    <phoneticPr fontId="216" type="noConversion"/>
  </si>
  <si>
    <r>
      <t>U</t>
    </r>
    <r>
      <rPr>
        <vertAlign val="subscript"/>
        <sz val="12"/>
        <rFont val="Times New Roman"/>
        <family val="1"/>
      </rPr>
      <t>5</t>
    </r>
    <phoneticPr fontId="216" type="noConversion"/>
  </si>
  <si>
    <r>
      <t>U</t>
    </r>
    <r>
      <rPr>
        <vertAlign val="subscript"/>
        <sz val="12"/>
        <rFont val="Times New Roman"/>
        <family val="1"/>
      </rPr>
      <t>1</t>
    </r>
    <phoneticPr fontId="216" type="noConversion"/>
  </si>
  <si>
    <r>
      <t>U</t>
    </r>
    <r>
      <rPr>
        <vertAlign val="subscript"/>
        <sz val="12"/>
        <rFont val="Times New Roman"/>
        <family val="1"/>
      </rPr>
      <t>5</t>
    </r>
    <phoneticPr fontId="216" type="noConversion"/>
  </si>
  <si>
    <t>10V</t>
    <phoneticPr fontId="216" type="noConversion"/>
  </si>
  <si>
    <r>
      <t>U</t>
    </r>
    <r>
      <rPr>
        <vertAlign val="subscript"/>
        <sz val="12"/>
        <rFont val="Times New Roman"/>
        <family val="1"/>
      </rPr>
      <t>7</t>
    </r>
    <phoneticPr fontId="216" type="noConversion"/>
  </si>
  <si>
    <r>
      <t>U</t>
    </r>
    <r>
      <rPr>
        <vertAlign val="subscript"/>
        <sz val="12"/>
        <rFont val="Times New Roman"/>
        <family val="1"/>
      </rPr>
      <t>9</t>
    </r>
    <phoneticPr fontId="216" type="noConversion"/>
  </si>
  <si>
    <r>
      <t>U</t>
    </r>
    <r>
      <rPr>
        <vertAlign val="subscript"/>
        <sz val="12"/>
        <rFont val="Times New Roman"/>
        <family val="1"/>
      </rPr>
      <t>11</t>
    </r>
    <phoneticPr fontId="216" type="noConversion"/>
  </si>
  <si>
    <r>
      <t>U</t>
    </r>
    <r>
      <rPr>
        <vertAlign val="subscript"/>
        <sz val="12"/>
        <rFont val="Times New Roman"/>
        <family val="1"/>
      </rPr>
      <t>7</t>
    </r>
    <phoneticPr fontId="216" type="noConversion"/>
  </si>
  <si>
    <r>
      <t>U</t>
    </r>
    <r>
      <rPr>
        <vertAlign val="subscript"/>
        <sz val="12"/>
        <rFont val="Times New Roman"/>
        <family val="1"/>
      </rPr>
      <t>9</t>
    </r>
    <phoneticPr fontId="216" type="noConversion"/>
  </si>
  <si>
    <r>
      <t>U</t>
    </r>
    <r>
      <rPr>
        <vertAlign val="subscript"/>
        <sz val="12"/>
        <rFont val="Times New Roman"/>
        <family val="1"/>
      </rPr>
      <t>11</t>
    </r>
    <phoneticPr fontId="216" type="noConversion"/>
  </si>
  <si>
    <r>
      <t>U</t>
    </r>
    <r>
      <rPr>
        <vertAlign val="subscript"/>
        <sz val="12"/>
        <rFont val="Times New Roman"/>
        <family val="1"/>
      </rPr>
      <t>11</t>
    </r>
    <phoneticPr fontId="216" type="noConversion"/>
  </si>
  <si>
    <r>
      <t>U</t>
    </r>
    <r>
      <rPr>
        <vertAlign val="subscript"/>
        <sz val="12"/>
        <rFont val="Times New Roman"/>
        <family val="1"/>
      </rPr>
      <t>12</t>
    </r>
    <phoneticPr fontId="216" type="noConversion"/>
  </si>
  <si>
    <r>
      <t>U</t>
    </r>
    <r>
      <rPr>
        <vertAlign val="subscript"/>
        <sz val="12"/>
        <rFont val="Times New Roman"/>
        <family val="1"/>
      </rPr>
      <t>13</t>
    </r>
    <phoneticPr fontId="216" type="noConversion"/>
  </si>
  <si>
    <r>
      <t>U</t>
    </r>
    <r>
      <rPr>
        <vertAlign val="subscript"/>
        <sz val="12"/>
        <rFont val="Times New Roman"/>
        <family val="1"/>
      </rPr>
      <t>12</t>
    </r>
    <phoneticPr fontId="216" type="noConversion"/>
  </si>
  <si>
    <r>
      <t>U</t>
    </r>
    <r>
      <rPr>
        <vertAlign val="subscript"/>
        <sz val="12"/>
        <rFont val="Times New Roman"/>
        <family val="1"/>
      </rPr>
      <t>13</t>
    </r>
    <phoneticPr fontId="216" type="noConversion"/>
  </si>
  <si>
    <r>
      <t>U</t>
    </r>
    <r>
      <rPr>
        <vertAlign val="subscript"/>
        <sz val="12"/>
        <rFont val="Times New Roman"/>
        <family val="1"/>
      </rPr>
      <t>15</t>
    </r>
    <phoneticPr fontId="216" type="noConversion"/>
  </si>
  <si>
    <r>
      <t>U</t>
    </r>
    <r>
      <rPr>
        <vertAlign val="subscript"/>
        <sz val="12"/>
        <rFont val="Times New Roman"/>
        <family val="1"/>
      </rPr>
      <t>15</t>
    </r>
    <phoneticPr fontId="216" type="noConversion"/>
  </si>
  <si>
    <r>
      <t>U</t>
    </r>
    <r>
      <rPr>
        <vertAlign val="subscript"/>
        <sz val="12"/>
        <rFont val="Times New Roman"/>
        <family val="1"/>
      </rPr>
      <t>15</t>
    </r>
    <phoneticPr fontId="216" type="noConversion"/>
  </si>
  <si>
    <r>
      <rPr>
        <sz val="10"/>
        <rFont val="宋体"/>
        <family val="3"/>
        <charset val="134"/>
      </rPr>
      <t>注：显示值、标准值的单位与量程单位一致。</t>
    </r>
    <phoneticPr fontId="216" type="noConversion"/>
  </si>
  <si>
    <t>结论：</t>
    <phoneticPr fontId="216" type="noConversion"/>
  </si>
  <si>
    <t>直流电压测量相对误差符合0.5级。</t>
    <phoneticPr fontId="216" type="noConversion"/>
  </si>
  <si>
    <r>
      <rPr>
        <sz val="12"/>
        <rFont val="宋体"/>
        <family val="3"/>
        <charset val="134"/>
      </rPr>
      <t>量程</t>
    </r>
    <phoneticPr fontId="216" type="noConversion"/>
  </si>
  <si>
    <r>
      <rPr>
        <sz val="12"/>
        <rFont val="宋体"/>
        <family val="3"/>
        <charset val="134"/>
      </rPr>
      <t>显示值</t>
    </r>
    <r>
      <rPr>
        <sz val="12"/>
        <rFont val="Times New Roman"/>
        <family val="1"/>
      </rPr>
      <t>(V)</t>
    </r>
    <phoneticPr fontId="216" type="noConversion"/>
  </si>
  <si>
    <t>交流电流测量（续）</t>
    <phoneticPr fontId="216" type="noConversion"/>
  </si>
  <si>
    <t>5A</t>
    <phoneticPr fontId="216" type="noConversion"/>
  </si>
  <si>
    <r>
      <rPr>
        <sz val="10"/>
        <rFont val="宋体"/>
        <family val="3"/>
        <charset val="134"/>
      </rPr>
      <t>注：显示值、标准值的单位与量程单位一致。显示值及标准值均为有效值。</t>
    </r>
    <phoneticPr fontId="216" type="noConversion"/>
  </si>
  <si>
    <t xml:space="preserve">3、 </t>
    <phoneticPr fontId="216" type="noConversion"/>
  </si>
  <si>
    <t>交流电流测量</t>
    <phoneticPr fontId="216" type="noConversion"/>
  </si>
  <si>
    <t>显示值(A)</t>
    <phoneticPr fontId="216" type="noConversion"/>
  </si>
  <si>
    <t>标准值(A)</t>
    <phoneticPr fontId="216" type="noConversion"/>
  </si>
  <si>
    <r>
      <t>I</t>
    </r>
    <r>
      <rPr>
        <vertAlign val="subscript"/>
        <sz val="11"/>
        <rFont val="宋体"/>
        <family val="3"/>
        <charset val="134"/>
      </rPr>
      <t>1</t>
    </r>
    <phoneticPr fontId="216" type="noConversion"/>
  </si>
  <si>
    <r>
      <t>I</t>
    </r>
    <r>
      <rPr>
        <vertAlign val="subscript"/>
        <sz val="11"/>
        <rFont val="宋体"/>
        <family val="3"/>
        <charset val="134"/>
      </rPr>
      <t>3</t>
    </r>
    <phoneticPr fontId="216" type="noConversion"/>
  </si>
  <si>
    <r>
      <t>I</t>
    </r>
    <r>
      <rPr>
        <vertAlign val="subscript"/>
        <sz val="11"/>
        <rFont val="宋体"/>
        <family val="3"/>
        <charset val="134"/>
      </rPr>
      <t>5</t>
    </r>
    <phoneticPr fontId="216" type="noConversion"/>
  </si>
  <si>
    <t>结论：</t>
    <phoneticPr fontId="216" type="noConversion"/>
  </si>
  <si>
    <t>相对误差符合1级。</t>
    <phoneticPr fontId="216" type="noConversion"/>
  </si>
  <si>
    <t>检  定  结  果</t>
    <phoneticPr fontId="216" type="noConversion"/>
  </si>
  <si>
    <t>标准值</t>
    <phoneticPr fontId="216" type="noConversion"/>
  </si>
  <si>
    <t>显示值</t>
    <phoneticPr fontId="216" type="noConversion"/>
  </si>
  <si>
    <t>绝对误差</t>
    <phoneticPr fontId="216" type="noConversion"/>
  </si>
  <si>
    <t>a</t>
    <phoneticPr fontId="216" type="noConversion"/>
  </si>
  <si>
    <t>b</t>
    <phoneticPr fontId="216" type="noConversion"/>
  </si>
  <si>
    <t>误差限</t>
    <phoneticPr fontId="216" type="noConversion"/>
  </si>
  <si>
    <t>+</t>
    <phoneticPr fontId="216" type="noConversion"/>
  </si>
  <si>
    <t>(ppm of reading)</t>
    <phoneticPr fontId="216" type="noConversion"/>
  </si>
  <si>
    <t>(ppm of range)</t>
    <phoneticPr fontId="216" type="noConversion"/>
  </si>
  <si>
    <t>（绝对值）</t>
    <phoneticPr fontId="216" type="noConversion"/>
  </si>
  <si>
    <t>四、直流电流测量</t>
    <phoneticPr fontId="216" type="noConversion"/>
  </si>
  <si>
    <t>结论：直流电流绝对误差符合出厂技术指标。</t>
    <phoneticPr fontId="216" type="noConversion"/>
  </si>
  <si>
    <t>一列（正负极性）
JJG 598-1989-直流电流测量-一列（正负极性）
表头与【JJG 315-1983-直流电压测量-一列（正负极性）】相同</t>
    <phoneticPr fontId="2" type="noConversion"/>
  </si>
  <si>
    <t>交流电压测量（50Hz）</t>
    <phoneticPr fontId="141" type="noConversion"/>
  </si>
  <si>
    <t>表格标题名称（检测项）</t>
    <phoneticPr fontId="2" type="noConversion"/>
  </si>
  <si>
    <t>单相
JJG(航天)34-1999 -交流电压测量-单相</t>
    <phoneticPr fontId="2" type="noConversion"/>
  </si>
  <si>
    <t>两相
JJG(航天)34-1999 -交流电压测量-两相</t>
    <phoneticPr fontId="2" type="noConversion"/>
  </si>
  <si>
    <t>三相
JJG(航天)34-1999 -交流电压测量-三相</t>
    <phoneticPr fontId="2" type="noConversion"/>
  </si>
  <si>
    <t>1、</t>
    <phoneticPr fontId="216" type="noConversion"/>
  </si>
  <si>
    <t>标准值</t>
    <phoneticPr fontId="216" type="noConversion"/>
  </si>
  <si>
    <t>校 准 结 果</t>
    <phoneticPr fontId="216" type="noConversion"/>
  </si>
  <si>
    <t>1、</t>
    <phoneticPr fontId="216" type="noConversion"/>
  </si>
  <si>
    <t>量程</t>
    <phoneticPr fontId="216" type="noConversion"/>
  </si>
  <si>
    <t>显示值</t>
    <phoneticPr fontId="216" type="noConversion"/>
  </si>
  <si>
    <t>标准值</t>
    <phoneticPr fontId="216" type="noConversion"/>
  </si>
  <si>
    <t>引用误差</t>
    <phoneticPr fontId="216" type="noConversion"/>
  </si>
  <si>
    <r>
      <rPr>
        <i/>
        <sz val="12"/>
        <rFont val="宋体"/>
        <family val="3"/>
        <charset val="134"/>
      </rPr>
      <t>U</t>
    </r>
    <r>
      <rPr>
        <vertAlign val="subscript"/>
        <sz val="12"/>
        <rFont val="宋体"/>
        <family val="3"/>
        <charset val="134"/>
      </rPr>
      <t>rel</t>
    </r>
    <r>
      <rPr>
        <sz val="12"/>
        <rFont val="宋体"/>
        <family val="3"/>
        <charset val="134"/>
      </rPr>
      <t>（</t>
    </r>
    <r>
      <rPr>
        <i/>
        <sz val="12"/>
        <rFont val="宋体"/>
        <family val="3"/>
        <charset val="134"/>
      </rPr>
      <t>k</t>
    </r>
    <r>
      <rPr>
        <sz val="12"/>
        <rFont val="宋体"/>
        <family val="3"/>
        <charset val="134"/>
      </rPr>
      <t xml:space="preserve">=2)  </t>
    </r>
    <phoneticPr fontId="216" type="noConversion"/>
  </si>
  <si>
    <t>A相</t>
    <phoneticPr fontId="216" type="noConversion"/>
  </si>
  <si>
    <t>B相</t>
    <phoneticPr fontId="216" type="noConversion"/>
  </si>
  <si>
    <t>C相</t>
    <phoneticPr fontId="216" type="noConversion"/>
  </si>
  <si>
    <t>A相</t>
    <phoneticPr fontId="216" type="noConversion"/>
  </si>
  <si>
    <t>B相</t>
    <phoneticPr fontId="216" type="noConversion"/>
  </si>
  <si>
    <t>注：显示值、标准值的单位与量程单位一致。</t>
    <phoneticPr fontId="216" type="noConversion"/>
  </si>
  <si>
    <t>结论：</t>
    <phoneticPr fontId="216" type="noConversion"/>
  </si>
  <si>
    <r>
      <t>引用误差符合0.</t>
    </r>
    <r>
      <rPr>
        <sz val="12"/>
        <rFont val="宋体"/>
        <family val="3"/>
        <charset val="134"/>
      </rPr>
      <t>05</t>
    </r>
    <r>
      <rPr>
        <sz val="12"/>
        <rFont val="宋体"/>
        <family val="3"/>
        <charset val="134"/>
      </rPr>
      <t>级。</t>
    </r>
    <phoneticPr fontId="216" type="noConversion"/>
  </si>
  <si>
    <t>改行校准没有，检定有</t>
    <phoneticPr fontId="216" type="noConversion"/>
  </si>
  <si>
    <r>
      <t xml:space="preserve">校 </t>
    </r>
    <r>
      <rPr>
        <sz val="14"/>
        <rFont val="黑体"/>
        <family val="3"/>
        <charset val="134"/>
      </rPr>
      <t xml:space="preserve"> </t>
    </r>
    <r>
      <rPr>
        <sz val="14"/>
        <rFont val="黑体"/>
        <family val="3"/>
        <charset val="134"/>
      </rPr>
      <t>准  结  果</t>
    </r>
    <phoneticPr fontId="216" type="noConversion"/>
  </si>
  <si>
    <t>交流电压测量</t>
    <phoneticPr fontId="216" type="noConversion"/>
  </si>
  <si>
    <t>频率（Hz）</t>
    <phoneticPr fontId="216" type="noConversion"/>
  </si>
  <si>
    <t>显示值</t>
    <phoneticPr fontId="216" type="noConversion"/>
  </si>
  <si>
    <r>
      <t xml:space="preserve">测量结果不确定度
</t>
    </r>
    <r>
      <rPr>
        <i/>
        <sz val="11"/>
        <rFont val="宋体"/>
        <family val="3"/>
        <charset val="134"/>
      </rPr>
      <t>U</t>
    </r>
    <r>
      <rPr>
        <sz val="11"/>
        <rFont val="宋体"/>
        <family val="3"/>
        <charset val="134"/>
      </rPr>
      <t xml:space="preserve"> (</t>
    </r>
    <r>
      <rPr>
        <i/>
        <sz val="11"/>
        <rFont val="宋体"/>
        <family val="3"/>
        <charset val="134"/>
      </rPr>
      <t>k</t>
    </r>
    <r>
      <rPr>
        <sz val="11"/>
        <rFont val="宋体"/>
        <family val="3"/>
        <charset val="134"/>
      </rPr>
      <t xml:space="preserve">=2)   </t>
    </r>
    <phoneticPr fontId="216" type="noConversion"/>
  </si>
  <si>
    <t>指标</t>
    <phoneticPr fontId="216" type="noConversion"/>
  </si>
  <si>
    <t>分辨力</t>
    <phoneticPr fontId="216" type="noConversion"/>
  </si>
  <si>
    <r>
      <t>1</t>
    </r>
    <r>
      <rPr>
        <sz val="12"/>
        <rFont val="宋体"/>
        <family val="3"/>
        <charset val="134"/>
      </rPr>
      <t>k</t>
    </r>
    <phoneticPr fontId="216" type="noConversion"/>
  </si>
  <si>
    <t>外观及线路检查：合格</t>
    <phoneticPr fontId="216" type="noConversion"/>
  </si>
  <si>
    <t>2、</t>
    <phoneticPr fontId="216" type="noConversion"/>
  </si>
  <si>
    <r>
      <t>U</t>
    </r>
    <r>
      <rPr>
        <vertAlign val="subscript"/>
        <sz val="12"/>
        <rFont val="宋体"/>
        <family val="3"/>
        <charset val="134"/>
      </rPr>
      <t>1</t>
    </r>
    <phoneticPr fontId="216" type="noConversion"/>
  </si>
  <si>
    <r>
      <t>U</t>
    </r>
    <r>
      <rPr>
        <vertAlign val="subscript"/>
        <sz val="12"/>
        <rFont val="宋体"/>
        <family val="3"/>
        <charset val="134"/>
      </rPr>
      <t>2</t>
    </r>
    <r>
      <rPr>
        <sz val="12"/>
        <rFont val="宋体"/>
        <family val="3"/>
        <charset val="134"/>
      </rPr>
      <t/>
    </r>
    <phoneticPr fontId="216" type="noConversion"/>
  </si>
  <si>
    <r>
      <t>U</t>
    </r>
    <r>
      <rPr>
        <vertAlign val="subscript"/>
        <sz val="12"/>
        <rFont val="宋体"/>
        <family val="3"/>
        <charset val="134"/>
      </rPr>
      <t>1</t>
    </r>
    <phoneticPr fontId="216" type="noConversion"/>
  </si>
  <si>
    <r>
      <t>U</t>
    </r>
    <r>
      <rPr>
        <vertAlign val="subscript"/>
        <sz val="12"/>
        <rFont val="宋体"/>
        <family val="3"/>
        <charset val="134"/>
      </rPr>
      <t>2</t>
    </r>
    <r>
      <rPr>
        <sz val="12"/>
        <rFont val="宋体"/>
        <family val="3"/>
        <charset val="134"/>
      </rPr>
      <t/>
    </r>
    <phoneticPr fontId="216" type="noConversion"/>
  </si>
  <si>
    <r>
      <rPr>
        <sz val="12"/>
        <rFont val="宋体"/>
        <family val="3"/>
        <charset val="134"/>
      </rPr>
      <t>显示值</t>
    </r>
    <r>
      <rPr>
        <sz val="12"/>
        <rFont val="Times New Roman"/>
        <family val="1"/>
      </rPr>
      <t>(V)</t>
    </r>
    <phoneticPr fontId="216" type="noConversion"/>
  </si>
  <si>
    <r>
      <rPr>
        <sz val="12"/>
        <rFont val="宋体"/>
        <family val="3"/>
        <charset val="134"/>
      </rPr>
      <t>标准值</t>
    </r>
    <r>
      <rPr>
        <sz val="12"/>
        <rFont val="Times New Roman"/>
        <family val="1"/>
      </rPr>
      <t>(V)</t>
    </r>
    <phoneticPr fontId="216" type="noConversion"/>
  </si>
  <si>
    <r>
      <rPr>
        <i/>
        <sz val="12"/>
        <rFont val="宋体"/>
        <family val="3"/>
        <charset val="134"/>
      </rPr>
      <t>U</t>
    </r>
    <r>
      <rPr>
        <vertAlign val="subscript"/>
        <sz val="12"/>
        <rFont val="宋体"/>
        <family val="3"/>
        <charset val="134"/>
      </rPr>
      <t>rel</t>
    </r>
    <r>
      <rPr>
        <sz val="12"/>
        <rFont val="宋体"/>
        <family val="3"/>
        <charset val="134"/>
      </rPr>
      <t>（</t>
    </r>
    <r>
      <rPr>
        <i/>
        <sz val="12"/>
        <rFont val="宋体"/>
        <family val="3"/>
        <charset val="134"/>
      </rPr>
      <t>k</t>
    </r>
    <r>
      <rPr>
        <sz val="12"/>
        <rFont val="宋体"/>
        <family val="3"/>
        <charset val="134"/>
      </rPr>
      <t xml:space="preserve">=2)  </t>
    </r>
    <phoneticPr fontId="216" type="noConversion"/>
  </si>
  <si>
    <r>
      <t>U</t>
    </r>
    <r>
      <rPr>
        <vertAlign val="subscript"/>
        <sz val="12"/>
        <color indexed="10"/>
        <rFont val="Times New Roman"/>
        <family val="1"/>
      </rPr>
      <t>1</t>
    </r>
    <phoneticPr fontId="216" type="noConversion"/>
  </si>
  <si>
    <r>
      <t>U</t>
    </r>
    <r>
      <rPr>
        <vertAlign val="subscript"/>
        <sz val="12"/>
        <color indexed="10"/>
        <rFont val="Times New Roman"/>
        <family val="1"/>
      </rPr>
      <t>3</t>
    </r>
    <phoneticPr fontId="216" type="noConversion"/>
  </si>
  <si>
    <r>
      <t>U</t>
    </r>
    <r>
      <rPr>
        <vertAlign val="subscript"/>
        <sz val="12"/>
        <color indexed="10"/>
        <rFont val="Times New Roman"/>
        <family val="1"/>
      </rPr>
      <t>5</t>
    </r>
    <phoneticPr fontId="216" type="noConversion"/>
  </si>
  <si>
    <r>
      <t>U</t>
    </r>
    <r>
      <rPr>
        <vertAlign val="subscript"/>
        <sz val="12"/>
        <color indexed="10"/>
        <rFont val="Times New Roman"/>
        <family val="1"/>
      </rPr>
      <t>5</t>
    </r>
    <phoneticPr fontId="216" type="noConversion"/>
  </si>
  <si>
    <r>
      <t>U</t>
    </r>
    <r>
      <rPr>
        <vertAlign val="subscript"/>
        <sz val="12"/>
        <rFont val="Times New Roman"/>
        <family val="1"/>
      </rPr>
      <t>3</t>
    </r>
    <phoneticPr fontId="216" type="noConversion"/>
  </si>
  <si>
    <r>
      <t>U</t>
    </r>
    <r>
      <rPr>
        <vertAlign val="subscript"/>
        <sz val="12"/>
        <rFont val="Times New Roman"/>
        <family val="1"/>
      </rPr>
      <t>5</t>
    </r>
    <phoneticPr fontId="216" type="noConversion"/>
  </si>
  <si>
    <r>
      <t>2、</t>
    </r>
    <r>
      <rPr>
        <sz val="12"/>
        <rFont val="黑体"/>
        <family val="3"/>
        <charset val="134"/>
      </rPr>
      <t>交流电压测量</t>
    </r>
    <phoneticPr fontId="216" type="noConversion"/>
  </si>
  <si>
    <t>交流电流测量</t>
    <phoneticPr fontId="25" type="noConversion"/>
  </si>
  <si>
    <t>交流电流测量
交流电流测量（xxHz）</t>
    <phoneticPr fontId="2" type="noConversion"/>
  </si>
  <si>
    <t>三相
JJG(航天)35-1999-交流电流测量-三相</t>
    <phoneticPr fontId="2" type="noConversion"/>
  </si>
  <si>
    <t>五、交流电压测量</t>
  </si>
  <si>
    <t>显示值(60Hz)</t>
  </si>
  <si>
    <t>结论：交流电压绝对误差符合出厂技术指标。</t>
  </si>
  <si>
    <t>单相
JJG(航天)35-1999-交流电流测量-单相</t>
    <phoneticPr fontId="2" type="noConversion"/>
  </si>
  <si>
    <t>交流电流测量</t>
    <phoneticPr fontId="216" type="noConversion"/>
  </si>
  <si>
    <t>量程</t>
    <phoneticPr fontId="216" type="noConversion"/>
  </si>
  <si>
    <t>频率（Hz）</t>
    <phoneticPr fontId="216" type="noConversion"/>
  </si>
  <si>
    <r>
      <t xml:space="preserve">测量结果不确定度
</t>
    </r>
    <r>
      <rPr>
        <i/>
        <sz val="11"/>
        <rFont val="宋体"/>
        <family val="3"/>
        <charset val="134"/>
      </rPr>
      <t>U</t>
    </r>
    <r>
      <rPr>
        <sz val="11"/>
        <rFont val="宋体"/>
        <family val="3"/>
        <charset val="134"/>
      </rPr>
      <t xml:space="preserve"> (</t>
    </r>
    <r>
      <rPr>
        <i/>
        <sz val="11"/>
        <rFont val="宋体"/>
        <family val="3"/>
        <charset val="134"/>
      </rPr>
      <t>k</t>
    </r>
    <r>
      <rPr>
        <sz val="11"/>
        <rFont val="宋体"/>
        <family val="3"/>
        <charset val="134"/>
      </rPr>
      <t xml:space="preserve">=2)   </t>
    </r>
    <phoneticPr fontId="216" type="noConversion"/>
  </si>
  <si>
    <t>指标</t>
    <phoneticPr fontId="216" type="noConversion"/>
  </si>
  <si>
    <t>六、交流电流测量</t>
  </si>
  <si>
    <t>结论：交流电流绝对误差符合出厂技术指标。</t>
  </si>
  <si>
    <r>
      <t>I</t>
    </r>
    <r>
      <rPr>
        <vertAlign val="subscript"/>
        <sz val="12"/>
        <rFont val="宋体"/>
        <family val="3"/>
        <charset val="134"/>
      </rPr>
      <t>2</t>
    </r>
    <r>
      <rPr>
        <sz val="12"/>
        <rFont val="宋体"/>
        <family val="3"/>
        <charset val="134"/>
      </rPr>
      <t/>
    </r>
    <phoneticPr fontId="216" type="noConversion"/>
  </si>
  <si>
    <r>
      <t>I</t>
    </r>
    <r>
      <rPr>
        <vertAlign val="subscript"/>
        <sz val="12"/>
        <rFont val="宋体"/>
        <family val="3"/>
        <charset val="134"/>
      </rPr>
      <t>1</t>
    </r>
    <phoneticPr fontId="216" type="noConversion"/>
  </si>
  <si>
    <t xml:space="preserve">2、 </t>
    <phoneticPr fontId="216" type="noConversion"/>
  </si>
  <si>
    <t>引用误差</t>
    <phoneticPr fontId="216" type="noConversion"/>
  </si>
  <si>
    <r>
      <t>I</t>
    </r>
    <r>
      <rPr>
        <vertAlign val="subscript"/>
        <sz val="12"/>
        <rFont val="宋体"/>
        <family val="3"/>
        <charset val="134"/>
      </rPr>
      <t>2</t>
    </r>
    <r>
      <rPr>
        <sz val="12"/>
        <rFont val="宋体"/>
        <family val="3"/>
        <charset val="134"/>
      </rPr>
      <t/>
    </r>
    <phoneticPr fontId="216" type="noConversion"/>
  </si>
  <si>
    <r>
      <t>I</t>
    </r>
    <r>
      <rPr>
        <vertAlign val="subscript"/>
        <sz val="12"/>
        <rFont val="宋体"/>
        <family val="3"/>
        <charset val="134"/>
      </rPr>
      <t>1</t>
    </r>
    <phoneticPr fontId="216" type="noConversion"/>
  </si>
  <si>
    <t>结论：</t>
    <phoneticPr fontId="216" type="noConversion"/>
  </si>
  <si>
    <r>
      <t>引用误差符合</t>
    </r>
    <r>
      <rPr>
        <sz val="12"/>
        <rFont val="宋体"/>
        <family val="3"/>
        <charset val="134"/>
      </rPr>
      <t>2.0</t>
    </r>
    <r>
      <rPr>
        <sz val="12"/>
        <rFont val="宋体"/>
        <family val="3"/>
        <charset val="134"/>
      </rPr>
      <t>级。</t>
    </r>
    <phoneticPr fontId="216" type="noConversion"/>
  </si>
  <si>
    <t>校准没有，检定有</t>
    <phoneticPr fontId="216" type="noConversion"/>
  </si>
  <si>
    <t xml:space="preserve">2、 </t>
    <phoneticPr fontId="216" type="noConversion"/>
  </si>
  <si>
    <t>量程</t>
    <phoneticPr fontId="216" type="noConversion"/>
  </si>
  <si>
    <r>
      <t>I</t>
    </r>
    <r>
      <rPr>
        <vertAlign val="subscript"/>
        <sz val="12"/>
        <rFont val="宋体"/>
        <family val="3"/>
        <charset val="134"/>
      </rPr>
      <t>2</t>
    </r>
    <r>
      <rPr>
        <sz val="12"/>
        <rFont val="宋体"/>
        <family val="3"/>
        <charset val="134"/>
      </rPr>
      <t/>
    </r>
    <phoneticPr fontId="216" type="noConversion"/>
  </si>
  <si>
    <r>
      <t>引用误差符合</t>
    </r>
    <r>
      <rPr>
        <sz val="12"/>
        <rFont val="宋体"/>
        <family val="3"/>
        <charset val="134"/>
      </rPr>
      <t>2.0</t>
    </r>
    <r>
      <rPr>
        <sz val="12"/>
        <rFont val="宋体"/>
        <family val="3"/>
        <charset val="134"/>
      </rPr>
      <t>级。</t>
    </r>
    <phoneticPr fontId="216" type="noConversion"/>
  </si>
  <si>
    <t xml:space="preserve">2、 </t>
    <phoneticPr fontId="216" type="noConversion"/>
  </si>
  <si>
    <t>量程</t>
    <phoneticPr fontId="216" type="noConversion"/>
  </si>
  <si>
    <t>标准值</t>
    <phoneticPr fontId="216" type="noConversion"/>
  </si>
  <si>
    <t>A相</t>
    <phoneticPr fontId="216" type="noConversion"/>
  </si>
  <si>
    <t>C相</t>
    <phoneticPr fontId="216" type="noConversion"/>
  </si>
  <si>
    <t>C相</t>
    <phoneticPr fontId="216" type="noConversion"/>
  </si>
  <si>
    <t>两相
JJG(航天)35-1999-交流电流测量-两相</t>
    <phoneticPr fontId="2" type="noConversion"/>
  </si>
  <si>
    <t>直流电流输出</t>
    <phoneticPr fontId="2" type="noConversion"/>
  </si>
  <si>
    <t>校  准  结  果</t>
    <phoneticPr fontId="216" type="noConversion"/>
  </si>
  <si>
    <t>输出示值</t>
    <phoneticPr fontId="216" type="noConversion"/>
  </si>
  <si>
    <t>输出实际值</t>
    <phoneticPr fontId="216" type="noConversion"/>
  </si>
  <si>
    <t>分辨力</t>
    <phoneticPr fontId="216" type="noConversion"/>
  </si>
  <si>
    <t>µA</t>
    <phoneticPr fontId="216" type="noConversion"/>
  </si>
  <si>
    <t>mA</t>
    <phoneticPr fontId="216" type="noConversion"/>
  </si>
  <si>
    <t>mV</t>
    <phoneticPr fontId="216" type="noConversion"/>
  </si>
  <si>
    <t>直流电流输出</t>
    <phoneticPr fontId="216" type="noConversion"/>
  </si>
  <si>
    <t>选用电阻阻值   （Ω）</t>
    <phoneticPr fontId="216" type="noConversion"/>
  </si>
  <si>
    <t>读数值</t>
    <phoneticPr fontId="216" type="noConversion"/>
  </si>
  <si>
    <t>数字表指标</t>
    <phoneticPr fontId="216" type="noConversion"/>
  </si>
  <si>
    <t>标准电阻指标</t>
    <phoneticPr fontId="216" type="noConversion"/>
  </si>
  <si>
    <t>mA</t>
    <phoneticPr fontId="216" type="noConversion"/>
  </si>
  <si>
    <t xml:space="preserve"> </t>
    <phoneticPr fontId="216" type="noConversion"/>
  </si>
  <si>
    <t>A</t>
    <phoneticPr fontId="216" type="noConversion"/>
  </si>
  <si>
    <t>交流电流输出</t>
    <phoneticPr fontId="25" type="noConversion"/>
  </si>
  <si>
    <t>相对误差或绝对误差</t>
    <phoneticPr fontId="141" type="noConversion"/>
  </si>
  <si>
    <t>多通道（正负极性）
JJG 315-1983-直流电压测量-一列多通道（正负极性）</t>
    <phoneticPr fontId="2" type="noConversion"/>
  </si>
  <si>
    <t>校准证书</t>
    <phoneticPr fontId="2" type="noConversion"/>
  </si>
  <si>
    <t>两列
无</t>
    <phoneticPr fontId="2" type="noConversion"/>
  </si>
  <si>
    <t>三列
无</t>
    <phoneticPr fontId="2" type="noConversion"/>
  </si>
  <si>
    <t>多通道(非正负极）
JJG 315-1983-直流电压测量-三列多通道
本质是一列（非正负极）多通道的根据情况排版，排为两列、三列，如2，4个通道排两列，3，5，6其他通道数的排为三列
当同一量程多于三列时，折返到下一组的可以显示整个表头</t>
    <phoneticPr fontId="2" type="noConversion"/>
  </si>
  <si>
    <t>JJG 598-1989 直流数字电流表检定规程（试行）</t>
    <phoneticPr fontId="141" type="noConversion"/>
  </si>
  <si>
    <t>一列（非正负极）
JJG 598-1989-直流电流测量-一列（非正负极）</t>
    <phoneticPr fontId="2" type="noConversion"/>
  </si>
  <si>
    <t>9、</t>
    <phoneticPr fontId="224" type="noConversion"/>
  </si>
  <si>
    <t xml:space="preserve">直流电流测量 </t>
    <phoneticPr fontId="224" type="noConversion"/>
  </si>
  <si>
    <t>量程</t>
    <phoneticPr fontId="224" type="noConversion"/>
  </si>
  <si>
    <t>标准值</t>
    <phoneticPr fontId="224" type="noConversion"/>
  </si>
  <si>
    <t>显示值</t>
    <phoneticPr fontId="224" type="noConversion"/>
  </si>
  <si>
    <t>引用误差</t>
    <phoneticPr fontId="224" type="noConversion"/>
  </si>
  <si>
    <t>注：显示值、标准值的单位与量程单位一致。</t>
    <phoneticPr fontId="224" type="noConversion"/>
  </si>
  <si>
    <t>结论：</t>
    <phoneticPr fontId="224" type="noConversion"/>
  </si>
  <si>
    <r>
      <t>引用误差符合0.02</t>
    </r>
    <r>
      <rPr>
        <sz val="12"/>
        <rFont val="宋体"/>
        <family val="3"/>
        <charset val="134"/>
      </rPr>
      <t>级。</t>
    </r>
    <phoneticPr fontId="224" type="noConversion"/>
  </si>
  <si>
    <t>默认模板都带，填写打印，不填写没有</t>
    <phoneticPr fontId="224" type="noConversion"/>
  </si>
  <si>
    <t>一列（非正负极）
JJG 315-1983-直流电压测量-一列（非正负极）</t>
    <phoneticPr fontId="2" type="noConversion"/>
  </si>
  <si>
    <t>8、</t>
    <phoneticPr fontId="224" type="noConversion"/>
  </si>
  <si>
    <t xml:space="preserve">直流电压测量 </t>
    <phoneticPr fontId="224" type="noConversion"/>
  </si>
  <si>
    <t>量程</t>
    <phoneticPr fontId="224" type="noConversion"/>
  </si>
  <si>
    <t>标准值</t>
    <phoneticPr fontId="224" type="noConversion"/>
  </si>
  <si>
    <t>引用误差</t>
    <phoneticPr fontId="224" type="noConversion"/>
  </si>
  <si>
    <t>注：显示值、标准值的单位与量程单位一致。</t>
    <phoneticPr fontId="224" type="noConversion"/>
  </si>
  <si>
    <r>
      <t>引用误差符合0.02</t>
    </r>
    <r>
      <rPr>
        <sz val="12"/>
        <rFont val="宋体"/>
        <family val="3"/>
        <charset val="134"/>
      </rPr>
      <t>级。</t>
    </r>
    <phoneticPr fontId="224" type="noConversion"/>
  </si>
  <si>
    <t>表头考虑与数表三统一，V放到量程</t>
    <phoneticPr fontId="25" type="noConversion"/>
  </si>
  <si>
    <t>仅一列</t>
    <phoneticPr fontId="2" type="noConversion"/>
  </si>
  <si>
    <r>
      <t>1、频率输出</t>
    </r>
    <r>
      <rPr>
        <strike/>
        <sz val="12"/>
        <rFont val="宋体"/>
        <family val="3"/>
        <charset val="134"/>
      </rPr>
      <t>（A相：57.7V）</t>
    </r>
    <phoneticPr fontId="141" type="noConversion"/>
  </si>
  <si>
    <r>
      <t>频率测量</t>
    </r>
    <r>
      <rPr>
        <strike/>
        <sz val="12"/>
        <rFont val="宋体"/>
        <family val="3"/>
        <charset val="134"/>
      </rPr>
      <t>（A相：100V）</t>
    </r>
    <phoneticPr fontId="2" type="noConversion"/>
  </si>
  <si>
    <r>
      <t>相位测量（1</t>
    </r>
    <r>
      <rPr>
        <sz val="12"/>
        <rFont val="宋体"/>
        <family val="3"/>
        <charset val="134"/>
      </rPr>
      <t>00V/5A，</t>
    </r>
    <r>
      <rPr>
        <sz val="12"/>
        <rFont val="宋体"/>
        <family val="3"/>
        <charset val="134"/>
      </rPr>
      <t>50Hz）</t>
    </r>
    <phoneticPr fontId="141" type="noConversion"/>
  </si>
  <si>
    <t>DL/T 980-2005 数字多用表检定规程</t>
    <phoneticPr fontId="2" type="noConversion"/>
  </si>
  <si>
    <t>数字多用表仅需要规程名称下边无检测项，具体检测项根据其他规程选择对应的</t>
    <phoneticPr fontId="2" type="noConversion"/>
  </si>
  <si>
    <r>
      <t>y</t>
    </r>
    <r>
      <rPr>
        <vertAlign val="subscript"/>
        <sz val="9"/>
        <rFont val="Times New Roman"/>
        <family val="1"/>
      </rPr>
      <t>4</t>
    </r>
    <r>
      <rPr>
        <sz val="9"/>
        <rFont val="Times New Roman"/>
        <family val="1"/>
      </rPr>
      <t>/y</t>
    </r>
    <r>
      <rPr>
        <vertAlign val="subscript"/>
        <sz val="9"/>
        <rFont val="Times New Roman"/>
        <family val="1"/>
      </rPr>
      <t>9</t>
    </r>
    <phoneticPr fontId="95" type="noConversion"/>
  </si>
  <si>
    <t>通道</t>
    <phoneticPr fontId="69" type="noConversion"/>
  </si>
  <si>
    <t>1.变送器规程：多种变送器涉及电压、电流、功率因数、频率、相位等，变送器将为大信号变小直流信号
2.所有检定项目的表头依次顺序为：模拟通道（下拉选择最多4个通道）、类型（频率等）、输入范围、输出范围、额定条件；一行宽度不够的时候模拟通道、类型一行，其他表头下一行。目前模板在数据录入表格上边单独的输入输出范围去掉。行数根据模板固定测量点固定，测量点后UA两列去掉
3.灰色去掉
4.频率模板固定7行，根据数据录入时录入的数值计算0%、20%、40%、60%、80%、100%，无50HZ值的话加50HZ。相位固定8行录入数据后根据范围自动安装百分比计算（最大值-最小值）/平均分割
5.引用误差</t>
    <phoneticPr fontId="2" type="noConversion"/>
  </si>
  <si>
    <t>1.无多通道
2.两列，三列
3.10行，5行，3行参考JJG 315-1983规则
4.相对误差</t>
    <phoneticPr fontId="2" type="noConversion"/>
  </si>
  <si>
    <t>1.一列
2.无多通道
3.相对误差</t>
    <phoneticPr fontId="2" type="noConversion"/>
  </si>
  <si>
    <t>1.分：有功功率测量（50Hz）、有功功率输出（50Hz）
2.【三相四线有功功率、三相三线有功功率】这两种有同时有，也有只有一种情况
3.输出显示值固定。测量标准值固定
3.额定条件默认给一个值，可以更改；功率因数固定3项，每项下的行数自己填写，然后根据填写内容
4.引用误差</t>
    <phoneticPr fontId="2" type="noConversion"/>
  </si>
  <si>
    <t>JJG 445-1986  直流标准电压源检定规程</t>
    <phoneticPr fontId="2" type="noConversion"/>
  </si>
  <si>
    <t>JJG(航天)35-1999 交流数字电流表检定规程</t>
    <phoneticPr fontId="5" type="noConversion"/>
  </si>
  <si>
    <t>指示仪表实验室</t>
    <phoneticPr fontId="2" type="noConversion"/>
  </si>
  <si>
    <t>数表实验室（单相）</t>
    <phoneticPr fontId="2" type="noConversion"/>
  </si>
  <si>
    <t>直流仪器实验室</t>
    <phoneticPr fontId="2" type="noConversion"/>
  </si>
  <si>
    <t>互感器实验室</t>
    <phoneticPr fontId="2" type="noConversion"/>
  </si>
  <si>
    <t>JJG 315-1983 直流数字电压表试行检定规程</t>
    <phoneticPr fontId="5" type="noConversion"/>
  </si>
  <si>
    <t>直流电压测量</t>
    <phoneticPr fontId="2" type="noConversion"/>
  </si>
  <si>
    <t>数表实验室（三相）</t>
    <phoneticPr fontId="2" type="noConversion"/>
  </si>
  <si>
    <t>JJG 598-1989 直流数字电流表试行检定规程</t>
    <phoneticPr fontId="5" type="noConversion"/>
  </si>
  <si>
    <t>直流电流测量</t>
    <phoneticPr fontId="2" type="noConversion"/>
  </si>
  <si>
    <t>U下标范围为：默认U1 、U2或者是UA、UB、UC
多通道范围为：U0到U20,CH0到CH16，UA1到UA6，UB1到UB6，UC1到UC6，U01到U06</t>
    <phoneticPr fontId="2" type="noConversion"/>
  </si>
  <si>
    <t>I下标范围为：默认I1 、I2或者是IA、IB、IC 
范围为：I0到I20,CH0到CH16，IA1到IA6，IB1到IB6，IC1到IC6，I01到I06</t>
    <phoneticPr fontId="2" type="noConversion"/>
  </si>
  <si>
    <t>输出实际值</t>
    <phoneticPr fontId="2" type="noConversion"/>
  </si>
  <si>
    <t>直流电压输出</t>
    <phoneticPr fontId="2" type="noConversion"/>
  </si>
  <si>
    <t>测量误差</t>
    <phoneticPr fontId="2" type="noConversion"/>
  </si>
  <si>
    <t>1.一列
2.无多通道
3.分：频率测量（标准值固定）、频率输出（显示值固定）
4.默认五行固定数值参照规程举例，可增加空行
5.外边两个页面，链接同一个页面，标准值、显示值同时带出
6.相对误差</t>
    <phoneticPr fontId="2" type="noConversion"/>
  </si>
  <si>
    <t>显示值</t>
    <phoneticPr fontId="141" type="noConversion"/>
  </si>
  <si>
    <t>标准值</t>
    <phoneticPr fontId="141" type="noConversion"/>
  </si>
  <si>
    <t>交流电压输出</t>
    <phoneticPr fontId="31" type="noConversion"/>
  </si>
  <si>
    <r>
      <t>U下标范围为：默认U</t>
    </r>
    <r>
      <rPr>
        <vertAlign val="subscript"/>
        <sz val="12"/>
        <rFont val="宋体"/>
        <family val="3"/>
        <charset val="134"/>
      </rPr>
      <t>1</t>
    </r>
    <r>
      <rPr>
        <sz val="12"/>
        <rFont val="宋体"/>
        <family val="3"/>
        <charset val="134"/>
      </rPr>
      <t xml:space="preserve"> 、U</t>
    </r>
    <r>
      <rPr>
        <vertAlign val="subscript"/>
        <sz val="12"/>
        <rFont val="宋体"/>
        <family val="3"/>
        <charset val="134"/>
      </rPr>
      <t>2</t>
    </r>
    <r>
      <rPr>
        <sz val="12"/>
        <rFont val="宋体"/>
        <family val="3"/>
        <charset val="134"/>
      </rPr>
      <t>或者是U</t>
    </r>
    <r>
      <rPr>
        <vertAlign val="subscript"/>
        <sz val="12"/>
        <rFont val="宋体"/>
        <family val="3"/>
        <charset val="134"/>
      </rPr>
      <t>A</t>
    </r>
    <r>
      <rPr>
        <sz val="12"/>
        <rFont val="宋体"/>
        <family val="3"/>
        <charset val="134"/>
      </rPr>
      <t>、U</t>
    </r>
    <r>
      <rPr>
        <vertAlign val="subscript"/>
        <sz val="12"/>
        <rFont val="宋体"/>
        <family val="3"/>
        <charset val="134"/>
      </rPr>
      <t>B</t>
    </r>
    <r>
      <rPr>
        <sz val="12"/>
        <rFont val="宋体"/>
        <family val="3"/>
        <charset val="134"/>
      </rPr>
      <t>、U</t>
    </r>
    <r>
      <rPr>
        <vertAlign val="subscript"/>
        <sz val="12"/>
        <rFont val="宋体"/>
        <family val="3"/>
        <charset val="134"/>
      </rPr>
      <t>C</t>
    </r>
    <phoneticPr fontId="141" type="noConversion"/>
  </si>
  <si>
    <r>
      <t>U</t>
    </r>
    <r>
      <rPr>
        <vertAlign val="subscript"/>
        <sz val="12"/>
        <rFont val="宋体"/>
        <family val="3"/>
        <charset val="134"/>
      </rPr>
      <t>AB</t>
    </r>
    <phoneticPr fontId="141" type="noConversion"/>
  </si>
  <si>
    <t>注：显示值、标准值的单位与量程单位一致。</t>
    <phoneticPr fontId="141" type="noConversion"/>
  </si>
  <si>
    <t>交流电压输出</t>
    <phoneticPr fontId="31" type="noConversion"/>
  </si>
  <si>
    <r>
      <t>范围为：U</t>
    </r>
    <r>
      <rPr>
        <vertAlign val="subscript"/>
        <sz val="12"/>
        <rFont val="宋体"/>
        <family val="3"/>
        <charset val="134"/>
      </rPr>
      <t>0</t>
    </r>
    <r>
      <rPr>
        <sz val="12"/>
        <rFont val="宋体"/>
        <family val="3"/>
        <charset val="134"/>
      </rPr>
      <t>到U</t>
    </r>
    <r>
      <rPr>
        <vertAlign val="subscript"/>
        <sz val="12"/>
        <rFont val="宋体"/>
        <family val="3"/>
        <charset val="134"/>
      </rPr>
      <t>20</t>
    </r>
    <r>
      <rPr>
        <sz val="12"/>
        <rFont val="宋体"/>
        <family val="3"/>
        <charset val="134"/>
      </rPr>
      <t>,CH</t>
    </r>
    <r>
      <rPr>
        <vertAlign val="subscript"/>
        <sz val="12"/>
        <rFont val="宋体"/>
        <family val="3"/>
        <charset val="134"/>
      </rPr>
      <t>0</t>
    </r>
    <r>
      <rPr>
        <sz val="12"/>
        <rFont val="宋体"/>
        <family val="3"/>
        <charset val="134"/>
      </rPr>
      <t>到CH</t>
    </r>
    <r>
      <rPr>
        <vertAlign val="subscript"/>
        <sz val="12"/>
        <rFont val="宋体"/>
        <family val="3"/>
        <charset val="134"/>
      </rPr>
      <t>16</t>
    </r>
    <r>
      <rPr>
        <sz val="12"/>
        <rFont val="宋体"/>
        <family val="3"/>
        <charset val="134"/>
      </rPr>
      <t>，U</t>
    </r>
    <r>
      <rPr>
        <vertAlign val="subscript"/>
        <sz val="12"/>
        <rFont val="宋体"/>
        <family val="3"/>
        <charset val="134"/>
      </rPr>
      <t>A1</t>
    </r>
    <r>
      <rPr>
        <sz val="12"/>
        <rFont val="宋体"/>
        <family val="3"/>
        <charset val="134"/>
      </rPr>
      <t>到U</t>
    </r>
    <r>
      <rPr>
        <vertAlign val="subscript"/>
        <sz val="12"/>
        <rFont val="宋体"/>
        <family val="3"/>
        <charset val="134"/>
      </rPr>
      <t>A6</t>
    </r>
    <r>
      <rPr>
        <sz val="12"/>
        <rFont val="宋体"/>
        <family val="3"/>
        <charset val="134"/>
      </rPr>
      <t>，U</t>
    </r>
    <r>
      <rPr>
        <vertAlign val="subscript"/>
        <sz val="12"/>
        <rFont val="宋体"/>
        <family val="3"/>
        <charset val="134"/>
      </rPr>
      <t>B1</t>
    </r>
    <r>
      <rPr>
        <sz val="12"/>
        <rFont val="宋体"/>
        <family val="3"/>
        <charset val="134"/>
      </rPr>
      <t>到U</t>
    </r>
    <r>
      <rPr>
        <vertAlign val="subscript"/>
        <sz val="12"/>
        <rFont val="宋体"/>
        <family val="3"/>
        <charset val="134"/>
      </rPr>
      <t>B6</t>
    </r>
    <r>
      <rPr>
        <sz val="12"/>
        <rFont val="宋体"/>
        <family val="3"/>
        <charset val="134"/>
      </rPr>
      <t>，U</t>
    </r>
    <r>
      <rPr>
        <vertAlign val="subscript"/>
        <sz val="12"/>
        <rFont val="宋体"/>
        <family val="3"/>
        <charset val="134"/>
      </rPr>
      <t>C1</t>
    </r>
    <r>
      <rPr>
        <sz val="12"/>
        <rFont val="宋体"/>
        <family val="3"/>
        <charset val="134"/>
      </rPr>
      <t>到U</t>
    </r>
    <r>
      <rPr>
        <vertAlign val="subscript"/>
        <sz val="12"/>
        <rFont val="宋体"/>
        <family val="3"/>
        <charset val="134"/>
      </rPr>
      <t>C6</t>
    </r>
    <r>
      <rPr>
        <sz val="12"/>
        <rFont val="宋体"/>
        <family val="3"/>
        <charset val="134"/>
      </rPr>
      <t>，U</t>
    </r>
    <r>
      <rPr>
        <vertAlign val="subscript"/>
        <sz val="12"/>
        <rFont val="宋体"/>
        <family val="3"/>
        <charset val="134"/>
      </rPr>
      <t>01</t>
    </r>
    <r>
      <rPr>
        <sz val="12"/>
        <rFont val="宋体"/>
        <family val="3"/>
        <charset val="134"/>
      </rPr>
      <t>到U</t>
    </r>
    <r>
      <rPr>
        <vertAlign val="subscript"/>
        <sz val="12"/>
        <rFont val="宋体"/>
        <family val="3"/>
        <charset val="134"/>
      </rPr>
      <t>06</t>
    </r>
    <phoneticPr fontId="141" type="noConversion"/>
  </si>
  <si>
    <t>交流电压测量
交流电压测量（xxHz）</t>
    <phoneticPr fontId="2" type="noConversion"/>
  </si>
  <si>
    <t xml:space="preserve">规程名称：JJG(航天)35-1999 交流数字电流表检定规程              </t>
    <phoneticPr fontId="141" type="noConversion"/>
  </si>
  <si>
    <t>交流电流测量（50Hz）</t>
    <phoneticPr fontId="25" type="noConversion"/>
  </si>
  <si>
    <t>直流仪器实验室</t>
    <phoneticPr fontId="2" type="noConversion"/>
  </si>
  <si>
    <t>互感器实验室</t>
    <phoneticPr fontId="2" type="noConversion"/>
  </si>
  <si>
    <t>数表实验室（三相）</t>
    <phoneticPr fontId="2" type="noConversion"/>
  </si>
  <si>
    <r>
      <t>JJG</t>
    </r>
    <r>
      <rPr>
        <u/>
        <sz val="9"/>
        <color indexed="30"/>
        <rFont val="宋体"/>
        <family val="3"/>
        <charset val="134"/>
      </rPr>
      <t xml:space="preserve"> 1005-2005 电子式绝缘电阻表</t>
    </r>
    <phoneticPr fontId="2" type="noConversion"/>
  </si>
  <si>
    <r>
      <t xml:space="preserve">JJG 166-1993 </t>
    </r>
    <r>
      <rPr>
        <u/>
        <sz val="9"/>
        <color indexed="30"/>
        <rFont val="宋体"/>
        <family val="3"/>
        <charset val="134"/>
      </rPr>
      <t>直流电阻器</t>
    </r>
    <phoneticPr fontId="2" type="noConversion"/>
  </si>
  <si>
    <r>
      <t>J</t>
    </r>
    <r>
      <rPr>
        <u/>
        <sz val="9"/>
        <color indexed="30"/>
        <rFont val="宋体"/>
        <family val="3"/>
        <charset val="134"/>
      </rPr>
      <t>JG 1072-2011 直流高压高值电阻器</t>
    </r>
    <phoneticPr fontId="2" type="noConversion"/>
  </si>
  <si>
    <r>
      <t>数表三相所有涉及的不确定度计算小数位数如何处理？
小数点后出现非零的数字保留两位或三位小数以*10</t>
    </r>
    <r>
      <rPr>
        <vertAlign val="superscript"/>
        <sz val="9"/>
        <rFont val="宋体"/>
        <family val="3"/>
        <charset val="134"/>
      </rPr>
      <t>-X</t>
    </r>
    <r>
      <rPr>
        <sz val="9"/>
        <rFont val="宋体"/>
        <family val="3"/>
        <charset val="134"/>
      </rPr>
      <t>指数形式表示？如小数位数前有值小数位保留两位或三位？</t>
    </r>
    <phoneticPr fontId="2" type="noConversion"/>
  </si>
  <si>
    <r>
      <t>1.有多通道
2.误差有两种：相对误差（相对误差=（显示值-标准值）/标准值*100%）,误差比准确定度多1位，最少小数点后2位；</t>
    </r>
    <r>
      <rPr>
        <strike/>
        <sz val="9"/>
        <rFont val="宋体"/>
        <family val="3"/>
        <charset val="134"/>
      </rPr>
      <t>绝对误差(显示值-标准值)小数位数与前边的标准值小数位数同</t>
    </r>
    <r>
      <rPr>
        <sz val="9"/>
        <rFont val="宋体"/>
        <family val="3"/>
        <charset val="134"/>
      </rPr>
      <t>;
3.建立模板时，如果一个量程下10行时，每行根据将量程值*100%、90%、80%、70%、60%、50%、40%、30%、20%、10%从第一行到第10行顺序显示标准值；如果一个量程下5行时，每行根据将量程值*100%、80%、60%、40%、20%从第一行到第5行顺序显示标准值；如果一个量程下3行时，每行根据将量程值*100%、60%、10%从第一行到第3行顺序显示标准值
4.样表为帮助直观理解具体表头列数及表头标题以A列样表为准
5.单通道和多通道的表头部分【显示值】中的通道信息是否单多都有通道号？</t>
    </r>
    <phoneticPr fontId="2" type="noConversion"/>
  </si>
  <si>
    <r>
      <t>1.有多通道
2.误差有两种：相对误差；</t>
    </r>
    <r>
      <rPr>
        <strike/>
        <sz val="9"/>
        <rFont val="宋体"/>
        <family val="3"/>
        <charset val="134"/>
      </rPr>
      <t>绝对误差</t>
    </r>
    <r>
      <rPr>
        <sz val="9"/>
        <rFont val="宋体"/>
        <family val="3"/>
        <charset val="134"/>
      </rPr>
      <t xml:space="preserve">
3.行数标准值计算规则与【JJG 315-1983 直流数字电压表试行检定规程】相同
4.</t>
    </r>
    <r>
      <rPr>
        <strike/>
        <sz val="9"/>
        <rFont val="宋体"/>
        <family val="3"/>
        <charset val="134"/>
      </rPr>
      <t>一列表头与电压相同；两列、三列表头格式与电压相同，但是符号标记不同；</t>
    </r>
    <r>
      <rPr>
        <sz val="9"/>
        <rFont val="宋体"/>
        <family val="3"/>
        <charset val="134"/>
      </rPr>
      <t>表头样式同直流电压，但是符号不同？</t>
    </r>
    <phoneticPr fontId="2" type="noConversion"/>
  </si>
  <si>
    <r>
      <t>1.有多通道
2.</t>
    </r>
    <r>
      <rPr>
        <strike/>
        <sz val="9"/>
        <rFont val="宋体"/>
        <family val="3"/>
        <charset val="134"/>
      </rPr>
      <t>单相：</t>
    </r>
    <r>
      <rPr>
        <sz val="9"/>
        <rFont val="宋体"/>
        <family val="3"/>
        <charset val="134"/>
      </rPr>
      <t>相对误差；</t>
    </r>
    <r>
      <rPr>
        <strike/>
        <sz val="9"/>
        <rFont val="宋体"/>
        <family val="3"/>
        <charset val="134"/>
      </rPr>
      <t>两相、三相：引用误差？</t>
    </r>
    <r>
      <rPr>
        <sz val="9"/>
        <rFont val="宋体"/>
        <family val="3"/>
        <charset val="134"/>
      </rPr>
      <t xml:space="preserve">
3.单相的频率是否可以不要改到（）里？以后和数表单项确认
4.数表三相只有两相、三相、多通道，多通道是两相三相的重复</t>
    </r>
    <phoneticPr fontId="2" type="noConversion"/>
  </si>
  <si>
    <r>
      <t>1.有多通道
2.单相的频率是否可以不要改到（）里？
3.</t>
    </r>
    <r>
      <rPr>
        <strike/>
        <sz val="9"/>
        <rFont val="宋体"/>
        <family val="3"/>
        <charset val="134"/>
      </rPr>
      <t>单相：</t>
    </r>
    <r>
      <rPr>
        <sz val="9"/>
        <rFont val="宋体"/>
        <family val="3"/>
        <charset val="134"/>
      </rPr>
      <t>相对误差</t>
    </r>
    <r>
      <rPr>
        <strike/>
        <sz val="9"/>
        <rFont val="宋体"/>
        <family val="3"/>
        <charset val="134"/>
      </rPr>
      <t>、绝对误差？；两相、三相：引用误差</t>
    </r>
    <r>
      <rPr>
        <sz val="9"/>
        <rFont val="宋体"/>
        <family val="3"/>
        <charset val="134"/>
      </rPr>
      <t>？
数表三相实验室相对误差
4.数表三相只有两相、三相、多通道，多通道是两相三相的重复</t>
    </r>
    <phoneticPr fontId="2" type="noConversion"/>
  </si>
  <si>
    <r>
      <t>1.无多通道
2.误差有两种：相对误差；</t>
    </r>
    <r>
      <rPr>
        <strike/>
        <sz val="9"/>
        <rFont val="宋体"/>
        <family val="3"/>
        <charset val="134"/>
      </rPr>
      <t>绝对误差</t>
    </r>
    <phoneticPr fontId="2" type="noConversion"/>
  </si>
  <si>
    <t>JJG(航天)34-1999 交流数字电压表检定规程</t>
    <phoneticPr fontId="5" type="noConversion"/>
  </si>
  <si>
    <t>DL/T 624-2010 继电保护微机型试验装置技术条件</t>
    <phoneticPr fontId="2" type="noConversion"/>
  </si>
  <si>
    <t>继保仅需要规程名称下边无检测项，具体检测项根据其他规程选择对应的</t>
    <phoneticPr fontId="2" type="noConversion"/>
  </si>
  <si>
    <t>主要是现场检定且量较少，采用报告上传方式</t>
    <phoneticPr fontId="2" type="noConversion"/>
  </si>
  <si>
    <t>JJG(航天)38-1987 直流标准电流源检定规程</t>
    <phoneticPr fontId="2" type="noConversion"/>
  </si>
  <si>
    <t>直流电流输出</t>
    <phoneticPr fontId="2" type="noConversion"/>
  </si>
  <si>
    <t>选用电阻阻值   （Ω）</t>
    <phoneticPr fontId="2" type="noConversion"/>
  </si>
  <si>
    <t>直流电流输出</t>
    <phoneticPr fontId="25" type="noConversion"/>
  </si>
  <si>
    <t>输出示值</t>
    <phoneticPr fontId="2" type="noConversion"/>
  </si>
  <si>
    <t>读数值</t>
    <phoneticPr fontId="2" type="noConversion"/>
  </si>
  <si>
    <t>输出实际值</t>
    <phoneticPr fontId="2" type="noConversion"/>
  </si>
  <si>
    <r>
      <t xml:space="preserve">数表三相仅两列，三列
列：显示值、标准值、误差
</t>
    </r>
    <r>
      <rPr>
        <sz val="9"/>
        <color rgb="FFFF0000"/>
        <rFont val="宋体"/>
        <family val="3"/>
        <charset val="134"/>
      </rPr>
      <t>一列表头数表单相时需要确认</t>
    </r>
    <phoneticPr fontId="2" type="noConversion"/>
  </si>
  <si>
    <r>
      <t>JJG(航天)51-19</t>
    </r>
    <r>
      <rPr>
        <u/>
        <sz val="9"/>
        <color indexed="30"/>
        <rFont val="宋体"/>
        <family val="3"/>
        <charset val="134"/>
      </rPr>
      <t>99 交流标准电流源检定规程</t>
    </r>
    <phoneticPr fontId="2" type="noConversion"/>
  </si>
  <si>
    <t>交流电流输出</t>
    <phoneticPr fontId="2" type="noConversion"/>
  </si>
  <si>
    <t>交流电流输出</t>
    <phoneticPr fontId="25" type="noConversion"/>
  </si>
  <si>
    <t>JJG 780-1992  交流数字功率表检定规程</t>
    <phoneticPr fontId="5" type="noConversion"/>
  </si>
  <si>
    <t>基本误差</t>
    <phoneticPr fontId="141" type="noConversion"/>
  </si>
  <si>
    <r>
      <t>(2)三相三线有功功率</t>
    </r>
    <r>
      <rPr>
        <strike/>
        <sz val="12"/>
        <rFont val="宋体"/>
        <family val="3"/>
        <charset val="134"/>
      </rPr>
      <t>输出</t>
    </r>
    <phoneticPr fontId="141" type="noConversion"/>
  </si>
  <si>
    <t>有功功率输出（50Hz）</t>
    <phoneticPr fontId="141" type="noConversion"/>
  </si>
  <si>
    <r>
      <t>三相四线有功功率</t>
    </r>
    <r>
      <rPr>
        <strike/>
        <sz val="12"/>
        <rFont val="宋体"/>
        <family val="3"/>
        <charset val="134"/>
      </rPr>
      <t>输出</t>
    </r>
    <phoneticPr fontId="141" type="noConversion"/>
  </si>
  <si>
    <t>JJG 440-2008 工频单相相位表检定规程</t>
    <phoneticPr fontId="2" type="noConversion"/>
  </si>
  <si>
    <r>
      <t>1.有多通道
2.分一个相位、两个相位（三相三线）、三个相位（三相四线）
3.6行60度一个，12行30度一个；从0度开始
4.分相位测量、相位输出；测量标准值和相位值一致，输出显示值和相位一致
5.检测项名称相位测量/相位输出（</t>
    </r>
    <r>
      <rPr>
        <sz val="9"/>
        <color indexed="10"/>
        <rFont val="宋体"/>
        <family val="3"/>
        <charset val="134"/>
      </rPr>
      <t>XXX</t>
    </r>
    <r>
      <rPr>
        <sz val="9"/>
        <rFont val="宋体"/>
        <family val="3"/>
        <charset val="134"/>
      </rPr>
      <t>V/</t>
    </r>
    <r>
      <rPr>
        <sz val="9"/>
        <color indexed="10"/>
        <rFont val="宋体"/>
        <family val="3"/>
        <charset val="134"/>
      </rPr>
      <t>X</t>
    </r>
    <r>
      <rPr>
        <sz val="9"/>
        <rFont val="宋体"/>
        <family val="3"/>
        <charset val="134"/>
      </rPr>
      <t>A，</t>
    </r>
    <r>
      <rPr>
        <sz val="9"/>
        <color indexed="10"/>
        <rFont val="宋体"/>
        <family val="3"/>
        <charset val="134"/>
      </rPr>
      <t>XX</t>
    </r>
    <r>
      <rPr>
        <sz val="9"/>
        <rFont val="宋体"/>
        <family val="3"/>
        <charset val="134"/>
      </rPr>
      <t>Hz），是否括号内内容可不带？
6.绝对误差</t>
    </r>
    <phoneticPr fontId="2" type="noConversion"/>
  </si>
  <si>
    <t>基本误差</t>
    <phoneticPr fontId="69" type="noConversion"/>
  </si>
  <si>
    <t>频率</t>
    <phoneticPr fontId="2" type="noConversion"/>
  </si>
  <si>
    <t>电压</t>
    <phoneticPr fontId="2" type="noConversion"/>
  </si>
  <si>
    <t>电流</t>
    <phoneticPr fontId="2" type="noConversion"/>
  </si>
  <si>
    <t>有功功率</t>
    <phoneticPr fontId="2" type="noConversion"/>
  </si>
  <si>
    <t>无功功率</t>
    <phoneticPr fontId="2" type="noConversion"/>
  </si>
  <si>
    <t>功率因数</t>
    <phoneticPr fontId="2" type="noConversion"/>
  </si>
  <si>
    <t>相位</t>
    <phoneticPr fontId="2" type="noConversion"/>
  </si>
  <si>
    <r>
      <t>1.无多通道
2.误差有两种：相对误差；</t>
    </r>
    <r>
      <rPr>
        <strike/>
        <sz val="9"/>
        <rFont val="宋体"/>
        <family val="3"/>
        <charset val="134"/>
      </rPr>
      <t>绝对误差</t>
    </r>
    <phoneticPr fontId="2" type="noConversion"/>
  </si>
  <si>
    <t>引用误差=（显示值-标准值）/标准值*100，小数点后3位，单位%</t>
    <phoneticPr fontId="141" type="noConversion"/>
  </si>
  <si>
    <t>60º</t>
    <phoneticPr fontId="69" type="noConversion"/>
  </si>
  <si>
    <t>o</t>
    <phoneticPr fontId="69" type="noConversion"/>
  </si>
</sst>
</file>

<file path=xl/styles.xml><?xml version="1.0" encoding="utf-8"?>
<styleSheet xmlns="http://schemas.openxmlformats.org/spreadsheetml/2006/main">
  <numFmts count="119">
    <numFmt numFmtId="44" formatCode="_ &quot;¥&quot;* #,##0.00_ ;_ &quot;¥&quot;* \-#,##0.00_ ;_ &quot;¥&quot;* &quot;-&quot;??_ ;_ @_ "/>
    <numFmt numFmtId="176" formatCode="0.0_ "/>
    <numFmt numFmtId="177" formatCode="0.0%"/>
    <numFmt numFmtId="178" formatCode="0.00000_ "/>
    <numFmt numFmtId="179" formatCode="0.0000_ "/>
    <numFmt numFmtId="180" formatCode="0.000_ "/>
    <numFmt numFmtId="181" formatCode="0.00_ "/>
    <numFmt numFmtId="182" formatCode="0_ "/>
    <numFmt numFmtId="183" formatCode="0.0000_);[Red]\(0.0000\)"/>
    <numFmt numFmtId="184" formatCode="0.000_);[Red]\(0.000\)"/>
    <numFmt numFmtId="185" formatCode="0.0000\V\ "/>
    <numFmt numFmtId="186" formatCode="0.00_);[Red]\(0.00\)"/>
    <numFmt numFmtId="187" formatCode="0.000\m\V"/>
    <numFmt numFmtId="188" formatCode="0.00000\V\ "/>
    <numFmt numFmtId="189" formatCode="0.000\V\ "/>
    <numFmt numFmtId="190" formatCode="0.00\V\ "/>
    <numFmt numFmtId="191" formatCode="0.00000_);[Red]\(0.00000\)"/>
    <numFmt numFmtId="192" formatCode="0.000\m\A"/>
    <numFmt numFmtId="193" formatCode="0.000\µ\A"/>
    <numFmt numFmtId="194" formatCode="0.00000\m\A"/>
    <numFmt numFmtId="195" formatCode="0.0000\m\A"/>
    <numFmt numFmtId="196" formatCode="0.00000\A"/>
    <numFmt numFmtId="197" formatCode="0_'\V\ "/>
    <numFmt numFmtId="198" formatCode="0.0000\V"/>
    <numFmt numFmtId="199" formatCode="00\m\V"/>
    <numFmt numFmtId="200" formatCode="0.00000\V"/>
    <numFmt numFmtId="201" formatCode="0.000\V"/>
    <numFmt numFmtId="202" formatCode="0.00\V"/>
    <numFmt numFmtId="203" formatCode="0.0000\A"/>
    <numFmt numFmtId="204" formatCode="0.0000\m\V"/>
    <numFmt numFmtId="205" formatCode="0.000000\V\ "/>
    <numFmt numFmtId="206" formatCode="0.000000\V"/>
    <numFmt numFmtId="207" formatCode="0\A"/>
    <numFmt numFmtId="208" formatCode="0\m\A"/>
    <numFmt numFmtId="209" formatCode="0\Ω"/>
    <numFmt numFmtId="210" formatCode="0.000\Ω"/>
    <numFmt numFmtId="211" formatCode="0.00000\k\Ω"/>
    <numFmt numFmtId="212" formatCode="0.0000\k\Ω"/>
    <numFmt numFmtId="213" formatCode="0.000\k\Ω"/>
    <numFmt numFmtId="214" formatCode="0.00000\M\Ω"/>
    <numFmt numFmtId="215" formatCode="0.0000\M\Ω"/>
    <numFmt numFmtId="216" formatCode="0&quot;mΩ&quot;"/>
    <numFmt numFmtId="217" formatCode="0.000&quot;mΩ&quot;"/>
    <numFmt numFmtId="218" formatCode="&quot;±&quot;0.0"/>
    <numFmt numFmtId="219" formatCode="0.000%"/>
    <numFmt numFmtId="220" formatCode="0.00&quot;mΩ&quot;"/>
    <numFmt numFmtId="221" formatCode="0.0000&quot;mV&quot;"/>
    <numFmt numFmtId="222" formatCode="0&quot;A&quot;"/>
    <numFmt numFmtId="223" formatCode="0.000&quot;A&quot;"/>
    <numFmt numFmtId="224" formatCode="&quot;±&quot;0"/>
    <numFmt numFmtId="225" formatCode="0.00&quot;GΩ&quot;"/>
    <numFmt numFmtId="226" formatCode="00&quot;MΩ&quot;"/>
    <numFmt numFmtId="227" formatCode="0.00000000_ "/>
    <numFmt numFmtId="228" formatCode="0.0000000_ "/>
    <numFmt numFmtId="229" formatCode="0.000000_ "/>
    <numFmt numFmtId="230" formatCode="0.00000;[Red]0.00000"/>
    <numFmt numFmtId="231" formatCode="0&quot;V&quot;"/>
    <numFmt numFmtId="232" formatCode="0.0&quot;A&quot;"/>
    <numFmt numFmtId="233" formatCode="0.000&quot;Ω&quot;"/>
    <numFmt numFmtId="234" formatCode="0.000;[Red]0.000"/>
    <numFmt numFmtId="235" formatCode="0.00;[Red]0.00"/>
    <numFmt numFmtId="236" formatCode="0.0000;[Red]0.0000"/>
    <numFmt numFmtId="237" formatCode="0&quot;Ω&quot;"/>
    <numFmt numFmtId="238" formatCode="0.0&quot;GΩ&quot;"/>
    <numFmt numFmtId="239" formatCode="0.000\H\z"/>
    <numFmt numFmtId="240" formatCode="0.000\%"/>
    <numFmt numFmtId="241" formatCode="0.00&quot;°&quot;"/>
    <numFmt numFmtId="242" formatCode="0.0&quot;°&quot;"/>
    <numFmt numFmtId="243" formatCode="0.0\V"/>
    <numFmt numFmtId="244" formatCode="0\V"/>
    <numFmt numFmtId="245" formatCode="0.00\%"/>
    <numFmt numFmtId="246" formatCode="0.0000%"/>
    <numFmt numFmtId="247" formatCode="00\A"/>
    <numFmt numFmtId="248" formatCode="0\%"/>
    <numFmt numFmtId="249" formatCode="0.00\A"/>
    <numFmt numFmtId="250" formatCode="0.0"/>
    <numFmt numFmtId="251" formatCode="0.0\L"/>
    <numFmt numFmtId="252" formatCode="0.0\C"/>
    <numFmt numFmtId="253" formatCode="0.00;_"/>
    <numFmt numFmtId="254" formatCode="0.0&quot;级&quot;"/>
    <numFmt numFmtId="255" formatCode="0\H\z"/>
    <numFmt numFmtId="256" formatCode="0.000"/>
    <numFmt numFmtId="257" formatCode="0.00000"/>
    <numFmt numFmtId="258" formatCode="#,##0.000_);[Red]\(#,##0.000\)"/>
    <numFmt numFmtId="259" formatCode="&quot;±&quot;0.0000%"/>
    <numFmt numFmtId="260" formatCode="0.00000%"/>
    <numFmt numFmtId="261" formatCode="&quot;±&quot;0.000%"/>
    <numFmt numFmtId="262" formatCode="&quot;±&quot;0.00000%"/>
    <numFmt numFmtId="263" formatCode="0.000000%"/>
    <numFmt numFmtId="264" formatCode="&quot;±&quot;0.00%"/>
    <numFmt numFmtId="265" formatCode="0.0000000\V\ "/>
    <numFmt numFmtId="266" formatCode="0.000000\m\A"/>
    <numFmt numFmtId="267" formatCode="000000"/>
    <numFmt numFmtId="268" formatCode="0.00&quot;℃&quot;"/>
    <numFmt numFmtId="269" formatCode="&quot;±&quot;0.00&quot;℃&quot;"/>
    <numFmt numFmtId="270" formatCode="0.0&quot;Ω&quot;"/>
    <numFmt numFmtId="271" formatCode="0_);[Red]\(0\)"/>
    <numFmt numFmtId="272" formatCode="0&quot;mA&quot;"/>
    <numFmt numFmtId="273" formatCode="0.00&quot;mA&quot;"/>
    <numFmt numFmtId="274" formatCode="0.000000_);[Red]\(0.000000\)"/>
    <numFmt numFmtId="275" formatCode="0.00&quot;Ω&quot;"/>
    <numFmt numFmtId="276" formatCode="0.0&quot;kΩ&quot;"/>
    <numFmt numFmtId="277" formatCode="0&quot;kΩ&quot;"/>
    <numFmt numFmtId="278" formatCode="0.000&quot;kΩ&quot;"/>
    <numFmt numFmtId="279" formatCode="0.00&quot;kΩ&quot;"/>
    <numFmt numFmtId="280" formatCode="&quot;±&quot;0.0%"/>
    <numFmt numFmtId="281" formatCode="&quot;±&quot;0.0000"/>
    <numFmt numFmtId="282" formatCode="&quot;±&quot;0.000"/>
    <numFmt numFmtId="283" formatCode="&quot;±&quot;0.00000"/>
    <numFmt numFmtId="284" formatCode="0.0000"/>
    <numFmt numFmtId="285" formatCode="0.0000&quot;mΩ&quot;"/>
    <numFmt numFmtId="286" formatCode="0.000000000_);[Red]\(0.000000000\)"/>
    <numFmt numFmtId="287" formatCode="0.000000000_ "/>
    <numFmt numFmtId="288" formatCode="0&quot;MΩ&quot;"/>
    <numFmt numFmtId="289" formatCode="0.000_ ;[Red]\-0.000\ "/>
    <numFmt numFmtId="290" formatCode="0.00&quot;A&quot;"/>
    <numFmt numFmtId="291" formatCode="0.0&quot;mA&quot;"/>
    <numFmt numFmtId="292" formatCode="0&quot;μA&quot;"/>
    <numFmt numFmtId="293" formatCode="0&quot;GΩ&quot;"/>
  </numFmts>
  <fonts count="238">
    <font>
      <sz val="12"/>
      <name val="宋体"/>
      <charset val="134"/>
    </font>
    <font>
      <sz val="12"/>
      <name val="宋体"/>
      <family val="3"/>
      <charset val="134"/>
    </font>
    <font>
      <sz val="9"/>
      <name val="宋体"/>
      <family val="3"/>
      <charset val="134"/>
    </font>
    <font>
      <sz val="12"/>
      <color indexed="56"/>
      <name val="仿宋_GB2312"/>
      <family val="3"/>
      <charset val="134"/>
    </font>
    <font>
      <sz val="9"/>
      <name val="宋体"/>
      <family val="3"/>
      <charset val="134"/>
    </font>
    <font>
      <sz val="9"/>
      <name val="宋体"/>
      <family val="3"/>
      <charset val="134"/>
    </font>
    <font>
      <vertAlign val="subscript"/>
      <sz val="12"/>
      <name val="宋体"/>
      <family val="3"/>
      <charset val="134"/>
    </font>
    <font>
      <vertAlign val="superscript"/>
      <sz val="12"/>
      <name val="宋体"/>
      <family val="3"/>
      <charset val="134"/>
    </font>
    <font>
      <sz val="9"/>
      <name val="宋体"/>
      <family val="3"/>
      <charset val="134"/>
    </font>
    <font>
      <sz val="11"/>
      <name val="宋体"/>
      <family val="3"/>
      <charset val="134"/>
    </font>
    <font>
      <sz val="10"/>
      <name val="宋体"/>
      <family val="3"/>
      <charset val="134"/>
    </font>
    <font>
      <sz val="11"/>
      <name val="Times New Roman"/>
      <family val="1"/>
    </font>
    <font>
      <b/>
      <sz val="9"/>
      <color indexed="81"/>
      <name val="宋体"/>
      <family val="3"/>
      <charset val="134"/>
    </font>
    <font>
      <sz val="9"/>
      <color indexed="81"/>
      <name val="宋体"/>
      <family val="3"/>
      <charset val="134"/>
    </font>
    <font>
      <sz val="12"/>
      <name val="宋体"/>
      <family val="3"/>
      <charset val="134"/>
    </font>
    <font>
      <sz val="12"/>
      <color indexed="10"/>
      <name val="宋体"/>
      <family val="3"/>
      <charset val="134"/>
    </font>
    <font>
      <sz val="12"/>
      <name val="Times New Roman"/>
      <family val="1"/>
    </font>
    <font>
      <sz val="9"/>
      <name val="宋体"/>
      <family val="3"/>
      <charset val="134"/>
    </font>
    <font>
      <vertAlign val="subscript"/>
      <sz val="12"/>
      <name val="宋体"/>
      <family val="3"/>
      <charset val="134"/>
    </font>
    <font>
      <sz val="12"/>
      <name val="宋体"/>
      <family val="3"/>
      <charset val="134"/>
    </font>
    <font>
      <b/>
      <sz val="12"/>
      <name val="宋体"/>
      <family val="3"/>
      <charset val="134"/>
    </font>
    <font>
      <sz val="11"/>
      <color indexed="8"/>
      <name val="Times New Roman"/>
      <family val="1"/>
    </font>
    <font>
      <vertAlign val="subscript"/>
      <sz val="11"/>
      <color indexed="8"/>
      <name val="Times New Roman"/>
      <family val="1"/>
    </font>
    <font>
      <i/>
      <sz val="11"/>
      <name val="宋体"/>
      <family val="3"/>
      <charset val="134"/>
    </font>
    <font>
      <sz val="12"/>
      <name val="宋体"/>
      <family val="3"/>
      <charset val="134"/>
    </font>
    <font>
      <sz val="9"/>
      <name val="宋体"/>
      <family val="3"/>
      <charset val="134"/>
    </font>
    <font>
      <sz val="12"/>
      <color indexed="8"/>
      <name val="宋体"/>
      <family val="3"/>
      <charset val="134"/>
    </font>
    <font>
      <i/>
      <sz val="12"/>
      <name val="宋体"/>
      <family val="3"/>
      <charset val="134"/>
    </font>
    <font>
      <i/>
      <vertAlign val="subscript"/>
      <sz val="12"/>
      <name val="宋体"/>
      <family val="3"/>
      <charset val="134"/>
    </font>
    <font>
      <i/>
      <sz val="10"/>
      <name val="宋体"/>
      <family val="3"/>
      <charset val="134"/>
    </font>
    <font>
      <b/>
      <sz val="14"/>
      <name val="黑体"/>
      <family val="3"/>
      <charset val="134"/>
    </font>
    <font>
      <sz val="9"/>
      <name val="宋体"/>
      <family val="3"/>
      <charset val="134"/>
    </font>
    <font>
      <sz val="12"/>
      <name val="宋体"/>
      <family val="3"/>
      <charset val="134"/>
    </font>
    <font>
      <vertAlign val="subscript"/>
      <sz val="12"/>
      <name val="宋体"/>
      <family val="3"/>
      <charset val="134"/>
    </font>
    <font>
      <sz val="11"/>
      <name val="宋体"/>
      <family val="3"/>
      <charset val="134"/>
    </font>
    <font>
      <i/>
      <sz val="12"/>
      <name val="宋体"/>
      <family val="3"/>
      <charset val="134"/>
    </font>
    <font>
      <sz val="12"/>
      <color indexed="8"/>
      <name val="宋体"/>
      <family val="3"/>
      <charset val="134"/>
    </font>
    <font>
      <sz val="12"/>
      <color indexed="10"/>
      <name val="宋体"/>
      <family val="3"/>
      <charset val="134"/>
    </font>
    <font>
      <sz val="12"/>
      <name val="黑体"/>
      <family val="3"/>
      <charset val="134"/>
    </font>
    <font>
      <b/>
      <sz val="12"/>
      <name val="宋体"/>
      <family val="3"/>
      <charset val="134"/>
    </font>
    <font>
      <b/>
      <sz val="11"/>
      <name val="宋体"/>
      <family val="3"/>
      <charset val="134"/>
    </font>
    <font>
      <i/>
      <sz val="12"/>
      <name val="Times New Roman"/>
      <family val="1"/>
    </font>
    <font>
      <i/>
      <vertAlign val="subscript"/>
      <sz val="12"/>
      <name val="Times New Roman"/>
      <family val="1"/>
    </font>
    <font>
      <vertAlign val="subscript"/>
      <sz val="12"/>
      <name val="Times New Roman"/>
      <family val="1"/>
    </font>
    <font>
      <sz val="6"/>
      <name val="Times New Roman"/>
      <family val="1"/>
    </font>
    <font>
      <sz val="10"/>
      <name val="Times New Roman"/>
      <family val="1"/>
    </font>
    <font>
      <i/>
      <sz val="12"/>
      <name val="Symbol"/>
      <family val="1"/>
      <charset val="2"/>
    </font>
    <font>
      <b/>
      <sz val="12"/>
      <name val="Times New Roman"/>
      <family val="1"/>
    </font>
    <font>
      <b/>
      <sz val="11"/>
      <name val="Times New Roman"/>
      <family val="1"/>
    </font>
    <font>
      <i/>
      <sz val="11"/>
      <name val="Times New Roman"/>
      <family val="1"/>
    </font>
    <font>
      <vertAlign val="subscript"/>
      <sz val="11"/>
      <name val="Times New Roman"/>
      <family val="1"/>
    </font>
    <font>
      <i/>
      <vertAlign val="subscript"/>
      <sz val="11"/>
      <name val="Times New Roman"/>
      <family val="1"/>
    </font>
    <font>
      <sz val="12"/>
      <name val="System"/>
      <family val="2"/>
      <charset val="134"/>
    </font>
    <font>
      <sz val="10.5"/>
      <name val="Times New Roman"/>
      <family val="1"/>
    </font>
    <font>
      <sz val="10.5"/>
      <name val="宋体"/>
      <family val="3"/>
      <charset val="134"/>
    </font>
    <font>
      <i/>
      <sz val="10.5"/>
      <name val="Bookman Old Style"/>
      <family val="1"/>
    </font>
    <font>
      <sz val="12"/>
      <name val="Symbol"/>
      <family val="1"/>
      <charset val="2"/>
    </font>
    <font>
      <sz val="8"/>
      <name val="宋体"/>
      <family val="3"/>
      <charset val="134"/>
    </font>
    <font>
      <b/>
      <sz val="10"/>
      <name val="Times New Roman"/>
      <family val="1"/>
    </font>
    <font>
      <b/>
      <vertAlign val="subscript"/>
      <sz val="10"/>
      <name val="Times New Roman"/>
      <family val="1"/>
    </font>
    <font>
      <sz val="22"/>
      <name val="黑体"/>
      <family val="3"/>
      <charset val="134"/>
    </font>
    <font>
      <sz val="14"/>
      <name val="黑体"/>
      <family val="3"/>
      <charset val="134"/>
    </font>
    <font>
      <sz val="12"/>
      <name val="宋体"/>
      <family val="3"/>
      <charset val="134"/>
    </font>
    <font>
      <b/>
      <sz val="12"/>
      <name val="宋体"/>
      <family val="3"/>
      <charset val="134"/>
    </font>
    <font>
      <b/>
      <sz val="12"/>
      <color indexed="10"/>
      <name val="宋体"/>
      <family val="3"/>
      <charset val="134"/>
    </font>
    <font>
      <sz val="12"/>
      <name val="宋体"/>
      <family val="3"/>
      <charset val="134"/>
    </font>
    <font>
      <b/>
      <sz val="12"/>
      <color indexed="8"/>
      <name val="宋体"/>
      <family val="3"/>
      <charset val="134"/>
    </font>
    <font>
      <sz val="12"/>
      <name val="宋体"/>
      <family val="3"/>
      <charset val="134"/>
    </font>
    <font>
      <sz val="11"/>
      <name val="宋体"/>
      <family val="3"/>
      <charset val="134"/>
    </font>
    <font>
      <sz val="9"/>
      <name val="宋体"/>
      <family val="3"/>
      <charset val="134"/>
    </font>
    <font>
      <sz val="10"/>
      <name val="宋体"/>
      <family val="3"/>
      <charset val="134"/>
    </font>
    <font>
      <sz val="6"/>
      <name val="宋体"/>
      <family val="3"/>
      <charset val="134"/>
    </font>
    <font>
      <sz val="11"/>
      <color indexed="9"/>
      <name val="宋体"/>
      <family val="3"/>
      <charset val="134"/>
    </font>
    <font>
      <b/>
      <sz val="11"/>
      <name val="宋体"/>
      <family val="3"/>
      <charset val="134"/>
    </font>
    <font>
      <vertAlign val="subscript"/>
      <sz val="11"/>
      <name val="宋体"/>
      <family val="3"/>
      <charset val="134"/>
    </font>
    <font>
      <i/>
      <sz val="11"/>
      <name val="宋体"/>
      <family val="3"/>
      <charset val="134"/>
    </font>
    <font>
      <sz val="12"/>
      <name val="宋体"/>
      <family val="3"/>
      <charset val="134"/>
    </font>
    <font>
      <sz val="9"/>
      <name val="宋体"/>
      <family val="3"/>
      <charset val="134"/>
    </font>
    <font>
      <i/>
      <sz val="12"/>
      <name val="宋体"/>
      <family val="3"/>
      <charset val="134"/>
    </font>
    <font>
      <sz val="11"/>
      <name val="宋体"/>
      <family val="3"/>
      <charset val="134"/>
    </font>
    <font>
      <sz val="10.5"/>
      <name val="宋体"/>
      <family val="3"/>
      <charset val="134"/>
    </font>
    <font>
      <sz val="9"/>
      <name val="Arial"/>
      <family val="2"/>
    </font>
    <font>
      <sz val="9"/>
      <name val="Times New Roman"/>
      <family val="1"/>
    </font>
    <font>
      <vertAlign val="subscript"/>
      <sz val="9"/>
      <name val="Times New Roman"/>
      <family val="1"/>
    </font>
    <font>
      <i/>
      <sz val="9"/>
      <name val="Times New Roman"/>
      <family val="1"/>
    </font>
    <font>
      <i/>
      <sz val="12"/>
      <color indexed="8"/>
      <name val="宋体"/>
      <family val="3"/>
      <charset val="134"/>
    </font>
    <font>
      <sz val="11"/>
      <color indexed="8"/>
      <name val="Times New Roman"/>
      <family val="1"/>
    </font>
    <font>
      <sz val="12"/>
      <color indexed="8"/>
      <name val="宋体"/>
      <family val="3"/>
      <charset val="134"/>
    </font>
    <font>
      <sz val="12"/>
      <name val="宋体"/>
      <family val="3"/>
      <charset val="134"/>
    </font>
    <font>
      <sz val="10"/>
      <color indexed="8"/>
      <name val="宋体"/>
      <family val="3"/>
      <charset val="134"/>
    </font>
    <font>
      <sz val="12"/>
      <name val="宋体"/>
      <family val="3"/>
      <charset val="134"/>
    </font>
    <font>
      <sz val="10.5"/>
      <name val="宋体"/>
      <family val="3"/>
      <charset val="134"/>
    </font>
    <font>
      <sz val="9"/>
      <name val="宋体"/>
      <family val="3"/>
      <charset val="134"/>
    </font>
    <font>
      <sz val="12"/>
      <color indexed="8"/>
      <name val="Times New Roman"/>
      <family val="1"/>
    </font>
    <font>
      <sz val="12"/>
      <name val="宋体"/>
      <family val="3"/>
      <charset val="134"/>
    </font>
    <font>
      <sz val="9"/>
      <name val="宋体"/>
      <family val="3"/>
      <charset val="134"/>
    </font>
    <font>
      <b/>
      <sz val="10.5"/>
      <name val="宋体"/>
      <family val="3"/>
      <charset val="134"/>
    </font>
    <font>
      <b/>
      <sz val="9"/>
      <name val="宋体"/>
      <family val="3"/>
      <charset val="134"/>
    </font>
    <font>
      <sz val="10.5"/>
      <name val="宋体"/>
      <family val="3"/>
      <charset val="134"/>
    </font>
    <font>
      <sz val="9"/>
      <name val="宋体"/>
      <family val="3"/>
      <charset val="134"/>
    </font>
    <font>
      <sz val="12"/>
      <name val="宋体"/>
      <family val="3"/>
      <charset val="134"/>
    </font>
    <font>
      <sz val="10.5"/>
      <name val="宋体"/>
      <family val="3"/>
      <charset val="134"/>
    </font>
    <font>
      <b/>
      <sz val="10.5"/>
      <name val="宋体"/>
      <family val="3"/>
      <charset val="134"/>
    </font>
    <font>
      <b/>
      <sz val="9"/>
      <name val="宋体"/>
      <family val="3"/>
      <charset val="134"/>
    </font>
    <font>
      <sz val="10"/>
      <name val="宋体"/>
      <family val="3"/>
      <charset val="134"/>
    </font>
    <font>
      <vertAlign val="subscript"/>
      <sz val="10"/>
      <name val="宋体"/>
      <family val="3"/>
      <charset val="134"/>
    </font>
    <font>
      <sz val="12"/>
      <name val="宋体"/>
      <family val="3"/>
      <charset val="134"/>
    </font>
    <font>
      <sz val="9"/>
      <name val="宋体"/>
      <family val="3"/>
      <charset val="134"/>
    </font>
    <font>
      <b/>
      <sz val="10.5"/>
      <name val="宋体"/>
      <family val="3"/>
      <charset val="134"/>
    </font>
    <font>
      <b/>
      <sz val="9"/>
      <name val="宋体"/>
      <family val="3"/>
      <charset val="134"/>
    </font>
    <font>
      <sz val="10.5"/>
      <name val="宋体"/>
      <family val="3"/>
      <charset val="134"/>
    </font>
    <font>
      <sz val="8"/>
      <name val="宋体"/>
      <family val="3"/>
      <charset val="134"/>
    </font>
    <font>
      <i/>
      <sz val="12"/>
      <name val="宋体"/>
      <family val="3"/>
      <charset val="134"/>
    </font>
    <font>
      <sz val="10"/>
      <name val="宋体"/>
      <family val="3"/>
      <charset val="134"/>
    </font>
    <font>
      <sz val="11"/>
      <name val="宋体"/>
      <family val="3"/>
      <charset val="134"/>
    </font>
    <font>
      <i/>
      <sz val="11"/>
      <name val="宋体"/>
      <family val="3"/>
      <charset val="134"/>
    </font>
    <font>
      <i/>
      <sz val="12"/>
      <name val="宋体"/>
      <family val="3"/>
      <charset val="134"/>
    </font>
    <font>
      <sz val="12"/>
      <name val="宋体"/>
      <family val="3"/>
      <charset val="134"/>
    </font>
    <font>
      <sz val="9"/>
      <name val="宋体"/>
      <family val="3"/>
      <charset val="134"/>
    </font>
    <font>
      <b/>
      <sz val="12"/>
      <name val="宋体"/>
      <family val="3"/>
      <charset val="134"/>
    </font>
    <font>
      <sz val="12"/>
      <name val="宋体"/>
      <family val="3"/>
      <charset val="134"/>
    </font>
    <font>
      <b/>
      <sz val="9"/>
      <name val="宋体"/>
      <family val="3"/>
      <charset val="134"/>
    </font>
    <font>
      <sz val="12"/>
      <name val="宋体"/>
      <family val="3"/>
      <charset val="134"/>
    </font>
    <font>
      <b/>
      <sz val="12"/>
      <name val="宋体"/>
      <family val="3"/>
      <charset val="134"/>
    </font>
    <font>
      <sz val="9"/>
      <name val="宋体"/>
      <family val="3"/>
      <charset val="134"/>
    </font>
    <font>
      <sz val="12"/>
      <color indexed="8"/>
      <name val="宋体"/>
      <family val="3"/>
      <charset val="134"/>
    </font>
    <font>
      <sz val="9"/>
      <color indexed="10"/>
      <name val="宋体"/>
      <family val="3"/>
      <charset val="134"/>
    </font>
    <font>
      <sz val="12"/>
      <color indexed="10"/>
      <name val="宋体"/>
      <family val="3"/>
      <charset val="134"/>
    </font>
    <font>
      <sz val="12"/>
      <name val="宋体"/>
      <family val="3"/>
      <charset val="134"/>
    </font>
    <font>
      <sz val="12"/>
      <color indexed="10"/>
      <name val="宋体"/>
      <family val="3"/>
      <charset val="134"/>
    </font>
    <font>
      <sz val="11"/>
      <name val="宋体"/>
      <family val="3"/>
      <charset val="134"/>
    </font>
    <font>
      <sz val="9"/>
      <name val="宋体"/>
      <family val="3"/>
      <charset val="134"/>
    </font>
    <font>
      <sz val="10"/>
      <color indexed="10"/>
      <name val="宋体"/>
      <family val="3"/>
      <charset val="134"/>
    </font>
    <font>
      <sz val="10"/>
      <name val="宋体"/>
      <family val="3"/>
      <charset val="134"/>
    </font>
    <font>
      <b/>
      <sz val="9"/>
      <name val="宋体"/>
      <family val="3"/>
      <charset val="134"/>
    </font>
    <font>
      <sz val="12"/>
      <name val="宋体"/>
      <family val="3"/>
      <charset val="134"/>
    </font>
    <font>
      <sz val="9"/>
      <name val="宋体"/>
      <family val="3"/>
      <charset val="134"/>
    </font>
    <font>
      <sz val="10.5"/>
      <name val="宋体"/>
      <family val="3"/>
      <charset val="134"/>
    </font>
    <font>
      <sz val="8"/>
      <name val="宋体"/>
      <family val="3"/>
      <charset val="134"/>
    </font>
    <font>
      <u/>
      <sz val="9"/>
      <name val="Arial"/>
      <family val="2"/>
    </font>
    <font>
      <u/>
      <sz val="9"/>
      <name val="宋体"/>
      <family val="3"/>
      <charset val="134"/>
    </font>
    <font>
      <sz val="9"/>
      <name val="宋体"/>
      <family val="3"/>
      <charset val="134"/>
    </font>
    <font>
      <sz val="12"/>
      <name val="宋体"/>
      <family val="3"/>
      <charset val="134"/>
    </font>
    <font>
      <vertAlign val="subscript"/>
      <sz val="12"/>
      <name val="宋体"/>
      <family val="3"/>
      <charset val="134"/>
    </font>
    <font>
      <b/>
      <sz val="12"/>
      <name val="宋体"/>
      <family val="3"/>
      <charset val="134"/>
    </font>
    <font>
      <sz val="11"/>
      <name val="宋体"/>
      <family val="3"/>
      <charset val="134"/>
    </font>
    <font>
      <i/>
      <sz val="12"/>
      <name val="宋体"/>
      <family val="3"/>
      <charset val="134"/>
    </font>
    <font>
      <sz val="11"/>
      <color indexed="8"/>
      <name val="宋体"/>
      <family val="3"/>
      <charset val="134"/>
    </font>
    <font>
      <sz val="11"/>
      <color indexed="9"/>
      <name val="宋体"/>
      <family val="3"/>
      <charset val="134"/>
    </font>
    <font>
      <sz val="12"/>
      <color indexed="8"/>
      <name val="宋体"/>
      <family val="3"/>
      <charset val="134"/>
    </font>
    <font>
      <sz val="10"/>
      <name val="宋体"/>
      <family val="3"/>
      <charset val="134"/>
    </font>
    <font>
      <sz val="10"/>
      <color indexed="8"/>
      <name val="宋体"/>
      <family val="3"/>
      <charset val="134"/>
    </font>
    <font>
      <sz val="12"/>
      <color indexed="10"/>
      <name val="宋体"/>
      <family val="3"/>
      <charset val="134"/>
    </font>
    <font>
      <sz val="12"/>
      <color indexed="9"/>
      <name val="宋体"/>
      <family val="3"/>
      <charset val="134"/>
    </font>
    <font>
      <i/>
      <sz val="11"/>
      <name val="宋体"/>
      <family val="3"/>
      <charset val="134"/>
    </font>
    <font>
      <sz val="12"/>
      <color indexed="9"/>
      <name val="宋体"/>
      <family val="3"/>
      <charset val="134"/>
    </font>
    <font>
      <vertAlign val="subscript"/>
      <sz val="11"/>
      <name val="宋体"/>
      <family val="3"/>
      <charset val="134"/>
    </font>
    <font>
      <sz val="18"/>
      <color indexed="10"/>
      <name val="宋体"/>
      <family val="3"/>
      <charset val="134"/>
    </font>
    <font>
      <sz val="16"/>
      <color indexed="10"/>
      <name val="宋体"/>
      <family val="3"/>
      <charset val="134"/>
    </font>
    <font>
      <vertAlign val="subscript"/>
      <sz val="9"/>
      <color indexed="81"/>
      <name val="宋体"/>
      <family val="3"/>
      <charset val="134"/>
    </font>
    <font>
      <i/>
      <sz val="10"/>
      <name val="宋体"/>
      <family val="3"/>
      <charset val="134"/>
    </font>
    <font>
      <i/>
      <vertAlign val="subscript"/>
      <sz val="10"/>
      <name val="宋体"/>
      <family val="3"/>
      <charset val="134"/>
    </font>
    <font>
      <sz val="20"/>
      <color indexed="10"/>
      <name val="宋体"/>
      <family val="3"/>
      <charset val="134"/>
    </font>
    <font>
      <sz val="8"/>
      <name val="宋体"/>
      <family val="3"/>
      <charset val="134"/>
    </font>
    <font>
      <i/>
      <sz val="9"/>
      <name val="宋体"/>
      <family val="3"/>
      <charset val="134"/>
    </font>
    <font>
      <vertAlign val="superscript"/>
      <sz val="9"/>
      <color indexed="81"/>
      <name val="宋体"/>
      <family val="3"/>
      <charset val="134"/>
    </font>
    <font>
      <sz val="12"/>
      <color indexed="56"/>
      <name val="宋体"/>
      <family val="3"/>
      <charset val="134"/>
    </font>
    <font>
      <sz val="9"/>
      <color indexed="10"/>
      <name val="宋体"/>
      <family val="3"/>
      <charset val="134"/>
    </font>
    <font>
      <u/>
      <sz val="12"/>
      <name val="宋体"/>
      <family val="3"/>
      <charset val="134"/>
    </font>
    <font>
      <sz val="10.5"/>
      <name val="宋体"/>
      <family val="3"/>
      <charset val="134"/>
    </font>
    <font>
      <vertAlign val="subscript"/>
      <sz val="9"/>
      <name val="宋体"/>
      <family val="3"/>
      <charset val="134"/>
    </font>
    <font>
      <b/>
      <sz val="16"/>
      <name val="宋体"/>
      <family val="3"/>
      <charset val="134"/>
    </font>
    <font>
      <sz val="14"/>
      <color indexed="10"/>
      <name val="宋体"/>
      <family val="3"/>
      <charset val="134"/>
    </font>
    <font>
      <sz val="12"/>
      <name val="宋体"/>
      <family val="3"/>
      <charset val="134"/>
    </font>
    <font>
      <sz val="12"/>
      <name val="宋体"/>
      <family val="3"/>
      <charset val="134"/>
    </font>
    <font>
      <sz val="11"/>
      <name val="宋体"/>
      <family val="3"/>
      <charset val="134"/>
    </font>
    <font>
      <i/>
      <sz val="12"/>
      <name val="宋体"/>
      <family val="3"/>
      <charset val="134"/>
    </font>
    <font>
      <sz val="9"/>
      <name val="宋体"/>
      <family val="3"/>
      <charset val="134"/>
    </font>
    <font>
      <sz val="12"/>
      <color indexed="10"/>
      <name val="宋体"/>
      <family val="3"/>
      <charset val="134"/>
    </font>
    <font>
      <sz val="9"/>
      <color indexed="10"/>
      <name val="宋体"/>
      <family val="3"/>
      <charset val="134"/>
    </font>
    <font>
      <sz val="12"/>
      <color indexed="8"/>
      <name val="宋体"/>
      <family val="3"/>
      <charset val="134"/>
    </font>
    <font>
      <i/>
      <sz val="12"/>
      <color indexed="10"/>
      <name val="宋体"/>
      <family val="3"/>
      <charset val="134"/>
    </font>
    <font>
      <i/>
      <sz val="9"/>
      <color indexed="81"/>
      <name val="宋体"/>
      <family val="3"/>
      <charset val="134"/>
    </font>
    <font>
      <sz val="12"/>
      <name val="宋体"/>
      <family val="3"/>
      <charset val="134"/>
    </font>
    <font>
      <b/>
      <sz val="12"/>
      <name val="宋体"/>
      <family val="3"/>
      <charset val="134"/>
    </font>
    <font>
      <sz val="12"/>
      <color indexed="10"/>
      <name val="宋体"/>
      <family val="3"/>
      <charset val="134"/>
    </font>
    <font>
      <sz val="9"/>
      <name val="宋体"/>
      <family val="3"/>
      <charset val="134"/>
    </font>
    <font>
      <vertAlign val="subscript"/>
      <sz val="12"/>
      <name val="宋体"/>
      <family val="3"/>
      <charset val="134"/>
    </font>
    <font>
      <sz val="11"/>
      <name val="宋体"/>
      <family val="3"/>
      <charset val="134"/>
    </font>
    <font>
      <sz val="10"/>
      <name val="宋体"/>
      <family val="3"/>
      <charset val="134"/>
    </font>
    <font>
      <sz val="11"/>
      <color indexed="8"/>
      <name val="宋体"/>
      <family val="3"/>
      <charset val="134"/>
    </font>
    <font>
      <sz val="12"/>
      <color indexed="8"/>
      <name val="宋体"/>
      <family val="3"/>
      <charset val="134"/>
    </font>
    <font>
      <i/>
      <sz val="12"/>
      <name val="宋体"/>
      <family val="3"/>
      <charset val="134"/>
    </font>
    <font>
      <b/>
      <sz val="12"/>
      <color indexed="8"/>
      <name val="宋体"/>
      <family val="3"/>
      <charset val="134"/>
    </font>
    <font>
      <b/>
      <sz val="12"/>
      <color indexed="61"/>
      <name val="宋体"/>
      <family val="3"/>
      <charset val="134"/>
    </font>
    <font>
      <sz val="10"/>
      <color indexed="9"/>
      <name val="宋体"/>
      <family val="3"/>
      <charset val="134"/>
    </font>
    <font>
      <sz val="10"/>
      <color indexed="8"/>
      <name val="宋体"/>
      <family val="3"/>
      <charset val="134"/>
    </font>
    <font>
      <sz val="12"/>
      <name val="宋体"/>
      <family val="3"/>
      <charset val="134"/>
    </font>
    <font>
      <sz val="12"/>
      <color indexed="10"/>
      <name val="宋体"/>
      <family val="3"/>
      <charset val="134"/>
    </font>
    <font>
      <b/>
      <sz val="12"/>
      <color indexed="8"/>
      <name val="宋体"/>
      <family val="3"/>
      <charset val="134"/>
    </font>
    <font>
      <sz val="12"/>
      <name val="宋体"/>
      <family val="3"/>
      <charset val="134"/>
    </font>
    <font>
      <sz val="11"/>
      <name val="宋体"/>
      <family val="3"/>
      <charset val="134"/>
    </font>
    <font>
      <sz val="10"/>
      <name val="宋体"/>
      <family val="3"/>
      <charset val="134"/>
    </font>
    <font>
      <i/>
      <sz val="12"/>
      <name val="宋体"/>
      <family val="3"/>
      <charset val="134"/>
    </font>
    <font>
      <sz val="9"/>
      <name val="宋体"/>
      <family val="3"/>
      <charset val="134"/>
    </font>
    <font>
      <sz val="12"/>
      <color indexed="10"/>
      <name val="Times New Roman"/>
      <family val="1"/>
    </font>
    <font>
      <sz val="9"/>
      <color indexed="81"/>
      <name val="Tahoma"/>
      <family val="2"/>
    </font>
    <font>
      <sz val="9"/>
      <name val="宋体"/>
      <family val="3"/>
      <charset val="134"/>
    </font>
    <font>
      <i/>
      <sz val="11"/>
      <color indexed="8"/>
      <name val="宋体"/>
      <family val="3"/>
      <charset val="134"/>
    </font>
    <font>
      <vertAlign val="subscript"/>
      <sz val="11"/>
      <color indexed="8"/>
      <name val="宋体"/>
      <family val="3"/>
      <charset val="134"/>
    </font>
    <font>
      <sz val="9"/>
      <name val="宋体"/>
      <family val="3"/>
      <charset val="134"/>
    </font>
    <font>
      <sz val="9"/>
      <color indexed="56"/>
      <name val="仿宋_GB2312"/>
      <family val="3"/>
      <charset val="134"/>
    </font>
    <font>
      <sz val="12"/>
      <name val="宋体"/>
      <family val="3"/>
      <charset val="134"/>
    </font>
    <font>
      <sz val="11"/>
      <name val="宋体"/>
      <family val="3"/>
      <charset val="134"/>
    </font>
    <font>
      <sz val="8"/>
      <name val="宋体"/>
      <family val="3"/>
      <charset val="134"/>
    </font>
    <font>
      <u/>
      <sz val="8"/>
      <name val="宋体"/>
      <family val="3"/>
      <charset val="134"/>
    </font>
    <font>
      <sz val="9"/>
      <name val="宋体"/>
      <family val="3"/>
      <charset val="134"/>
    </font>
    <font>
      <sz val="12"/>
      <name val="宋体"/>
      <family val="3"/>
      <charset val="134"/>
    </font>
    <font>
      <sz val="11"/>
      <name val="宋体"/>
      <family val="3"/>
      <charset val="134"/>
    </font>
    <font>
      <sz val="12"/>
      <name val="华文中宋"/>
      <family val="3"/>
      <charset val="134"/>
    </font>
    <font>
      <i/>
      <vertAlign val="subscript"/>
      <sz val="12"/>
      <color indexed="10"/>
      <name val="Times New Roman"/>
      <family val="1"/>
    </font>
    <font>
      <vertAlign val="subscript"/>
      <sz val="12"/>
      <color indexed="10"/>
      <name val="Times New Roman"/>
      <family val="1"/>
    </font>
    <font>
      <sz val="6"/>
      <color indexed="10"/>
      <name val="Times New Roman"/>
      <family val="1"/>
    </font>
    <font>
      <sz val="12"/>
      <name val="宋体"/>
      <family val="3"/>
      <charset val="134"/>
    </font>
    <font>
      <sz val="9"/>
      <name val="宋体"/>
      <family val="3"/>
      <charset val="134"/>
    </font>
    <font>
      <strike/>
      <sz val="12"/>
      <name val="宋体"/>
      <family val="3"/>
      <charset val="134"/>
    </font>
    <font>
      <sz val="12"/>
      <name val="宋体"/>
      <family val="3"/>
      <charset val="134"/>
    </font>
    <font>
      <u/>
      <sz val="12"/>
      <color theme="10"/>
      <name val="宋体"/>
      <family val="3"/>
      <charset val="134"/>
    </font>
    <font>
      <sz val="9"/>
      <name val="宋体"/>
      <family val="3"/>
      <charset val="134"/>
    </font>
    <font>
      <u/>
      <sz val="9"/>
      <color indexed="30"/>
      <name val="宋体"/>
      <family val="3"/>
      <charset val="134"/>
    </font>
    <font>
      <u/>
      <sz val="9"/>
      <color indexed="12"/>
      <name val="宋体"/>
      <family val="3"/>
      <charset val="134"/>
    </font>
    <font>
      <sz val="9"/>
      <color indexed="8"/>
      <name val="宋体"/>
      <family val="3"/>
      <charset val="134"/>
    </font>
    <font>
      <vertAlign val="superscript"/>
      <sz val="9"/>
      <name val="宋体"/>
      <family val="3"/>
      <charset val="134"/>
    </font>
    <font>
      <strike/>
      <sz val="9"/>
      <name val="宋体"/>
      <family val="3"/>
      <charset val="134"/>
    </font>
    <font>
      <u/>
      <sz val="9"/>
      <name val="宋体"/>
      <family val="3"/>
      <charset val="134"/>
    </font>
    <font>
      <sz val="12"/>
      <name val="宋体"/>
      <family val="3"/>
      <charset val="134"/>
    </font>
    <font>
      <sz val="9"/>
      <color rgb="FFFF0000"/>
      <name val="宋体"/>
      <family val="3"/>
      <charset val="134"/>
    </font>
    <font>
      <vertAlign val="superscript"/>
      <sz val="11"/>
      <name val="宋体"/>
      <family val="3"/>
      <charset val="134"/>
    </font>
  </fonts>
  <fills count="24">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indexed="29"/>
        <bgColor indexed="64"/>
      </patternFill>
    </fill>
    <fill>
      <patternFill patternType="solid">
        <fgColor indexed="44"/>
        <bgColor indexed="64"/>
      </patternFill>
    </fill>
    <fill>
      <patternFill patternType="solid">
        <fgColor indexed="13"/>
        <bgColor indexed="64"/>
      </patternFill>
    </fill>
    <fill>
      <patternFill patternType="solid">
        <fgColor indexed="11"/>
        <bgColor indexed="64"/>
      </patternFill>
    </fill>
    <fill>
      <patternFill patternType="solid">
        <fgColor indexed="51"/>
        <bgColor indexed="64"/>
      </patternFill>
    </fill>
    <fill>
      <patternFill patternType="solid">
        <fgColor indexed="10"/>
        <bgColor indexed="64"/>
      </patternFill>
    </fill>
    <fill>
      <patternFill patternType="solid">
        <fgColor indexed="43"/>
        <bgColor indexed="64"/>
      </patternFill>
    </fill>
    <fill>
      <patternFill patternType="solid">
        <fgColor indexed="31"/>
        <bgColor indexed="64"/>
      </patternFill>
    </fill>
    <fill>
      <patternFill patternType="solid">
        <fgColor indexed="49"/>
        <bgColor indexed="64"/>
      </patternFill>
    </fill>
    <fill>
      <patternFill patternType="solid">
        <fgColor indexed="55"/>
        <bgColor indexed="64"/>
      </patternFill>
    </fill>
    <fill>
      <patternFill patternType="solid">
        <fgColor indexed="17"/>
        <bgColor indexed="64"/>
      </patternFill>
    </fill>
    <fill>
      <patternFill patternType="solid">
        <fgColor indexed="53"/>
        <bgColor indexed="64"/>
      </patternFill>
    </fill>
    <fill>
      <patternFill patternType="solid">
        <fgColor indexed="50"/>
        <bgColor indexed="64"/>
      </patternFill>
    </fill>
    <fill>
      <patternFill patternType="solid">
        <fgColor indexed="57"/>
        <bgColor indexed="64"/>
      </patternFill>
    </fill>
    <fill>
      <patternFill patternType="solid">
        <fgColor indexed="45"/>
        <bgColor indexed="64"/>
      </patternFill>
    </fill>
    <fill>
      <patternFill patternType="solid">
        <fgColor indexed="52"/>
        <bgColor indexed="64"/>
      </patternFill>
    </fill>
    <fill>
      <patternFill patternType="solid">
        <fgColor indexed="40"/>
        <bgColor indexed="64"/>
      </patternFill>
    </fill>
    <fill>
      <patternFill patternType="solid">
        <fgColor indexed="60"/>
        <bgColor indexed="64"/>
      </patternFill>
    </fill>
    <fill>
      <patternFill patternType="solid">
        <fgColor indexed="46"/>
        <bgColor indexed="64"/>
      </patternFill>
    </fill>
    <fill>
      <patternFill patternType="solid">
        <fgColor theme="0" tint="-0.499984740745262"/>
        <bgColor indexed="64"/>
      </patternFill>
    </fill>
  </fills>
  <borders count="3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indexed="64"/>
      </top>
      <bottom/>
      <diagonal/>
    </border>
    <border>
      <left/>
      <right/>
      <top/>
      <bottom style="medium">
        <color indexed="64"/>
      </bottom>
      <diagonal/>
    </border>
    <border>
      <left/>
      <right style="thin">
        <color indexed="64"/>
      </right>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diagonal/>
    </border>
    <border diagonalDown="1">
      <left style="thin">
        <color indexed="64"/>
      </left>
      <right/>
      <top/>
      <bottom/>
      <diagonal style="thin">
        <color indexed="64"/>
      </diagonal>
    </border>
    <border diagonalDown="1">
      <left/>
      <right/>
      <top/>
      <bottom/>
      <diagonal style="thin">
        <color indexed="64"/>
      </diagonal>
    </border>
    <border diagonalDown="1">
      <left/>
      <right style="thin">
        <color indexed="64"/>
      </right>
      <top/>
      <bottom/>
      <diagonal style="thin">
        <color indexed="64"/>
      </diagonal>
    </border>
    <border diagonalDown="1">
      <left style="thin">
        <color indexed="64"/>
      </left>
      <right/>
      <top/>
      <bottom style="thin">
        <color indexed="64"/>
      </bottom>
      <diagonal style="thin">
        <color indexed="64"/>
      </diagonal>
    </border>
    <border diagonalDown="1">
      <left/>
      <right/>
      <top/>
      <bottom style="thin">
        <color indexed="64"/>
      </bottom>
      <diagonal style="thin">
        <color indexed="64"/>
      </diagonal>
    </border>
    <border diagonalDown="1">
      <left/>
      <right style="thin">
        <color indexed="64"/>
      </right>
      <top/>
      <bottom style="thin">
        <color indexed="64"/>
      </bottom>
      <diagonal style="thin">
        <color indexed="64"/>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s>
  <cellStyleXfs count="26">
    <xf numFmtId="0" fontId="0" fillId="0" borderId="0">
      <alignment vertical="center"/>
    </xf>
    <xf numFmtId="0" fontId="24" fillId="0" borderId="0">
      <alignment vertical="center"/>
    </xf>
    <xf numFmtId="0" fontId="1" fillId="0" borderId="0">
      <alignment vertical="center"/>
    </xf>
    <xf numFmtId="0" fontId="183" fillId="0" borderId="0">
      <alignment vertical="center"/>
    </xf>
    <xf numFmtId="0" fontId="183" fillId="0" borderId="0">
      <alignment vertical="center"/>
    </xf>
    <xf numFmtId="0" fontId="32" fillId="0" borderId="0">
      <alignment vertical="center"/>
    </xf>
    <xf numFmtId="0" fontId="1" fillId="0" borderId="0">
      <alignment vertical="center"/>
    </xf>
    <xf numFmtId="0" fontId="183" fillId="0" borderId="0">
      <alignment vertical="center"/>
    </xf>
    <xf numFmtId="0" fontId="183" fillId="0" borderId="0">
      <alignment vertical="center"/>
    </xf>
    <xf numFmtId="0" fontId="1" fillId="0" borderId="0">
      <alignment vertical="center"/>
    </xf>
    <xf numFmtId="0" fontId="183" fillId="0" borderId="0">
      <alignment vertical="center"/>
    </xf>
    <xf numFmtId="0" fontId="67" fillId="0" borderId="0">
      <alignment vertical="center"/>
    </xf>
    <xf numFmtId="0" fontId="183" fillId="0" borderId="0">
      <alignment vertical="center"/>
    </xf>
    <xf numFmtId="0" fontId="183" fillId="0" borderId="0">
      <alignment vertical="center"/>
    </xf>
    <xf numFmtId="0" fontId="212" fillId="0" borderId="0">
      <alignment vertical="center"/>
    </xf>
    <xf numFmtId="0" fontId="217" fillId="0" borderId="0">
      <alignment vertical="center"/>
    </xf>
    <xf numFmtId="0" fontId="52" fillId="0" borderId="0"/>
    <xf numFmtId="0" fontId="24" fillId="0" borderId="0">
      <alignment vertical="center"/>
    </xf>
    <xf numFmtId="0" fontId="1" fillId="0" borderId="0" applyBorder="0"/>
    <xf numFmtId="0" fontId="212" fillId="0" borderId="0" applyBorder="0"/>
    <xf numFmtId="0" fontId="227" fillId="0" borderId="0" applyNumberFormat="0" applyFill="0" applyBorder="0" applyAlignment="0" applyProtection="0">
      <alignment vertical="center"/>
    </xf>
    <xf numFmtId="0" fontId="227" fillId="0" borderId="0" applyNumberFormat="0" applyFill="0" applyBorder="0" applyAlignment="0" applyProtection="0">
      <alignment vertical="center"/>
    </xf>
    <xf numFmtId="44" fontId="1" fillId="0" borderId="0" applyFont="0" applyFill="0" applyBorder="0" applyAlignment="0" applyProtection="0">
      <alignment vertical="center"/>
    </xf>
    <xf numFmtId="44" fontId="183" fillId="0" borderId="0" applyFont="0" applyFill="0" applyBorder="0" applyAlignment="0" applyProtection="0">
      <alignment vertical="center"/>
    </xf>
    <xf numFmtId="44" fontId="212" fillId="0" borderId="0" applyFont="0" applyFill="0" applyBorder="0" applyAlignment="0" applyProtection="0">
      <alignment vertical="center"/>
    </xf>
    <xf numFmtId="44" fontId="217" fillId="0" borderId="0" applyFont="0" applyFill="0" applyBorder="0" applyAlignment="0" applyProtection="0">
      <alignment vertical="center"/>
    </xf>
  </cellStyleXfs>
  <cellXfs count="3998">
    <xf numFmtId="0" fontId="0" fillId="0" borderId="0" xfId="0">
      <alignment vertical="center"/>
    </xf>
    <xf numFmtId="0" fontId="1" fillId="0" borderId="1" xfId="0" applyFont="1" applyBorder="1">
      <alignment vertical="center"/>
    </xf>
    <xf numFmtId="0" fontId="0" fillId="0" borderId="1" xfId="0" applyBorder="1">
      <alignment vertical="center"/>
    </xf>
    <xf numFmtId="0" fontId="0" fillId="0" borderId="1" xfId="0" applyFont="1" applyBorder="1">
      <alignment vertical="center"/>
    </xf>
    <xf numFmtId="0" fontId="0" fillId="2" borderId="0" xfId="0" applyFill="1">
      <alignment vertical="center"/>
    </xf>
    <xf numFmtId="0" fontId="6" fillId="0" borderId="1" xfId="0" applyFont="1" applyBorder="1">
      <alignment vertical="center"/>
    </xf>
    <xf numFmtId="0" fontId="0" fillId="0" borderId="1" xfId="0" applyBorder="1" applyAlignment="1">
      <alignment horizontal="center" vertical="center"/>
    </xf>
    <xf numFmtId="0" fontId="0" fillId="0" borderId="1" xfId="0" applyFont="1" applyBorder="1" applyAlignment="1">
      <alignment horizontal="center" vertical="center"/>
    </xf>
    <xf numFmtId="0" fontId="0" fillId="0" borderId="0" xfId="0" applyBorder="1" applyAlignment="1">
      <alignment horizontal="center" vertical="center"/>
    </xf>
    <xf numFmtId="0" fontId="0" fillId="0" borderId="0" xfId="0" applyBorder="1" applyAlignment="1">
      <alignment vertical="center"/>
    </xf>
    <xf numFmtId="0" fontId="0" fillId="3" borderId="1" xfId="0" applyFont="1" applyFill="1" applyBorder="1" applyAlignment="1">
      <alignment horizontal="center" vertical="center"/>
    </xf>
    <xf numFmtId="0" fontId="1" fillId="3" borderId="1" xfId="0" applyFont="1" applyFill="1" applyBorder="1">
      <alignment vertical="center"/>
    </xf>
    <xf numFmtId="0" fontId="0" fillId="0" borderId="2" xfId="0" applyBorder="1" applyAlignment="1"/>
    <xf numFmtId="0" fontId="0" fillId="0" borderId="0" xfId="0" applyAlignment="1"/>
    <xf numFmtId="0" fontId="0" fillId="0" borderId="3" xfId="0" applyBorder="1" applyAlignment="1">
      <alignment vertical="center"/>
    </xf>
    <xf numFmtId="0" fontId="15" fillId="0" borderId="0" xfId="0" applyFont="1">
      <alignment vertical="center"/>
    </xf>
    <xf numFmtId="0" fontId="14" fillId="0" borderId="0" xfId="0" applyFont="1">
      <alignment vertical="center"/>
    </xf>
    <xf numFmtId="0" fontId="14" fillId="0" borderId="2" xfId="0" applyFont="1" applyBorder="1" applyAlignment="1"/>
    <xf numFmtId="0" fontId="0" fillId="0" borderId="2" xfId="0" applyBorder="1" applyAlignment="1">
      <alignment horizontal="center" vertical="center"/>
    </xf>
    <xf numFmtId="0" fontId="0" fillId="0" borderId="4" xfId="0" applyBorder="1" applyAlignment="1">
      <alignment vertical="center"/>
    </xf>
    <xf numFmtId="0" fontId="0" fillId="0" borderId="3" xfId="0" applyBorder="1" applyAlignment="1"/>
    <xf numFmtId="0" fontId="16" fillId="0" borderId="0" xfId="0" applyFont="1" applyBorder="1" applyAlignment="1">
      <alignment horizontal="center" vertical="center"/>
    </xf>
    <xf numFmtId="181" fontId="0" fillId="0" borderId="2" xfId="0" applyNumberFormat="1" applyBorder="1" applyAlignment="1">
      <alignment horizontal="center"/>
    </xf>
    <xf numFmtId="177" fontId="0" fillId="0" borderId="0" xfId="0" applyNumberFormat="1" applyBorder="1" applyAlignment="1" applyProtection="1">
      <alignment horizontal="left" vertical="center"/>
      <protection hidden="1"/>
    </xf>
    <xf numFmtId="177" fontId="0" fillId="0" borderId="0" xfId="0" applyNumberFormat="1" applyBorder="1" applyAlignment="1" applyProtection="1">
      <alignment horizontal="left" vertical="center" readingOrder="1"/>
      <protection hidden="1"/>
    </xf>
    <xf numFmtId="0" fontId="0" fillId="0" borderId="0" xfId="0" applyBorder="1" applyAlignment="1">
      <alignment horizontal="right" vertical="center"/>
    </xf>
    <xf numFmtId="177" fontId="9" fillId="0" borderId="0" xfId="0" applyNumberFormat="1" applyFont="1" applyBorder="1" applyAlignment="1" applyProtection="1">
      <alignment horizontal="left" vertical="center"/>
      <protection hidden="1"/>
    </xf>
    <xf numFmtId="177" fontId="9" fillId="0" borderId="0" xfId="0" applyNumberFormat="1" applyFont="1" applyBorder="1" applyAlignment="1" applyProtection="1">
      <alignment horizontal="left" vertical="center" readingOrder="1"/>
      <protection hidden="1"/>
    </xf>
    <xf numFmtId="0" fontId="0" fillId="0" borderId="0" xfId="0" applyBorder="1">
      <alignment vertical="center"/>
    </xf>
    <xf numFmtId="0" fontId="0" fillId="0" borderId="0" xfId="0" applyFill="1" applyBorder="1">
      <alignment vertical="center"/>
    </xf>
    <xf numFmtId="0" fontId="18" fillId="0" borderId="1" xfId="0" applyFont="1" applyBorder="1">
      <alignment vertical="center"/>
    </xf>
    <xf numFmtId="0" fontId="19" fillId="0" borderId="1" xfId="0" applyFont="1" applyBorder="1">
      <alignment vertical="center"/>
    </xf>
    <xf numFmtId="0" fontId="19" fillId="0" borderId="0" xfId="0" applyFont="1">
      <alignment vertical="center"/>
    </xf>
    <xf numFmtId="0" fontId="20" fillId="0" borderId="0" xfId="0" applyFont="1">
      <alignment vertical="center"/>
    </xf>
    <xf numFmtId="0" fontId="66" fillId="0" borderId="0" xfId="0" applyFont="1">
      <alignment vertical="center"/>
    </xf>
    <xf numFmtId="0" fontId="0" fillId="4" borderId="1" xfId="0" applyFill="1" applyBorder="1" applyAlignment="1">
      <alignment horizontal="center" vertical="center"/>
    </xf>
    <xf numFmtId="0" fontId="0" fillId="0" borderId="5" xfId="0" applyBorder="1" applyAlignment="1">
      <alignment vertical="center"/>
    </xf>
    <xf numFmtId="0" fontId="0" fillId="0" borderId="4"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vertical="center"/>
    </xf>
    <xf numFmtId="0" fontId="0" fillId="5" borderId="1" xfId="0" applyFill="1" applyBorder="1" applyAlignment="1">
      <alignment horizontal="center" vertical="center"/>
    </xf>
    <xf numFmtId="0" fontId="1" fillId="0" borderId="1" xfId="0" applyFont="1" applyBorder="1" applyAlignment="1">
      <alignment horizontal="center" vertical="center"/>
    </xf>
    <xf numFmtId="183" fontId="0" fillId="5" borderId="4" xfId="0" applyNumberFormat="1" applyFill="1" applyBorder="1" applyAlignment="1">
      <alignment vertical="center"/>
    </xf>
    <xf numFmtId="183" fontId="0" fillId="5" borderId="3" xfId="0" applyNumberFormat="1" applyFill="1" applyBorder="1" applyAlignment="1">
      <alignment horizontal="left" vertical="center"/>
    </xf>
    <xf numFmtId="180" fontId="0" fillId="0" borderId="3" xfId="0" applyNumberFormat="1" applyBorder="1" applyAlignment="1">
      <alignment vertical="center"/>
    </xf>
    <xf numFmtId="186" fontId="0" fillId="0" borderId="6" xfId="0" applyNumberFormat="1" applyBorder="1">
      <alignment vertical="center"/>
    </xf>
    <xf numFmtId="180" fontId="0" fillId="0" borderId="4" xfId="0" applyNumberFormat="1" applyBorder="1" applyAlignment="1">
      <alignment horizontal="right" vertical="center"/>
    </xf>
    <xf numFmtId="186" fontId="0" fillId="0" borderId="6" xfId="0" applyNumberFormat="1" applyBorder="1" applyAlignment="1">
      <alignment vertical="center"/>
    </xf>
    <xf numFmtId="187" fontId="0" fillId="0" borderId="1" xfId="0" applyNumberFormat="1" applyBorder="1" applyAlignment="1">
      <alignment horizontal="center" vertical="center"/>
    </xf>
    <xf numFmtId="178" fontId="0" fillId="0" borderId="3" xfId="0" applyNumberFormat="1" applyBorder="1" applyAlignment="1">
      <alignment vertical="center"/>
    </xf>
    <xf numFmtId="183" fontId="0" fillId="0" borderId="3" xfId="0" applyNumberFormat="1" applyBorder="1" applyAlignment="1">
      <alignment horizontal="left" vertical="center"/>
    </xf>
    <xf numFmtId="178" fontId="0" fillId="0" borderId="4" xfId="0" applyNumberFormat="1" applyBorder="1" applyAlignment="1">
      <alignment horizontal="right" vertical="center"/>
    </xf>
    <xf numFmtId="188" fontId="0" fillId="0" borderId="1" xfId="0" applyNumberFormat="1" applyBorder="1" applyAlignment="1">
      <alignment horizontal="center" vertical="center"/>
    </xf>
    <xf numFmtId="184" fontId="0" fillId="0" borderId="3" xfId="0" applyNumberFormat="1" applyBorder="1" applyAlignment="1">
      <alignment vertical="center"/>
    </xf>
    <xf numFmtId="189" fontId="0" fillId="0" borderId="1" xfId="0" applyNumberFormat="1" applyBorder="1" applyAlignment="1">
      <alignment horizontal="center" vertical="center"/>
    </xf>
    <xf numFmtId="186" fontId="0" fillId="0" borderId="3" xfId="0" applyNumberFormat="1" applyBorder="1" applyAlignment="1">
      <alignment vertical="center"/>
    </xf>
    <xf numFmtId="181" fontId="0" fillId="0" borderId="4" xfId="0" applyNumberFormat="1" applyBorder="1" applyAlignment="1">
      <alignment horizontal="right" vertical="center"/>
    </xf>
    <xf numFmtId="190" fontId="0" fillId="0" borderId="1" xfId="0" applyNumberFormat="1" applyBorder="1" applyAlignment="1">
      <alignment horizontal="center" vertical="center"/>
    </xf>
    <xf numFmtId="0" fontId="1" fillId="6" borderId="1" xfId="0" applyFont="1" applyFill="1" applyBorder="1">
      <alignment vertical="center"/>
    </xf>
    <xf numFmtId="0" fontId="24" fillId="0" borderId="0" xfId="0" applyFont="1">
      <alignment vertical="center"/>
    </xf>
    <xf numFmtId="0" fontId="0" fillId="0" borderId="8" xfId="0" applyFont="1" applyFill="1" applyBorder="1" applyAlignment="1">
      <alignment horizontal="center" vertical="center"/>
    </xf>
    <xf numFmtId="0" fontId="0" fillId="0" borderId="1" xfId="0" applyFont="1" applyFill="1" applyBorder="1" applyAlignment="1">
      <alignment horizontal="center" vertical="center"/>
    </xf>
    <xf numFmtId="180" fontId="0" fillId="5" borderId="3" xfId="0" applyNumberFormat="1" applyFill="1" applyBorder="1" applyAlignment="1">
      <alignment vertical="center"/>
    </xf>
    <xf numFmtId="191" fontId="0" fillId="7" borderId="7" xfId="0" applyNumberFormat="1" applyFill="1" applyBorder="1" applyAlignment="1">
      <alignment horizontal="left" vertical="center"/>
    </xf>
    <xf numFmtId="186" fontId="0" fillId="0" borderId="7" xfId="0" applyNumberFormat="1" applyBorder="1" applyAlignment="1">
      <alignment horizontal="left" vertical="center"/>
    </xf>
    <xf numFmtId="191" fontId="0" fillId="0" borderId="7" xfId="0" applyNumberFormat="1" applyBorder="1" applyAlignment="1">
      <alignment horizontal="left" vertical="center"/>
    </xf>
    <xf numFmtId="193" fontId="0" fillId="0" borderId="1" xfId="0" applyNumberFormat="1" applyBorder="1" applyAlignment="1">
      <alignment horizontal="center" vertical="center"/>
    </xf>
    <xf numFmtId="183" fontId="0" fillId="0" borderId="6" xfId="0" applyNumberFormat="1" applyBorder="1">
      <alignment vertical="center"/>
    </xf>
    <xf numFmtId="194" fontId="0" fillId="0" borderId="1" xfId="0" applyNumberFormat="1" applyBorder="1" applyAlignment="1">
      <alignment horizontal="center" vertical="center"/>
    </xf>
    <xf numFmtId="179" fontId="0" fillId="0" borderId="3" xfId="0" applyNumberFormat="1" applyBorder="1" applyAlignment="1">
      <alignment vertical="center"/>
    </xf>
    <xf numFmtId="195" fontId="0" fillId="0" borderId="1" xfId="0" applyNumberFormat="1" applyBorder="1" applyAlignment="1">
      <alignment horizontal="center" vertical="center"/>
    </xf>
    <xf numFmtId="183" fontId="0" fillId="0" borderId="7" xfId="0" applyNumberFormat="1" applyBorder="1" applyAlignment="1">
      <alignment horizontal="left" vertical="center"/>
    </xf>
    <xf numFmtId="184" fontId="0" fillId="0" borderId="7" xfId="0" applyNumberFormat="1" applyBorder="1" applyAlignment="1">
      <alignment horizontal="left" vertical="center"/>
    </xf>
    <xf numFmtId="196" fontId="0" fillId="0" borderId="1" xfId="0" applyNumberFormat="1" applyBorder="1" applyAlignment="1">
      <alignment horizontal="center" vertical="center"/>
    </xf>
    <xf numFmtId="0" fontId="0" fillId="6" borderId="1" xfId="0" applyFont="1" applyFill="1" applyBorder="1" applyAlignment="1">
      <alignment horizontal="center" vertical="center"/>
    </xf>
    <xf numFmtId="185" fontId="0" fillId="5" borderId="1" xfId="0" applyNumberFormat="1" applyFill="1" applyBorder="1" applyAlignment="1">
      <alignment horizontal="center" vertical="center"/>
    </xf>
    <xf numFmtId="185" fontId="0" fillId="4" borderId="1" xfId="0" applyNumberFormat="1" applyFill="1" applyBorder="1" applyAlignment="1">
      <alignment horizontal="center" vertical="center"/>
    </xf>
    <xf numFmtId="200" fontId="0" fillId="0" borderId="1" xfId="0" applyNumberFormat="1" applyBorder="1" applyAlignment="1">
      <alignment horizontal="center" vertical="center"/>
    </xf>
    <xf numFmtId="201" fontId="0" fillId="0" borderId="1" xfId="0" applyNumberFormat="1" applyBorder="1" applyAlignment="1">
      <alignment horizontal="center" vertical="center"/>
    </xf>
    <xf numFmtId="201" fontId="0" fillId="0" borderId="9" xfId="0" applyNumberFormat="1" applyBorder="1" applyAlignment="1">
      <alignment horizontal="center" vertical="center"/>
    </xf>
    <xf numFmtId="202" fontId="0" fillId="0" borderId="1" xfId="0" applyNumberFormat="1" applyBorder="1" applyAlignment="1">
      <alignment horizontal="center" vertical="center"/>
    </xf>
    <xf numFmtId="179" fontId="0" fillId="4" borderId="4" xfId="0" applyNumberFormat="1" applyFill="1" applyBorder="1" applyAlignment="1">
      <alignment vertical="center"/>
    </xf>
    <xf numFmtId="186" fontId="0" fillId="0" borderId="3" xfId="0" applyNumberFormat="1" applyBorder="1" applyAlignment="1">
      <alignment horizontal="left" vertical="center"/>
    </xf>
    <xf numFmtId="186" fontId="0" fillId="0" borderId="7" xfId="0" applyNumberFormat="1" applyBorder="1" applyAlignment="1">
      <alignment vertical="center"/>
    </xf>
    <xf numFmtId="183" fontId="0" fillId="0" borderId="7" xfId="0" applyNumberFormat="1" applyBorder="1" applyAlignment="1">
      <alignment vertical="center"/>
    </xf>
    <xf numFmtId="184" fontId="0" fillId="0" borderId="3" xfId="0" applyNumberFormat="1" applyBorder="1" applyAlignment="1">
      <alignment horizontal="left" vertical="center"/>
    </xf>
    <xf numFmtId="191" fontId="0" fillId="5" borderId="4" xfId="0" applyNumberFormat="1" applyFill="1" applyBorder="1" applyAlignment="1">
      <alignment vertical="center"/>
    </xf>
    <xf numFmtId="191" fontId="0" fillId="4" borderId="4" xfId="0" applyNumberFormat="1" applyFill="1" applyBorder="1" applyAlignment="1">
      <alignment vertical="center"/>
    </xf>
    <xf numFmtId="183" fontId="0" fillId="4" borderId="3" xfId="0" applyNumberFormat="1" applyFill="1" applyBorder="1" applyAlignment="1">
      <alignment horizontal="left" vertical="center"/>
    </xf>
    <xf numFmtId="178" fontId="0" fillId="7" borderId="4" xfId="0" applyNumberFormat="1" applyFill="1" applyBorder="1" applyAlignment="1">
      <alignment vertical="center"/>
    </xf>
    <xf numFmtId="183" fontId="0" fillId="7" borderId="7" xfId="0" applyNumberFormat="1" applyFill="1" applyBorder="1" applyAlignment="1">
      <alignment vertical="center"/>
    </xf>
    <xf numFmtId="184" fontId="0" fillId="0" borderId="6" xfId="0" applyNumberFormat="1" applyBorder="1">
      <alignment vertical="center"/>
    </xf>
    <xf numFmtId="179" fontId="0" fillId="0" borderId="4" xfId="0" applyNumberFormat="1" applyBorder="1" applyAlignment="1">
      <alignment horizontal="right" vertical="center"/>
    </xf>
    <xf numFmtId="192" fontId="0" fillId="0" borderId="1" xfId="0" applyNumberFormat="1" applyBorder="1" applyAlignment="1">
      <alignment horizontal="center" vertical="center"/>
    </xf>
    <xf numFmtId="191" fontId="0" fillId="0" borderId="4" xfId="0" applyNumberFormat="1" applyBorder="1" applyAlignment="1">
      <alignment horizontal="right" vertical="center"/>
    </xf>
    <xf numFmtId="203" fontId="0" fillId="0" borderId="1" xfId="0" applyNumberFormat="1" applyBorder="1" applyAlignment="1">
      <alignment horizontal="center" vertical="center"/>
    </xf>
    <xf numFmtId="0" fontId="0" fillId="0" borderId="1" xfId="0" applyFont="1" applyBorder="1" applyAlignment="1">
      <alignment vertical="center" wrapText="1"/>
    </xf>
    <xf numFmtId="188" fontId="0" fillId="5" borderId="1" xfId="0" applyNumberFormat="1" applyFill="1" applyBorder="1" applyAlignment="1">
      <alignment horizontal="center" vertical="center"/>
    </xf>
    <xf numFmtId="188" fontId="0" fillId="4" borderId="1" xfId="0" applyNumberFormat="1" applyFill="1" applyBorder="1" applyAlignment="1">
      <alignment horizontal="center" vertical="center"/>
    </xf>
    <xf numFmtId="204" fontId="0" fillId="0" borderId="1" xfId="0" applyNumberFormat="1" applyBorder="1" applyAlignment="1">
      <alignment horizontal="center" vertical="center"/>
    </xf>
    <xf numFmtId="184" fontId="0" fillId="0" borderId="1" xfId="0" applyNumberFormat="1" applyBorder="1" applyAlignment="1">
      <alignment horizontal="center" vertical="center"/>
    </xf>
    <xf numFmtId="205" fontId="0" fillId="0" borderId="1" xfId="0" applyNumberFormat="1" applyBorder="1" applyAlignment="1">
      <alignment horizontal="center" vertical="center"/>
    </xf>
    <xf numFmtId="206" fontId="0" fillId="0" borderId="1" xfId="0" applyNumberFormat="1" applyBorder="1" applyAlignment="1">
      <alignment horizontal="center" vertical="center"/>
    </xf>
    <xf numFmtId="191" fontId="0" fillId="0" borderId="1" xfId="0" applyNumberFormat="1" applyBorder="1" applyAlignment="1">
      <alignment horizontal="center" vertical="center"/>
    </xf>
    <xf numFmtId="198" fontId="0" fillId="0" borderId="1" xfId="0" applyNumberFormat="1" applyBorder="1" applyAlignment="1">
      <alignment horizontal="center" vertical="center"/>
    </xf>
    <xf numFmtId="0" fontId="0" fillId="0" borderId="3" xfId="0" applyBorder="1">
      <alignment vertical="center"/>
    </xf>
    <xf numFmtId="0" fontId="0" fillId="5" borderId="4" xfId="0" applyFill="1" applyBorder="1">
      <alignment vertical="center"/>
    </xf>
    <xf numFmtId="0" fontId="0" fillId="0" borderId="2" xfId="0" applyBorder="1">
      <alignment vertical="center"/>
    </xf>
    <xf numFmtId="196" fontId="0" fillId="5" borderId="4" xfId="0" applyNumberFormat="1" applyFill="1" applyBorder="1" applyAlignment="1">
      <alignment horizontal="center" vertical="center"/>
    </xf>
    <xf numFmtId="196" fontId="0" fillId="4" borderId="4" xfId="0" applyNumberFormat="1" applyFill="1" applyBorder="1" applyAlignment="1">
      <alignment horizontal="center" vertical="center"/>
    </xf>
    <xf numFmtId="196" fontId="0" fillId="4" borderId="1" xfId="0" applyNumberFormat="1" applyFill="1" applyBorder="1" applyAlignment="1">
      <alignment horizontal="center" vertical="center"/>
    </xf>
    <xf numFmtId="191" fontId="0" fillId="4" borderId="1" xfId="0" applyNumberFormat="1" applyFill="1" applyBorder="1" applyAlignment="1">
      <alignment horizontal="center" vertical="center"/>
    </xf>
    <xf numFmtId="196" fontId="0" fillId="5" borderId="10" xfId="0" applyNumberFormat="1" applyFill="1" applyBorder="1" applyAlignment="1">
      <alignment horizontal="center" vertical="center"/>
    </xf>
    <xf numFmtId="196" fontId="0" fillId="0" borderId="10" xfId="0" applyNumberFormat="1" applyBorder="1" applyAlignment="1">
      <alignment horizontal="center" vertical="center"/>
    </xf>
    <xf numFmtId="191" fontId="0" fillId="0" borderId="9" xfId="0" applyNumberFormat="1" applyBorder="1" applyAlignment="1">
      <alignment horizontal="center" vertical="center"/>
    </xf>
    <xf numFmtId="196" fontId="0" fillId="0" borderId="4" xfId="0" applyNumberFormat="1" applyBorder="1" applyAlignment="1">
      <alignment horizontal="center" vertical="center"/>
    </xf>
    <xf numFmtId="196" fontId="0" fillId="5" borderId="11" xfId="0" applyNumberFormat="1" applyFill="1" applyBorder="1" applyAlignment="1">
      <alignment horizontal="center" vertical="center"/>
    </xf>
    <xf numFmtId="196" fontId="0" fillId="0" borderId="11" xfId="0" applyNumberFormat="1" applyBorder="1" applyAlignment="1">
      <alignment horizontal="center" vertical="center"/>
    </xf>
    <xf numFmtId="191" fontId="0" fillId="0" borderId="12" xfId="0" applyNumberFormat="1" applyBorder="1" applyAlignment="1">
      <alignment horizontal="center" vertical="center"/>
    </xf>
    <xf numFmtId="183" fontId="0" fillId="0" borderId="1" xfId="0" applyNumberFormat="1" applyBorder="1" applyAlignment="1">
      <alignment horizontal="center" vertical="center"/>
    </xf>
    <xf numFmtId="0" fontId="0" fillId="5" borderId="12" xfId="0" applyFill="1" applyBorder="1" applyAlignment="1">
      <alignment horizontal="center" vertical="center"/>
    </xf>
    <xf numFmtId="211" fontId="0" fillId="5" borderId="4" xfId="0" applyNumberFormat="1" applyFill="1" applyBorder="1" applyAlignment="1">
      <alignment horizontal="center" vertical="center" wrapText="1"/>
    </xf>
    <xf numFmtId="211" fontId="0" fillId="4" borderId="4" xfId="0" applyNumberFormat="1" applyFill="1" applyBorder="1" applyAlignment="1">
      <alignment horizontal="center" vertical="center" wrapText="1"/>
    </xf>
    <xf numFmtId="212" fontId="0" fillId="5" borderId="4" xfId="0" applyNumberFormat="1" applyFill="1" applyBorder="1" applyAlignment="1">
      <alignment horizontal="center" vertical="center" wrapText="1"/>
    </xf>
    <xf numFmtId="212" fontId="0" fillId="4" borderId="4" xfId="0" applyNumberFormat="1" applyFill="1" applyBorder="1" applyAlignment="1">
      <alignment horizontal="center" vertical="center" wrapText="1"/>
    </xf>
    <xf numFmtId="214" fontId="0" fillId="5" borderId="4" xfId="0" applyNumberFormat="1" applyFill="1" applyBorder="1" applyAlignment="1">
      <alignment horizontal="center" vertical="center" wrapText="1"/>
    </xf>
    <xf numFmtId="214" fontId="0" fillId="4" borderId="4" xfId="0" applyNumberFormat="1" applyFill="1" applyBorder="1" applyAlignment="1">
      <alignment horizontal="center" vertical="center" wrapText="1"/>
    </xf>
    <xf numFmtId="215" fontId="0" fillId="5" borderId="4" xfId="0" applyNumberFormat="1" applyFill="1" applyBorder="1" applyAlignment="1">
      <alignment horizontal="center" vertical="center" wrapText="1"/>
    </xf>
    <xf numFmtId="215" fontId="0" fillId="4" borderId="4" xfId="0" applyNumberFormat="1" applyFill="1" applyBorder="1" applyAlignment="1">
      <alignment horizontal="center" vertical="center" wrapText="1"/>
    </xf>
    <xf numFmtId="182" fontId="0" fillId="5" borderId="10" xfId="0" applyNumberFormat="1" applyFill="1" applyBorder="1" applyAlignment="1">
      <alignment vertical="center" wrapText="1"/>
    </xf>
    <xf numFmtId="0" fontId="0" fillId="5" borderId="13" xfId="0" applyFill="1" applyBorder="1" applyAlignment="1">
      <alignment vertical="center"/>
    </xf>
    <xf numFmtId="180" fontId="0" fillId="4" borderId="4" xfId="0" applyNumberFormat="1" applyFill="1" applyBorder="1" applyAlignment="1">
      <alignment horizontal="right" vertical="center"/>
    </xf>
    <xf numFmtId="0" fontId="0" fillId="4" borderId="13" xfId="0" applyFill="1" applyBorder="1" applyAlignment="1">
      <alignment vertical="center"/>
    </xf>
    <xf numFmtId="180" fontId="0" fillId="5" borderId="4" xfId="0" applyNumberFormat="1" applyFill="1" applyBorder="1" applyAlignment="1">
      <alignment vertical="center"/>
    </xf>
    <xf numFmtId="184" fontId="0" fillId="5" borderId="13" xfId="0" applyNumberFormat="1" applyFill="1" applyBorder="1" applyAlignment="1">
      <alignment vertical="center"/>
    </xf>
    <xf numFmtId="178" fontId="0" fillId="5" borderId="4" xfId="0" applyNumberFormat="1" applyFill="1" applyBorder="1" applyAlignment="1">
      <alignment vertical="center"/>
    </xf>
    <xf numFmtId="191" fontId="0" fillId="5" borderId="13" xfId="0" applyNumberFormat="1" applyFill="1" applyBorder="1" applyAlignment="1">
      <alignment vertical="center"/>
    </xf>
    <xf numFmtId="178" fontId="0" fillId="4" borderId="4" xfId="0" applyNumberFormat="1" applyFill="1" applyBorder="1" applyAlignment="1">
      <alignment horizontal="right" vertical="center"/>
    </xf>
    <xf numFmtId="179" fontId="0" fillId="5" borderId="4" xfId="0" applyNumberFormat="1" applyFill="1" applyBorder="1" applyAlignment="1">
      <alignment vertical="center"/>
    </xf>
    <xf numFmtId="179" fontId="0" fillId="4" borderId="4" xfId="0" applyNumberFormat="1" applyFill="1" applyBorder="1" applyAlignment="1">
      <alignment horizontal="right" vertical="center"/>
    </xf>
    <xf numFmtId="186" fontId="0" fillId="5" borderId="13" xfId="0" applyNumberFormat="1" applyFill="1" applyBorder="1" applyAlignment="1">
      <alignment vertical="center"/>
    </xf>
    <xf numFmtId="182" fontId="0" fillId="5" borderId="4" xfId="0" applyNumberFormat="1" applyFill="1" applyBorder="1" applyAlignment="1">
      <alignment vertical="center" wrapText="1"/>
    </xf>
    <xf numFmtId="0" fontId="0" fillId="5" borderId="7" xfId="0" applyFill="1" applyBorder="1" applyAlignment="1">
      <alignment vertical="center"/>
    </xf>
    <xf numFmtId="186" fontId="0" fillId="5" borderId="7" xfId="0" applyNumberFormat="1" applyFill="1" applyBorder="1" applyAlignment="1">
      <alignment vertical="center"/>
    </xf>
    <xf numFmtId="186" fontId="0" fillId="4" borderId="7" xfId="0" applyNumberFormat="1" applyFill="1" applyBorder="1" applyAlignment="1">
      <alignment vertical="center"/>
    </xf>
    <xf numFmtId="0" fontId="0" fillId="2" borderId="0" xfId="0" applyFont="1" applyFill="1" applyBorder="1" applyAlignment="1">
      <alignment vertical="center"/>
    </xf>
    <xf numFmtId="196" fontId="0" fillId="5" borderId="1" xfId="0" applyNumberFormat="1" applyFill="1" applyBorder="1" applyAlignment="1">
      <alignment horizontal="center" vertical="center"/>
    </xf>
    <xf numFmtId="0" fontId="0" fillId="3" borderId="0" xfId="0" applyFont="1" applyFill="1" applyBorder="1" applyAlignment="1">
      <alignment horizontal="center" vertical="center"/>
    </xf>
    <xf numFmtId="186" fontId="0" fillId="0" borderId="2" xfId="0" applyNumberFormat="1" applyBorder="1">
      <alignment vertical="center"/>
    </xf>
    <xf numFmtId="0" fontId="0" fillId="0" borderId="6" xfId="0" applyBorder="1">
      <alignment vertical="center"/>
    </xf>
    <xf numFmtId="225" fontId="0" fillId="4" borderId="7" xfId="0" applyNumberFormat="1" applyFill="1" applyBorder="1" applyAlignment="1">
      <alignment vertical="center"/>
    </xf>
    <xf numFmtId="0" fontId="0" fillId="0" borderId="4" xfId="0" applyFont="1" applyBorder="1" applyAlignment="1">
      <alignment vertical="center" wrapText="1"/>
    </xf>
    <xf numFmtId="0" fontId="0" fillId="0" borderId="0" xfId="0" applyFill="1" applyBorder="1" applyAlignment="1">
      <alignment horizontal="center" vertical="center"/>
    </xf>
    <xf numFmtId="0" fontId="0" fillId="0" borderId="0" xfId="0" applyFont="1">
      <alignment vertical="center"/>
    </xf>
    <xf numFmtId="0" fontId="0" fillId="6" borderId="1" xfId="0" applyFill="1" applyBorder="1" applyAlignment="1">
      <alignment horizontal="center" vertical="center"/>
    </xf>
    <xf numFmtId="0" fontId="0" fillId="0" borderId="4" xfId="0" applyBorder="1" applyAlignment="1">
      <alignment horizontal="center"/>
    </xf>
    <xf numFmtId="0" fontId="0" fillId="0" borderId="7" xfId="0" applyBorder="1" applyAlignment="1">
      <alignment horizontal="center"/>
    </xf>
    <xf numFmtId="0" fontId="1" fillId="0" borderId="0" xfId="0" applyFont="1">
      <alignment vertical="center"/>
    </xf>
    <xf numFmtId="0" fontId="32" fillId="0" borderId="1" xfId="0" applyFont="1" applyBorder="1" applyAlignment="1">
      <alignment horizontal="center" vertical="center"/>
    </xf>
    <xf numFmtId="0" fontId="33" fillId="0" borderId="1" xfId="0" applyFont="1" applyBorder="1">
      <alignment vertical="center"/>
    </xf>
    <xf numFmtId="0" fontId="32" fillId="0" borderId="1" xfId="0" applyFont="1" applyBorder="1">
      <alignment vertical="center"/>
    </xf>
    <xf numFmtId="0" fontId="32" fillId="0" borderId="1" xfId="0" applyFont="1" applyFill="1" applyBorder="1" applyAlignment="1">
      <alignment horizontal="center" vertical="center"/>
    </xf>
    <xf numFmtId="0" fontId="32" fillId="0" borderId="2" xfId="0" applyFont="1" applyBorder="1" applyAlignment="1">
      <alignment horizontal="center" vertical="center"/>
    </xf>
    <xf numFmtId="0" fontId="34" fillId="0" borderId="0" xfId="0" applyFont="1">
      <alignment vertical="center"/>
    </xf>
    <xf numFmtId="0" fontId="32" fillId="0" borderId="0" xfId="0" applyFont="1">
      <alignment vertical="center"/>
    </xf>
    <xf numFmtId="0" fontId="0" fillId="0" borderId="10" xfId="0" applyBorder="1">
      <alignment vertical="center"/>
    </xf>
    <xf numFmtId="0" fontId="0" fillId="0" borderId="9" xfId="0" applyBorder="1">
      <alignment vertical="center"/>
    </xf>
    <xf numFmtId="0" fontId="0" fillId="0" borderId="1" xfId="0" applyFill="1" applyBorder="1" applyAlignment="1">
      <alignment horizontal="center" vertical="center"/>
    </xf>
    <xf numFmtId="0" fontId="0" fillId="0" borderId="12" xfId="0" applyBorder="1">
      <alignment vertical="center"/>
    </xf>
    <xf numFmtId="0" fontId="37" fillId="0" borderId="0" xfId="0" applyFont="1">
      <alignment vertical="center"/>
    </xf>
    <xf numFmtId="0" fontId="11" fillId="0" borderId="7" xfId="5" applyFont="1" applyBorder="1">
      <alignment vertical="center"/>
    </xf>
    <xf numFmtId="244" fontId="11" fillId="0" borderId="2" xfId="0" applyNumberFormat="1" applyFont="1" applyBorder="1" applyAlignment="1">
      <alignment horizontal="center" vertical="center"/>
    </xf>
    <xf numFmtId="180" fontId="11" fillId="0" borderId="2" xfId="0" applyNumberFormat="1" applyFont="1" applyBorder="1" applyAlignment="1">
      <alignment horizontal="center" vertical="center"/>
    </xf>
    <xf numFmtId="245" fontId="11" fillId="0" borderId="2" xfId="0" applyNumberFormat="1" applyFont="1" applyBorder="1" applyAlignment="1">
      <alignment horizontal="center" vertical="center"/>
    </xf>
    <xf numFmtId="0" fontId="41" fillId="4" borderId="1" xfId="0" applyFont="1" applyFill="1" applyBorder="1" applyAlignment="1">
      <alignment horizontal="center" vertical="center"/>
    </xf>
    <xf numFmtId="181" fontId="16" fillId="4" borderId="1" xfId="0" applyNumberFormat="1" applyFont="1" applyFill="1" applyBorder="1" applyAlignment="1">
      <alignment horizontal="center" vertical="center"/>
    </xf>
    <xf numFmtId="245" fontId="16" fillId="7" borderId="1" xfId="0" applyNumberFormat="1" applyFont="1" applyFill="1" applyBorder="1" applyAlignment="1">
      <alignment horizontal="center" vertical="center"/>
    </xf>
    <xf numFmtId="0" fontId="41" fillId="0" borderId="1" xfId="0" applyFont="1" applyBorder="1" applyAlignment="1">
      <alignment horizontal="center" vertical="center"/>
    </xf>
    <xf numFmtId="0" fontId="41" fillId="2" borderId="1" xfId="0" applyFont="1" applyFill="1" applyBorder="1" applyAlignment="1">
      <alignment horizontal="center" vertical="center"/>
    </xf>
    <xf numFmtId="184" fontId="16" fillId="2" borderId="7" xfId="0" applyNumberFormat="1" applyFont="1" applyFill="1" applyBorder="1" applyAlignment="1">
      <alignment horizontal="center" vertical="center"/>
    </xf>
    <xf numFmtId="184" fontId="16" fillId="2" borderId="1" xfId="0" applyNumberFormat="1" applyFont="1" applyFill="1" applyBorder="1" applyAlignment="1">
      <alignment horizontal="center" vertical="center"/>
    </xf>
    <xf numFmtId="245" fontId="16" fillId="0" borderId="1" xfId="0" applyNumberFormat="1" applyFont="1" applyBorder="1" applyAlignment="1">
      <alignment horizontal="center" vertical="center"/>
    </xf>
    <xf numFmtId="184" fontId="41" fillId="0" borderId="1" xfId="0" applyNumberFormat="1" applyFont="1" applyBorder="1" applyAlignment="1">
      <alignment horizontal="center" vertical="center"/>
    </xf>
    <xf numFmtId="184" fontId="41" fillId="2" borderId="1" xfId="0" applyNumberFormat="1" applyFont="1" applyFill="1" applyBorder="1" applyAlignment="1">
      <alignment horizontal="center" vertical="center"/>
    </xf>
    <xf numFmtId="180" fontId="11" fillId="2" borderId="1" xfId="0" applyNumberFormat="1" applyFont="1" applyFill="1" applyBorder="1" applyAlignment="1">
      <alignment horizontal="center" vertical="center"/>
    </xf>
    <xf numFmtId="179" fontId="16" fillId="2" borderId="1" xfId="0" applyNumberFormat="1" applyFont="1" applyFill="1" applyBorder="1" applyAlignment="1">
      <alignment horizontal="center" vertical="center"/>
    </xf>
    <xf numFmtId="0" fontId="41" fillId="2" borderId="12" xfId="0" applyFont="1" applyFill="1" applyBorder="1" applyAlignment="1">
      <alignment horizontal="center" vertical="center"/>
    </xf>
    <xf numFmtId="180" fontId="16" fillId="2" borderId="12" xfId="0" applyNumberFormat="1" applyFont="1" applyFill="1" applyBorder="1" applyAlignment="1">
      <alignment horizontal="center" vertical="center"/>
    </xf>
    <xf numFmtId="180" fontId="16" fillId="2" borderId="1" xfId="0" applyNumberFormat="1" applyFont="1" applyFill="1" applyBorder="1" applyAlignment="1">
      <alignment horizontal="center" vertical="center"/>
    </xf>
    <xf numFmtId="244" fontId="45" fillId="0" borderId="10" xfId="0" applyNumberFormat="1" applyFont="1" applyBorder="1" applyAlignment="1">
      <alignment vertical="center"/>
    </xf>
    <xf numFmtId="244" fontId="45" fillId="0" borderId="14" xfId="0" applyNumberFormat="1" applyFont="1" applyBorder="1" applyAlignment="1">
      <alignment vertical="center"/>
    </xf>
    <xf numFmtId="244" fontId="45" fillId="0" borderId="1" xfId="0" applyNumberFormat="1" applyFont="1" applyBorder="1" applyAlignment="1">
      <alignment vertical="center"/>
    </xf>
    <xf numFmtId="0" fontId="16" fillId="4" borderId="1" xfId="0" applyFont="1" applyFill="1" applyBorder="1" applyAlignment="1">
      <alignment horizontal="center" vertical="center"/>
    </xf>
    <xf numFmtId="181" fontId="16" fillId="7" borderId="1" xfId="0" applyNumberFormat="1" applyFont="1" applyFill="1" applyBorder="1" applyAlignment="1">
      <alignment horizontal="center" vertical="center"/>
    </xf>
    <xf numFmtId="244" fontId="16" fillId="0" borderId="2" xfId="0" applyNumberFormat="1" applyFont="1" applyBorder="1" applyAlignment="1">
      <alignment horizontal="left" vertical="center"/>
    </xf>
    <xf numFmtId="0" fontId="32" fillId="0" borderId="0" xfId="0" applyFont="1" applyAlignment="1">
      <alignment horizontal="left" vertical="center"/>
    </xf>
    <xf numFmtId="0" fontId="32" fillId="0" borderId="0" xfId="0" applyFont="1" applyBorder="1" applyAlignment="1">
      <alignment vertical="center"/>
    </xf>
    <xf numFmtId="0" fontId="39" fillId="0" borderId="0" xfId="0" applyFont="1" applyAlignment="1">
      <alignment horizontal="left" vertical="center"/>
    </xf>
    <xf numFmtId="0" fontId="40" fillId="0" borderId="0" xfId="0" applyFont="1" applyAlignment="1">
      <alignment horizontal="left" vertical="center"/>
    </xf>
    <xf numFmtId="176" fontId="32" fillId="0" borderId="2" xfId="0" applyNumberFormat="1" applyFont="1" applyBorder="1" applyAlignment="1">
      <alignment horizontal="center" vertical="center"/>
    </xf>
    <xf numFmtId="49" fontId="32" fillId="2" borderId="2" xfId="0" applyNumberFormat="1" applyFont="1" applyFill="1" applyBorder="1" applyAlignment="1">
      <alignment horizontal="center" vertical="center"/>
    </xf>
    <xf numFmtId="179" fontId="32" fillId="2" borderId="2" xfId="0" applyNumberFormat="1" applyFont="1" applyFill="1" applyBorder="1" applyAlignment="1">
      <alignment horizontal="center" vertical="center"/>
    </xf>
    <xf numFmtId="179" fontId="32" fillId="0" borderId="2" xfId="0" applyNumberFormat="1" applyFont="1" applyBorder="1" applyAlignment="1">
      <alignment horizontal="center" vertical="center"/>
    </xf>
    <xf numFmtId="180" fontId="32" fillId="0" borderId="2" xfId="0" applyNumberFormat="1" applyFont="1" applyBorder="1" applyAlignment="1">
      <alignment horizontal="center" vertical="center"/>
    </xf>
    <xf numFmtId="0" fontId="16" fillId="0" borderId="0" xfId="0" applyFont="1" applyAlignment="1">
      <alignment horizontal="left" vertical="center"/>
    </xf>
    <xf numFmtId="0" fontId="47" fillId="0" borderId="0" xfId="0" applyFont="1" applyAlignment="1">
      <alignment horizontal="left" vertical="center"/>
    </xf>
    <xf numFmtId="0" fontId="48" fillId="0" borderId="0" xfId="0" applyFont="1" applyAlignment="1">
      <alignment horizontal="left" vertical="center"/>
    </xf>
    <xf numFmtId="0" fontId="16" fillId="0" borderId="1" xfId="0" applyFont="1" applyBorder="1" applyAlignment="1">
      <alignment horizontal="center" vertical="center" wrapText="1"/>
    </xf>
    <xf numFmtId="0" fontId="32" fillId="0" borderId="2" xfId="0" applyFont="1" applyBorder="1" applyAlignment="1">
      <alignment vertical="center"/>
    </xf>
    <xf numFmtId="0" fontId="34" fillId="0" borderId="0" xfId="0" applyFont="1" applyAlignment="1">
      <alignment horizontal="left" vertical="center"/>
    </xf>
    <xf numFmtId="0" fontId="32" fillId="8" borderId="1" xfId="0" applyFont="1" applyFill="1" applyBorder="1" applyAlignment="1">
      <alignment horizontal="center" vertical="center"/>
    </xf>
    <xf numFmtId="0" fontId="16" fillId="0" borderId="0" xfId="0" applyFont="1" applyFill="1" applyBorder="1">
      <alignment vertical="center"/>
    </xf>
    <xf numFmtId="0" fontId="16" fillId="0" borderId="0" xfId="0" applyFont="1" applyBorder="1">
      <alignment vertical="center"/>
    </xf>
    <xf numFmtId="0" fontId="16" fillId="0" borderId="0" xfId="0" applyFont="1" applyBorder="1" applyAlignment="1">
      <alignment vertical="center"/>
    </xf>
    <xf numFmtId="0" fontId="16" fillId="0" borderId="0" xfId="0" applyFont="1" applyBorder="1" applyAlignment="1">
      <alignment vertical="top" wrapText="1"/>
    </xf>
    <xf numFmtId="0" fontId="16" fillId="0" borderId="0" xfId="0" quotePrefix="1" applyFont="1" applyBorder="1" applyAlignment="1">
      <alignment vertical="center"/>
    </xf>
    <xf numFmtId="0" fontId="32" fillId="0" borderId="0" xfId="0" applyFont="1" applyBorder="1">
      <alignment vertical="center"/>
    </xf>
    <xf numFmtId="0" fontId="16" fillId="0" borderId="0" xfId="0" applyFont="1">
      <alignment vertical="center"/>
    </xf>
    <xf numFmtId="0" fontId="32" fillId="6" borderId="0" xfId="0" applyFont="1" applyFill="1">
      <alignment vertical="center"/>
    </xf>
    <xf numFmtId="0" fontId="0" fillId="6" borderId="0" xfId="0" applyFill="1">
      <alignment vertical="center"/>
    </xf>
    <xf numFmtId="0" fontId="48" fillId="0" borderId="0" xfId="0" applyFont="1">
      <alignment vertical="center"/>
    </xf>
    <xf numFmtId="0" fontId="0" fillId="0" borderId="0" xfId="0" applyAlignment="1">
      <alignment horizontal="left" vertical="center"/>
    </xf>
    <xf numFmtId="0" fontId="0" fillId="0" borderId="15" xfId="0" applyBorder="1">
      <alignment vertical="center"/>
    </xf>
    <xf numFmtId="9" fontId="0" fillId="0" borderId="1" xfId="0" applyNumberFormat="1" applyBorder="1" applyAlignment="1">
      <alignment horizontal="center" vertical="center" wrapText="1"/>
    </xf>
    <xf numFmtId="0" fontId="38" fillId="0" borderId="0" xfId="0" applyFont="1">
      <alignment vertical="center"/>
    </xf>
    <xf numFmtId="180" fontId="0" fillId="4" borderId="1" xfId="0" applyNumberFormat="1" applyFill="1" applyBorder="1" applyAlignment="1">
      <alignment horizontal="center" vertical="center" wrapText="1"/>
    </xf>
    <xf numFmtId="10" fontId="0" fillId="7" borderId="1" xfId="0" applyNumberFormat="1" applyFill="1" applyBorder="1" applyAlignment="1">
      <alignment horizontal="center" vertical="center" wrapText="1"/>
    </xf>
    <xf numFmtId="0" fontId="0" fillId="0" borderId="1" xfId="0" applyFont="1" applyFill="1" applyBorder="1" applyAlignment="1">
      <alignment horizontal="left" vertical="center"/>
    </xf>
    <xf numFmtId="0" fontId="0" fillId="0" borderId="1" xfId="0" applyBorder="1" applyAlignment="1">
      <alignment horizontal="center"/>
    </xf>
    <xf numFmtId="0" fontId="0" fillId="0" borderId="11" xfId="0" applyBorder="1" applyAlignment="1">
      <alignment horizontal="center"/>
    </xf>
    <xf numFmtId="0" fontId="0" fillId="4" borderId="2" xfId="0" applyFill="1" applyBorder="1" applyAlignment="1">
      <alignment horizontal="center"/>
    </xf>
    <xf numFmtId="0" fontId="0" fillId="0" borderId="0" xfId="0" applyBorder="1" applyAlignment="1">
      <alignment horizontal="left"/>
    </xf>
    <xf numFmtId="0" fontId="0" fillId="4" borderId="2" xfId="0" applyFill="1" applyBorder="1" applyAlignment="1"/>
    <xf numFmtId="0" fontId="1" fillId="0" borderId="1" xfId="9" applyFont="1" applyBorder="1" applyAlignment="1">
      <alignment horizontal="center" vertical="center"/>
    </xf>
    <xf numFmtId="0" fontId="1" fillId="0" borderId="0" xfId="9">
      <alignment vertical="center"/>
    </xf>
    <xf numFmtId="0" fontId="1" fillId="0" borderId="1" xfId="9" applyFont="1" applyBorder="1">
      <alignment vertical="center"/>
    </xf>
    <xf numFmtId="0" fontId="1" fillId="0" borderId="1" xfId="9" applyBorder="1">
      <alignment vertical="center"/>
    </xf>
    <xf numFmtId="0" fontId="1" fillId="0" borderId="0" xfId="9" applyFont="1">
      <alignment vertical="center"/>
    </xf>
    <xf numFmtId="0" fontId="6" fillId="0" borderId="1" xfId="9" applyFont="1" applyBorder="1">
      <alignment vertical="center"/>
    </xf>
    <xf numFmtId="0" fontId="1" fillId="0" borderId="1" xfId="9" applyBorder="1" applyAlignment="1">
      <alignment horizontal="center" vertical="center"/>
    </xf>
    <xf numFmtId="0" fontId="15" fillId="0" borderId="0" xfId="9" applyFont="1">
      <alignment vertical="center"/>
    </xf>
    <xf numFmtId="0" fontId="1" fillId="0" borderId="1" xfId="9" applyBorder="1" applyAlignment="1">
      <alignment horizontal="center" vertical="center" wrapText="1"/>
    </xf>
    <xf numFmtId="0" fontId="62" fillId="0" borderId="0" xfId="0" applyFont="1">
      <alignment vertical="center"/>
    </xf>
    <xf numFmtId="0" fontId="62" fillId="0" borderId="0" xfId="0" applyFont="1" applyFill="1">
      <alignment vertical="center"/>
    </xf>
    <xf numFmtId="0" fontId="0" fillId="0" borderId="0" xfId="0" applyFill="1">
      <alignment vertical="center"/>
    </xf>
    <xf numFmtId="0" fontId="63" fillId="6" borderId="0" xfId="0" applyFont="1" applyFill="1">
      <alignment vertical="center"/>
    </xf>
    <xf numFmtId="0" fontId="65" fillId="0" borderId="0" xfId="0" applyFont="1" applyBorder="1" applyAlignment="1">
      <alignment vertical="center"/>
    </xf>
    <xf numFmtId="0" fontId="0" fillId="9" borderId="0" xfId="0" applyFill="1">
      <alignment vertical="center"/>
    </xf>
    <xf numFmtId="0" fontId="0" fillId="5" borderId="4" xfId="0" applyFont="1" applyFill="1" applyBorder="1" applyAlignment="1">
      <alignment horizontal="right" vertical="center"/>
    </xf>
    <xf numFmtId="0" fontId="0" fillId="5" borderId="7" xfId="0" applyFont="1" applyFill="1" applyBorder="1" applyAlignment="1">
      <alignment horizontal="left" vertical="center"/>
    </xf>
    <xf numFmtId="0" fontId="0" fillId="5" borderId="1" xfId="0" applyFont="1" applyFill="1" applyBorder="1" applyAlignment="1">
      <alignment horizontal="center" vertical="center" wrapText="1"/>
    </xf>
    <xf numFmtId="0" fontId="16" fillId="0" borderId="3" xfId="0" applyFont="1" applyBorder="1" applyAlignment="1">
      <alignment horizontal="center" vertical="center"/>
    </xf>
    <xf numFmtId="0" fontId="61" fillId="0" borderId="0" xfId="2" applyFont="1" applyAlignment="1">
      <alignment vertical="center"/>
    </xf>
    <xf numFmtId="0" fontId="0" fillId="0" borderId="0" xfId="0" applyBorder="1" applyAlignment="1">
      <alignment horizontal="center" vertical="center" wrapText="1"/>
    </xf>
    <xf numFmtId="10" fontId="0" fillId="7" borderId="0" xfId="0" applyNumberFormat="1" applyFill="1" applyBorder="1" applyAlignment="1">
      <alignment horizontal="center" vertical="center" wrapText="1"/>
    </xf>
    <xf numFmtId="10" fontId="0" fillId="7" borderId="2" xfId="0" applyNumberFormat="1" applyFill="1" applyBorder="1" applyAlignment="1">
      <alignment horizontal="center" vertical="center" wrapText="1"/>
    </xf>
    <xf numFmtId="0" fontId="0" fillId="0" borderId="0" xfId="0" applyAlignment="1">
      <alignment horizontal="right" vertical="center"/>
    </xf>
    <xf numFmtId="0" fontId="67" fillId="0" borderId="0" xfId="0" applyFont="1">
      <alignment vertical="center"/>
    </xf>
    <xf numFmtId="0" fontId="67" fillId="0" borderId="1" xfId="0" applyFont="1" applyBorder="1">
      <alignment vertical="center"/>
    </xf>
    <xf numFmtId="0" fontId="67" fillId="0" borderId="8" xfId="0" applyFont="1" applyFill="1" applyBorder="1" applyAlignment="1">
      <alignment horizontal="center" vertical="center"/>
    </xf>
    <xf numFmtId="0" fontId="67" fillId="0" borderId="0" xfId="0" applyFont="1" applyAlignment="1">
      <alignment vertical="center"/>
    </xf>
    <xf numFmtId="0" fontId="67" fillId="0" borderId="0" xfId="0" applyFont="1" applyBorder="1">
      <alignment vertical="center"/>
    </xf>
    <xf numFmtId="0" fontId="67" fillId="0" borderId="0" xfId="0" applyFont="1" applyBorder="1" applyAlignment="1">
      <alignment vertical="center"/>
    </xf>
    <xf numFmtId="0" fontId="67" fillId="0" borderId="0" xfId="0" applyFont="1" applyBorder="1" applyAlignment="1">
      <alignment horizontal="center" vertical="center"/>
    </xf>
    <xf numFmtId="0" fontId="68" fillId="0" borderId="3" xfId="0" applyFont="1" applyBorder="1" applyAlignment="1">
      <alignment horizontal="center" vertical="center"/>
    </xf>
    <xf numFmtId="0" fontId="67" fillId="0" borderId="0" xfId="0" applyFont="1" applyFill="1" applyBorder="1">
      <alignment vertical="center"/>
    </xf>
    <xf numFmtId="0" fontId="67" fillId="0" borderId="0" xfId="0" quotePrefix="1" applyFont="1" applyBorder="1" applyAlignment="1">
      <alignment vertical="center"/>
    </xf>
    <xf numFmtId="0" fontId="16" fillId="0" borderId="2" xfId="0" applyFont="1" applyBorder="1">
      <alignment vertical="center"/>
    </xf>
    <xf numFmtId="0" fontId="68" fillId="0" borderId="4" xfId="0" applyFont="1" applyBorder="1" applyAlignment="1">
      <alignment horizontal="center" vertical="center"/>
    </xf>
    <xf numFmtId="0" fontId="11" fillId="0" borderId="0" xfId="0" applyFont="1" applyBorder="1" applyAlignment="1">
      <alignment horizontal="center" vertical="center"/>
    </xf>
    <xf numFmtId="0" fontId="68" fillId="0" borderId="7" xfId="0" applyFont="1" applyBorder="1" applyAlignment="1">
      <alignment horizontal="left" vertical="center"/>
    </xf>
    <xf numFmtId="0" fontId="70" fillId="0" borderId="1" xfId="0" applyFont="1" applyBorder="1" applyAlignment="1">
      <alignment vertical="center" wrapText="1"/>
    </xf>
    <xf numFmtId="0" fontId="67" fillId="0" borderId="0" xfId="0" applyFont="1" applyFill="1" applyBorder="1" applyAlignment="1">
      <alignment horizontal="center" vertical="center"/>
    </xf>
    <xf numFmtId="0" fontId="68" fillId="0" borderId="0" xfId="0" applyFont="1">
      <alignment vertical="center"/>
    </xf>
    <xf numFmtId="0" fontId="68" fillId="0" borderId="4" xfId="0" applyFont="1" applyBorder="1">
      <alignment vertical="center"/>
    </xf>
    <xf numFmtId="0" fontId="68" fillId="0" borderId="3" xfId="0" applyFont="1" applyBorder="1">
      <alignment vertical="center"/>
    </xf>
    <xf numFmtId="0" fontId="68" fillId="0" borderId="3" xfId="0" applyFont="1" applyBorder="1" applyAlignment="1">
      <alignment vertical="center"/>
    </xf>
    <xf numFmtId="0" fontId="68" fillId="0" borderId="7" xfId="0" applyFont="1" applyBorder="1">
      <alignment vertical="center"/>
    </xf>
    <xf numFmtId="0" fontId="68" fillId="0" borderId="3" xfId="0" applyFont="1" applyFill="1" applyBorder="1" applyAlignment="1">
      <alignment horizontal="center" vertical="center"/>
    </xf>
    <xf numFmtId="0" fontId="68" fillId="0" borderId="4" xfId="0" applyFont="1" applyFill="1" applyBorder="1" applyAlignment="1">
      <alignment horizontal="center" vertical="center"/>
    </xf>
    <xf numFmtId="0" fontId="75" fillId="0" borderId="3" xfId="0" applyFont="1" applyBorder="1">
      <alignment vertical="center"/>
    </xf>
    <xf numFmtId="0" fontId="74" fillId="0" borderId="3" xfId="0" applyFont="1" applyBorder="1">
      <alignment vertical="center"/>
    </xf>
    <xf numFmtId="0" fontId="68" fillId="10" borderId="0" xfId="0" applyFont="1" applyFill="1" applyAlignment="1">
      <alignment horizontal="center" vertical="center"/>
    </xf>
    <xf numFmtId="181" fontId="68" fillId="0" borderId="0" xfId="0" applyNumberFormat="1" applyFont="1" applyAlignment="1">
      <alignment horizontal="center" vertical="center"/>
    </xf>
    <xf numFmtId="180" fontId="68" fillId="0" borderId="0" xfId="0" applyNumberFormat="1" applyFont="1">
      <alignment vertical="center"/>
    </xf>
    <xf numFmtId="182" fontId="72" fillId="10" borderId="0" xfId="0" applyNumberFormat="1" applyFont="1" applyFill="1" applyAlignment="1">
      <alignment horizontal="center" vertical="center"/>
    </xf>
    <xf numFmtId="0" fontId="68" fillId="0" borderId="3" xfId="0" applyFont="1" applyBorder="1" applyAlignment="1">
      <alignment horizontal="right" vertical="center"/>
    </xf>
    <xf numFmtId="0" fontId="75" fillId="0" borderId="0" xfId="0" applyFont="1" applyBorder="1" applyAlignment="1">
      <alignment horizontal="right" vertical="center"/>
    </xf>
    <xf numFmtId="0" fontId="74" fillId="0" borderId="0" xfId="0" applyFont="1" applyBorder="1" applyAlignment="1">
      <alignment horizontal="left" vertical="center"/>
    </xf>
    <xf numFmtId="254" fontId="68" fillId="0" borderId="0" xfId="0" applyNumberFormat="1" applyFont="1" applyBorder="1" applyAlignment="1">
      <alignment horizontal="center" vertical="center"/>
    </xf>
    <xf numFmtId="248" fontId="68" fillId="0" borderId="0" xfId="0" applyNumberFormat="1" applyFont="1" applyBorder="1" applyAlignment="1">
      <alignment horizontal="right" vertical="center"/>
    </xf>
    <xf numFmtId="178" fontId="68" fillId="0" borderId="0" xfId="0" applyNumberFormat="1" applyFont="1" applyBorder="1" applyAlignment="1">
      <alignment horizontal="center" vertical="center"/>
    </xf>
    <xf numFmtId="179" fontId="68" fillId="0" borderId="0" xfId="0" applyNumberFormat="1" applyFont="1" applyBorder="1" applyAlignment="1">
      <alignment horizontal="center" vertical="center"/>
    </xf>
    <xf numFmtId="181" fontId="68" fillId="0" borderId="0" xfId="0" applyNumberFormat="1" applyFont="1" applyBorder="1" applyAlignment="1">
      <alignment horizontal="center" vertical="center"/>
    </xf>
    <xf numFmtId="182" fontId="68" fillId="10" borderId="0" xfId="0" applyNumberFormat="1" applyFont="1" applyFill="1" applyAlignment="1">
      <alignment horizontal="center" vertical="center"/>
    </xf>
    <xf numFmtId="0" fontId="75" fillId="5" borderId="3" xfId="0" applyFont="1" applyFill="1" applyBorder="1" applyAlignment="1">
      <alignment horizontal="right" vertical="center"/>
    </xf>
    <xf numFmtId="0" fontId="74" fillId="5" borderId="7" xfId="0" applyFont="1" applyFill="1" applyBorder="1" applyAlignment="1">
      <alignment horizontal="left" vertical="center"/>
    </xf>
    <xf numFmtId="181" fontId="68" fillId="0" borderId="4" xfId="0" applyNumberFormat="1" applyFont="1" applyBorder="1" applyAlignment="1">
      <alignment horizontal="center" vertical="center" wrapText="1"/>
    </xf>
    <xf numFmtId="181" fontId="68" fillId="0" borderId="3" xfId="0" applyNumberFormat="1" applyFont="1" applyBorder="1" applyAlignment="1">
      <alignment horizontal="center" vertical="center" wrapText="1"/>
    </xf>
    <xf numFmtId="181" fontId="68" fillId="0" borderId="7" xfId="0" applyNumberFormat="1" applyFont="1" applyBorder="1" applyAlignment="1">
      <alignment horizontal="center" vertical="center" wrapText="1"/>
    </xf>
    <xf numFmtId="181" fontId="68" fillId="0" borderId="0" xfId="0" applyNumberFormat="1" applyFont="1">
      <alignment vertical="center"/>
    </xf>
    <xf numFmtId="0" fontId="49" fillId="0" borderId="0" xfId="0" applyFont="1" applyBorder="1" applyAlignment="1">
      <alignment horizontal="center" vertical="center"/>
    </xf>
    <xf numFmtId="250" fontId="68" fillId="0" borderId="0" xfId="0" applyNumberFormat="1" applyFont="1" applyBorder="1" applyAlignment="1">
      <alignment horizontal="center" vertical="center"/>
    </xf>
    <xf numFmtId="180" fontId="68" fillId="0" borderId="0" xfId="0" applyNumberFormat="1" applyFont="1" applyBorder="1" applyAlignment="1">
      <alignment horizontal="center" vertical="center"/>
    </xf>
    <xf numFmtId="179" fontId="68" fillId="0" borderId="0" xfId="0" applyNumberFormat="1" applyFont="1" applyBorder="1" applyAlignment="1">
      <alignment horizontal="center" vertical="center" wrapText="1"/>
    </xf>
    <xf numFmtId="181" fontId="68" fillId="0" borderId="0" xfId="0" applyNumberFormat="1" applyFont="1" applyBorder="1" applyAlignment="1">
      <alignment horizontal="center" vertical="center" wrapText="1"/>
    </xf>
    <xf numFmtId="0" fontId="75" fillId="5" borderId="2" xfId="0" applyFont="1" applyFill="1" applyBorder="1" applyAlignment="1">
      <alignment horizontal="right" vertical="center"/>
    </xf>
    <xf numFmtId="0" fontId="74" fillId="5" borderId="6" xfId="0" applyFont="1" applyFill="1" applyBorder="1" applyAlignment="1">
      <alignment horizontal="left" vertical="center"/>
    </xf>
    <xf numFmtId="248" fontId="68" fillId="5" borderId="4" xfId="0" applyNumberFormat="1" applyFont="1" applyFill="1" applyBorder="1" applyAlignment="1">
      <alignment horizontal="right" vertical="center"/>
    </xf>
    <xf numFmtId="248" fontId="68" fillId="5" borderId="3" xfId="0" applyNumberFormat="1" applyFont="1" applyFill="1" applyBorder="1" applyAlignment="1">
      <alignment horizontal="right" vertical="center"/>
    </xf>
    <xf numFmtId="181" fontId="0" fillId="7" borderId="1" xfId="0" applyNumberFormat="1" applyFill="1" applyBorder="1" applyAlignment="1">
      <alignment horizontal="center" vertical="center"/>
    </xf>
    <xf numFmtId="183" fontId="0" fillId="4" borderId="1" xfId="0" applyNumberFormat="1" applyFill="1" applyBorder="1" applyAlignment="1">
      <alignment horizontal="center" vertical="center"/>
    </xf>
    <xf numFmtId="184" fontId="0" fillId="4" borderId="1" xfId="0" applyNumberFormat="1" applyFill="1" applyBorder="1" applyAlignment="1">
      <alignment horizontal="center" vertical="center"/>
    </xf>
    <xf numFmtId="186" fontId="0" fillId="4" borderId="1" xfId="0" applyNumberFormat="1" applyFill="1" applyBorder="1" applyAlignment="1">
      <alignment horizontal="center" vertical="center"/>
    </xf>
    <xf numFmtId="0" fontId="0" fillId="0" borderId="9" xfId="0" applyBorder="1" applyAlignment="1">
      <alignment horizontal="center" vertical="center"/>
    </xf>
    <xf numFmtId="0" fontId="0" fillId="0" borderId="0" xfId="0" applyAlignment="1">
      <alignment horizontal="center" vertical="center"/>
    </xf>
    <xf numFmtId="0" fontId="57" fillId="0" borderId="1" xfId="0" applyFont="1" applyBorder="1" applyAlignment="1">
      <alignment vertical="center" wrapText="1"/>
    </xf>
    <xf numFmtId="0" fontId="0" fillId="0" borderId="5" xfId="0" applyBorder="1">
      <alignment vertical="center"/>
    </xf>
    <xf numFmtId="0" fontId="0" fillId="6" borderId="13" xfId="0" applyFill="1" applyBorder="1">
      <alignment vertical="center"/>
    </xf>
    <xf numFmtId="0" fontId="0" fillId="6" borderId="16" xfId="0" applyFill="1" applyBorder="1">
      <alignment vertical="center"/>
    </xf>
    <xf numFmtId="0" fontId="0" fillId="0" borderId="5" xfId="0" applyFill="1" applyBorder="1">
      <alignment vertical="center"/>
    </xf>
    <xf numFmtId="0" fontId="0" fillId="0" borderId="0" xfId="0" applyFont="1" applyFill="1" applyBorder="1" applyAlignment="1">
      <alignment horizontal="center" vertical="center"/>
    </xf>
    <xf numFmtId="9" fontId="0" fillId="11" borderId="4" xfId="0" applyNumberFormat="1" applyFill="1" applyBorder="1" applyAlignment="1">
      <alignment horizontal="center"/>
    </xf>
    <xf numFmtId="9" fontId="0" fillId="11" borderId="11" xfId="0" applyNumberFormat="1" applyFill="1" applyBorder="1" applyAlignment="1">
      <alignment horizontal="center"/>
    </xf>
    <xf numFmtId="0" fontId="0" fillId="11" borderId="1" xfId="0" applyFill="1" applyBorder="1" applyAlignment="1">
      <alignment horizontal="center"/>
    </xf>
    <xf numFmtId="181" fontId="0" fillId="11" borderId="1" xfId="0" applyNumberFormat="1" applyFill="1" applyBorder="1" applyAlignment="1">
      <alignment horizontal="center"/>
    </xf>
    <xf numFmtId="176" fontId="0" fillId="11" borderId="1" xfId="0" applyNumberFormat="1" applyFill="1" applyBorder="1" applyAlignment="1">
      <alignment horizontal="center"/>
    </xf>
    <xf numFmtId="177" fontId="0" fillId="7" borderId="1" xfId="0" applyNumberFormat="1" applyFill="1" applyBorder="1" applyAlignment="1">
      <alignment horizontal="center" vertical="center" wrapText="1"/>
    </xf>
    <xf numFmtId="177" fontId="0" fillId="7" borderId="12" xfId="0" applyNumberFormat="1" applyFill="1" applyBorder="1" applyAlignment="1">
      <alignment horizontal="center" vertical="center" wrapText="1"/>
    </xf>
    <xf numFmtId="0" fontId="1" fillId="0" borderId="0" xfId="0" applyFont="1" applyAlignment="1"/>
    <xf numFmtId="58" fontId="0" fillId="0" borderId="0" xfId="0" applyNumberFormat="1" applyAlignment="1"/>
    <xf numFmtId="0" fontId="58" fillId="5" borderId="17" xfId="0" applyFont="1" applyFill="1" applyBorder="1" applyAlignment="1">
      <alignment horizontal="center" vertical="center" wrapText="1"/>
    </xf>
    <xf numFmtId="0" fontId="58" fillId="5" borderId="18" xfId="0" applyFont="1" applyFill="1" applyBorder="1" applyAlignment="1">
      <alignment horizontal="center" vertical="center" wrapText="1"/>
    </xf>
    <xf numFmtId="0" fontId="16" fillId="4" borderId="17" xfId="0" applyFont="1" applyFill="1" applyBorder="1" applyAlignment="1">
      <alignment horizontal="center" vertical="center" wrapText="1"/>
    </xf>
    <xf numFmtId="0" fontId="16" fillId="4" borderId="18" xfId="0" applyFont="1" applyFill="1" applyBorder="1" applyAlignment="1">
      <alignment horizontal="center" vertical="center" wrapText="1"/>
    </xf>
    <xf numFmtId="0" fontId="76" fillId="0" borderId="0" xfId="0" applyFont="1">
      <alignment vertical="center"/>
    </xf>
    <xf numFmtId="0" fontId="19" fillId="0" borderId="0" xfId="0" applyFont="1" applyBorder="1" applyAlignment="1"/>
    <xf numFmtId="0" fontId="0" fillId="0" borderId="0" xfId="0" applyBorder="1" applyAlignment="1"/>
    <xf numFmtId="0" fontId="14" fillId="0" borderId="0" xfId="0" applyFont="1" applyBorder="1" applyAlignment="1"/>
    <xf numFmtId="0" fontId="76" fillId="0" borderId="0" xfId="0" applyFont="1" applyAlignment="1"/>
    <xf numFmtId="0" fontId="0" fillId="0" borderId="5" xfId="0" applyBorder="1" applyAlignment="1"/>
    <xf numFmtId="0" fontId="11" fillId="5" borderId="1" xfId="0" applyFont="1" applyFill="1" applyBorder="1" applyAlignment="1">
      <alignment horizontal="center" vertical="center"/>
    </xf>
    <xf numFmtId="0" fontId="11" fillId="5" borderId="9" xfId="0" applyFont="1" applyFill="1" applyBorder="1" applyAlignment="1">
      <alignment vertical="center"/>
    </xf>
    <xf numFmtId="0" fontId="79" fillId="4" borderId="4" xfId="0" applyFont="1" applyFill="1" applyBorder="1" applyAlignment="1">
      <alignment horizontal="right" vertical="center"/>
    </xf>
    <xf numFmtId="0" fontId="79" fillId="4" borderId="7" xfId="0" applyFont="1" applyFill="1" applyBorder="1" applyAlignment="1">
      <alignment horizontal="left" vertical="center"/>
    </xf>
    <xf numFmtId="0" fontId="11" fillId="4" borderId="4" xfId="0" applyFont="1" applyFill="1" applyBorder="1" applyAlignment="1">
      <alignment horizontal="right" vertical="center"/>
    </xf>
    <xf numFmtId="0" fontId="11" fillId="4" borderId="7" xfId="0" applyFont="1" applyFill="1" applyBorder="1" applyAlignment="1">
      <alignment horizontal="left" vertical="center"/>
    </xf>
    <xf numFmtId="0" fontId="82" fillId="0" borderId="1" xfId="0" applyFont="1" applyBorder="1" applyAlignment="1">
      <alignment horizontal="center" wrapText="1"/>
    </xf>
    <xf numFmtId="0" fontId="84" fillId="0" borderId="1" xfId="0" applyFont="1" applyBorder="1" applyAlignment="1">
      <alignment horizontal="center" wrapText="1"/>
    </xf>
    <xf numFmtId="0" fontId="82" fillId="4" borderId="1" xfId="0" applyFont="1" applyFill="1" applyBorder="1" applyAlignment="1">
      <alignment horizontal="center" wrapText="1"/>
    </xf>
    <xf numFmtId="0" fontId="41" fillId="0" borderId="4" xfId="0" applyFont="1" applyBorder="1" applyAlignment="1">
      <alignment horizontal="center" vertical="center"/>
    </xf>
    <xf numFmtId="0" fontId="86" fillId="7" borderId="7" xfId="0" applyFont="1" applyFill="1" applyBorder="1" applyAlignment="1" applyProtection="1">
      <alignment vertical="center"/>
      <protection hidden="1"/>
    </xf>
    <xf numFmtId="10" fontId="86" fillId="7" borderId="1" xfId="0" applyNumberFormat="1" applyFont="1" applyFill="1" applyBorder="1" applyAlignment="1" applyProtection="1">
      <alignment horizontal="center" vertical="center"/>
      <protection hidden="1"/>
    </xf>
    <xf numFmtId="176" fontId="86" fillId="7" borderId="1" xfId="0" applyNumberFormat="1" applyFont="1" applyFill="1" applyBorder="1" applyAlignment="1" applyProtection="1">
      <alignment horizontal="center" vertical="center"/>
      <protection hidden="1"/>
    </xf>
    <xf numFmtId="177" fontId="86" fillId="7" borderId="1" xfId="0" applyNumberFormat="1" applyFont="1" applyFill="1" applyBorder="1" applyAlignment="1" applyProtection="1">
      <alignment horizontal="center" vertical="center"/>
      <protection hidden="1"/>
    </xf>
    <xf numFmtId="0" fontId="80" fillId="0" borderId="1" xfId="0" applyFont="1" applyBorder="1" applyAlignment="1">
      <alignment horizontal="center" vertical="center" wrapText="1"/>
    </xf>
    <xf numFmtId="0" fontId="76" fillId="0" borderId="3" xfId="0" applyFont="1" applyBorder="1" applyAlignment="1">
      <alignment vertical="center"/>
    </xf>
    <xf numFmtId="180" fontId="11" fillId="4" borderId="4" xfId="0" applyNumberFormat="1" applyFont="1" applyFill="1" applyBorder="1" applyAlignment="1">
      <alignment horizontal="right" vertical="center"/>
    </xf>
    <xf numFmtId="0" fontId="80" fillId="5" borderId="1" xfId="0" applyFont="1" applyFill="1" applyBorder="1" applyAlignment="1">
      <alignment horizontal="center" vertical="center" wrapText="1"/>
    </xf>
    <xf numFmtId="0" fontId="0" fillId="5" borderId="1" xfId="0" applyFont="1" applyFill="1" applyBorder="1" applyAlignment="1">
      <alignment horizontal="center" vertical="center"/>
    </xf>
    <xf numFmtId="0" fontId="0" fillId="5" borderId="7" xfId="0" applyFill="1" applyBorder="1" applyAlignment="1">
      <alignment horizontal="center" vertical="center"/>
    </xf>
    <xf numFmtId="182" fontId="0" fillId="0" borderId="7" xfId="0" applyNumberFormat="1" applyBorder="1">
      <alignment vertical="center"/>
    </xf>
    <xf numFmtId="182" fontId="0" fillId="0" borderId="1" xfId="0" applyNumberFormat="1" applyBorder="1">
      <alignment vertical="center"/>
    </xf>
    <xf numFmtId="184" fontId="0" fillId="0" borderId="2" xfId="0" applyNumberFormat="1" applyBorder="1">
      <alignment vertical="center"/>
    </xf>
    <xf numFmtId="200" fontId="0" fillId="0" borderId="1" xfId="0" applyNumberFormat="1" applyBorder="1">
      <alignment vertical="center"/>
    </xf>
    <xf numFmtId="188" fontId="0" fillId="4" borderId="4" xfId="0" applyNumberFormat="1" applyFill="1" applyBorder="1" applyAlignment="1">
      <alignment horizontal="center" vertical="center"/>
    </xf>
    <xf numFmtId="183" fontId="0" fillId="4" borderId="4" xfId="0" applyNumberFormat="1" applyFill="1" applyBorder="1" applyAlignment="1">
      <alignment horizontal="center" vertical="center"/>
    </xf>
    <xf numFmtId="204" fontId="0" fillId="0" borderId="4" xfId="0" applyNumberFormat="1" applyBorder="1" applyAlignment="1">
      <alignment horizontal="center" vertical="center"/>
    </xf>
    <xf numFmtId="184" fontId="0" fillId="0" borderId="4" xfId="0" applyNumberFormat="1" applyBorder="1" applyAlignment="1">
      <alignment horizontal="center" vertical="center"/>
    </xf>
    <xf numFmtId="205" fontId="0" fillId="0" borderId="4" xfId="0" applyNumberFormat="1" applyBorder="1" applyAlignment="1">
      <alignment horizontal="center" vertical="center"/>
    </xf>
    <xf numFmtId="191" fontId="0" fillId="0" borderId="4" xfId="0" applyNumberFormat="1" applyBorder="1" applyAlignment="1">
      <alignment horizontal="center" vertical="center"/>
    </xf>
    <xf numFmtId="198" fontId="0" fillId="0" borderId="4" xfId="0" applyNumberFormat="1" applyBorder="1" applyAlignment="1">
      <alignment horizontal="center" vertical="center"/>
    </xf>
    <xf numFmtId="201" fontId="0" fillId="0" borderId="4" xfId="0" applyNumberFormat="1" applyBorder="1" applyAlignment="1">
      <alignment horizontal="center" vertical="center"/>
    </xf>
    <xf numFmtId="186" fontId="0" fillId="0" borderId="4" xfId="0" applyNumberFormat="1" applyBorder="1" applyAlignment="1">
      <alignment horizontal="center" vertical="center"/>
    </xf>
    <xf numFmtId="0" fontId="0" fillId="0" borderId="5" xfId="0" applyFill="1" applyBorder="1" applyAlignment="1">
      <alignment horizontal="center" vertical="center" wrapText="1"/>
    </xf>
    <xf numFmtId="0" fontId="0" fillId="0" borderId="4" xfId="0" applyFill="1" applyBorder="1" applyAlignment="1">
      <alignment horizontal="center" vertical="center" wrapText="1"/>
    </xf>
    <xf numFmtId="265" fontId="0" fillId="0" borderId="1" xfId="0" applyNumberFormat="1" applyBorder="1">
      <alignment vertical="center"/>
    </xf>
    <xf numFmtId="204" fontId="0" fillId="0" borderId="1" xfId="0" applyNumberFormat="1" applyBorder="1">
      <alignment vertical="center"/>
    </xf>
    <xf numFmtId="198" fontId="0" fillId="0" borderId="1" xfId="0" applyNumberFormat="1" applyBorder="1">
      <alignment vertical="center"/>
    </xf>
    <xf numFmtId="0" fontId="0" fillId="5" borderId="1" xfId="0" applyFill="1" applyBorder="1" applyAlignment="1">
      <alignment horizontal="center" vertical="center" wrapText="1"/>
    </xf>
    <xf numFmtId="196" fontId="0" fillId="0" borderId="1" xfId="0" applyNumberFormat="1" applyBorder="1">
      <alignment vertical="center"/>
    </xf>
    <xf numFmtId="195" fontId="0" fillId="0" borderId="1" xfId="0" applyNumberFormat="1" applyBorder="1">
      <alignment vertical="center"/>
    </xf>
    <xf numFmtId="194" fontId="0" fillId="0" borderId="1" xfId="0" applyNumberFormat="1" applyBorder="1">
      <alignment vertical="center"/>
    </xf>
    <xf numFmtId="211" fontId="0" fillId="7" borderId="4" xfId="0" applyNumberFormat="1" applyFill="1" applyBorder="1" applyAlignment="1">
      <alignment horizontal="center" vertical="center" wrapText="1"/>
    </xf>
    <xf numFmtId="212" fontId="0" fillId="7" borderId="4" xfId="0" applyNumberFormat="1" applyFill="1" applyBorder="1" applyAlignment="1">
      <alignment horizontal="center" vertical="center" wrapText="1"/>
    </xf>
    <xf numFmtId="214" fontId="0" fillId="7" borderId="4" xfId="0" applyNumberFormat="1" applyFill="1" applyBorder="1" applyAlignment="1">
      <alignment horizontal="center" vertical="center" wrapText="1"/>
    </xf>
    <xf numFmtId="215" fontId="0" fillId="7" borderId="4" xfId="0" applyNumberFormat="1" applyFill="1" applyBorder="1" applyAlignment="1">
      <alignment horizontal="center" vertical="center" wrapText="1"/>
    </xf>
    <xf numFmtId="0" fontId="0" fillId="7" borderId="13" xfId="0" applyFill="1" applyBorder="1" applyAlignment="1">
      <alignment vertical="center"/>
    </xf>
    <xf numFmtId="186" fontId="0" fillId="7" borderId="7" xfId="0" applyNumberFormat="1" applyFill="1" applyBorder="1" applyAlignment="1">
      <alignment vertical="center"/>
    </xf>
    <xf numFmtId="0" fontId="0" fillId="0" borderId="11" xfId="0" applyBorder="1">
      <alignment vertical="center"/>
    </xf>
    <xf numFmtId="0" fontId="82" fillId="0" borderId="0" xfId="0" applyFont="1" applyBorder="1" applyAlignment="1">
      <alignment horizontal="center" wrapText="1"/>
    </xf>
    <xf numFmtId="0" fontId="41" fillId="0" borderId="0" xfId="0" applyFont="1" applyBorder="1" applyAlignment="1">
      <alignment horizontal="center" vertical="center"/>
    </xf>
    <xf numFmtId="10" fontId="82" fillId="0" borderId="0" xfId="0" applyNumberFormat="1" applyFont="1" applyBorder="1" applyAlignment="1">
      <alignment horizontal="center" wrapText="1"/>
    </xf>
    <xf numFmtId="219" fontId="82" fillId="0" borderId="0" xfId="0" applyNumberFormat="1" applyFont="1" applyBorder="1" applyAlignment="1">
      <alignment horizontal="center" wrapText="1"/>
    </xf>
    <xf numFmtId="0" fontId="41" fillId="0" borderId="4" xfId="0" applyFont="1" applyBorder="1" applyAlignment="1">
      <alignment horizontal="right" vertical="center"/>
    </xf>
    <xf numFmtId="246" fontId="81" fillId="0" borderId="0" xfId="0" applyNumberFormat="1" applyFont="1" applyFill="1" applyBorder="1" applyAlignment="1">
      <alignment horizontal="center" vertical="center" wrapText="1"/>
    </xf>
    <xf numFmtId="0" fontId="91" fillId="0" borderId="0" xfId="0" applyFont="1" applyFill="1" applyBorder="1" applyAlignment="1">
      <alignment horizontal="center" vertical="center"/>
    </xf>
    <xf numFmtId="0" fontId="0" fillId="4" borderId="0" xfId="0" applyFill="1" applyAlignment="1">
      <alignment horizontal="center" vertical="center"/>
    </xf>
    <xf numFmtId="0" fontId="0" fillId="0" borderId="14" xfId="0" applyBorder="1">
      <alignment vertical="center"/>
    </xf>
    <xf numFmtId="181" fontId="0" fillId="0" borderId="0" xfId="0" applyNumberFormat="1" applyBorder="1" applyAlignment="1">
      <alignment vertical="center"/>
    </xf>
    <xf numFmtId="268" fontId="0" fillId="0" borderId="0" xfId="0" applyNumberFormat="1" applyBorder="1" applyAlignment="1">
      <alignment vertical="center"/>
    </xf>
    <xf numFmtId="181" fontId="0" fillId="0" borderId="4" xfId="0" applyNumberFormat="1" applyBorder="1">
      <alignment vertical="center"/>
    </xf>
    <xf numFmtId="181" fontId="0" fillId="0" borderId="3" xfId="0" applyNumberFormat="1" applyBorder="1">
      <alignment vertical="center"/>
    </xf>
    <xf numFmtId="0" fontId="0" fillId="0" borderId="3" xfId="0" applyFill="1" applyBorder="1" applyAlignment="1">
      <alignment vertical="center"/>
    </xf>
    <xf numFmtId="274" fontId="0" fillId="0" borderId="1" xfId="0" applyNumberFormat="1" applyBorder="1" applyAlignment="1">
      <alignment horizontal="center" vertical="center"/>
    </xf>
    <xf numFmtId="229" fontId="0" fillId="0" borderId="1" xfId="0" applyNumberFormat="1" applyBorder="1" applyAlignment="1">
      <alignment horizontal="center" vertical="center"/>
    </xf>
    <xf numFmtId="218" fontId="0" fillId="0" borderId="1" xfId="0" applyNumberFormat="1" applyBorder="1" applyAlignment="1">
      <alignment horizontal="center" vertical="center"/>
    </xf>
    <xf numFmtId="218" fontId="0" fillId="11" borderId="1" xfId="0" applyNumberFormat="1" applyFill="1" applyBorder="1" applyAlignment="1">
      <alignment horizontal="center" vertical="center"/>
    </xf>
    <xf numFmtId="10" fontId="82" fillId="0" borderId="3" xfId="0" applyNumberFormat="1" applyFont="1" applyBorder="1" applyAlignment="1">
      <alignment horizontal="left" vertical="center" wrapText="1"/>
    </xf>
    <xf numFmtId="0" fontId="0" fillId="0" borderId="3" xfId="0" applyBorder="1" applyAlignment="1">
      <alignment horizontal="left" vertical="center"/>
    </xf>
    <xf numFmtId="0" fontId="0" fillId="0" borderId="16" xfId="0" applyBorder="1">
      <alignment vertical="center"/>
    </xf>
    <xf numFmtId="0" fontId="0" fillId="0" borderId="13" xfId="0" applyBorder="1">
      <alignment vertical="center"/>
    </xf>
    <xf numFmtId="0" fontId="94" fillId="0" borderId="0" xfId="0" applyFont="1">
      <alignment vertical="center"/>
    </xf>
    <xf numFmtId="0" fontId="94" fillId="0" borderId="1" xfId="0" applyFont="1" applyBorder="1" applyAlignment="1">
      <alignment horizontal="center" vertical="center"/>
    </xf>
    <xf numFmtId="0" fontId="76" fillId="0" borderId="0" xfId="0" applyFont="1" applyFill="1" applyBorder="1" applyAlignment="1"/>
    <xf numFmtId="0" fontId="0" fillId="0" borderId="0" xfId="0" applyFill="1" applyBorder="1" applyAlignment="1"/>
    <xf numFmtId="246" fontId="0" fillId="0" borderId="0" xfId="0" applyNumberFormat="1" applyFill="1" applyBorder="1" applyAlignment="1">
      <alignment horizontal="center" vertical="center"/>
    </xf>
    <xf numFmtId="0" fontId="82" fillId="0" borderId="0" xfId="0" applyFont="1" applyFill="1" applyBorder="1" applyAlignment="1">
      <alignment horizontal="center" wrapText="1"/>
    </xf>
    <xf numFmtId="0" fontId="84" fillId="0" borderId="0" xfId="0" applyFont="1" applyFill="1" applyBorder="1" applyAlignment="1">
      <alignment horizontal="center" wrapText="1"/>
    </xf>
    <xf numFmtId="0" fontId="41" fillId="0" borderId="0" xfId="0" applyFont="1" applyFill="1" applyBorder="1" applyAlignment="1">
      <alignment horizontal="right" vertical="center"/>
    </xf>
    <xf numFmtId="10" fontId="82" fillId="0" borderId="0" xfId="0" applyNumberFormat="1" applyFont="1" applyFill="1" applyBorder="1" applyAlignment="1">
      <alignment horizontal="left" vertical="center" wrapText="1"/>
    </xf>
    <xf numFmtId="0" fontId="0" fillId="0" borderId="0" xfId="0" applyFill="1" applyBorder="1" applyAlignment="1">
      <alignment horizontal="left" vertical="center"/>
    </xf>
    <xf numFmtId="0" fontId="76" fillId="0" borderId="0" xfId="0" applyFont="1" applyFill="1" applyBorder="1" applyAlignment="1">
      <alignment horizontal="left"/>
    </xf>
    <xf numFmtId="0" fontId="90" fillId="0" borderId="0" xfId="0" applyFont="1" applyFill="1" applyBorder="1" applyAlignment="1">
      <alignment vertical="center"/>
    </xf>
    <xf numFmtId="0" fontId="0" fillId="0" borderId="0" xfId="0" applyFill="1" applyBorder="1" applyAlignment="1">
      <alignment vertical="center"/>
    </xf>
    <xf numFmtId="0" fontId="88" fillId="0" borderId="0" xfId="1" applyFont="1" applyFill="1" applyBorder="1" applyAlignment="1">
      <alignment horizontal="center" vertical="center"/>
    </xf>
    <xf numFmtId="0" fontId="88" fillId="0" borderId="0" xfId="1" applyFont="1" applyFill="1" applyBorder="1" applyAlignment="1">
      <alignment horizontal="center" vertical="center" wrapText="1"/>
    </xf>
    <xf numFmtId="259" fontId="88" fillId="0" borderId="0" xfId="1" applyNumberFormat="1" applyFont="1" applyFill="1" applyBorder="1" applyAlignment="1">
      <alignment horizontal="center" vertical="center" wrapText="1"/>
    </xf>
    <xf numFmtId="261" fontId="88" fillId="0" borderId="0" xfId="1" applyNumberFormat="1" applyFont="1" applyFill="1" applyBorder="1" applyAlignment="1">
      <alignment horizontal="center" vertical="center" wrapText="1"/>
    </xf>
    <xf numFmtId="262" fontId="88" fillId="0" borderId="0" xfId="1" applyNumberFormat="1" applyFont="1" applyFill="1" applyBorder="1" applyAlignment="1">
      <alignment horizontal="center" vertical="center" wrapText="1"/>
    </xf>
    <xf numFmtId="0" fontId="90" fillId="0" borderId="0" xfId="0" applyFont="1" applyFill="1" applyBorder="1" applyAlignment="1">
      <alignment horizontal="center" vertical="center"/>
    </xf>
    <xf numFmtId="0" fontId="90" fillId="0" borderId="0" xfId="0" applyFont="1" applyFill="1" applyBorder="1" applyAlignment="1">
      <alignment horizontal="right" vertical="center"/>
    </xf>
    <xf numFmtId="10" fontId="82" fillId="0" borderId="0" xfId="0" applyNumberFormat="1" applyFont="1" applyFill="1" applyBorder="1" applyAlignment="1">
      <alignment horizontal="center" wrapText="1"/>
    </xf>
    <xf numFmtId="0" fontId="41" fillId="0" borderId="0" xfId="0" applyFont="1" applyFill="1" applyBorder="1" applyAlignment="1">
      <alignment horizontal="center" vertical="center"/>
    </xf>
    <xf numFmtId="219" fontId="82" fillId="0" borderId="0" xfId="0" applyNumberFormat="1" applyFont="1" applyFill="1" applyBorder="1" applyAlignment="1">
      <alignment horizontal="center" wrapText="1"/>
    </xf>
    <xf numFmtId="0" fontId="96" fillId="0" borderId="0" xfId="0" applyFont="1" applyBorder="1" applyAlignment="1">
      <alignment horizontal="center" vertical="center"/>
    </xf>
    <xf numFmtId="0" fontId="97" fillId="0" borderId="0" xfId="0" applyFont="1" applyBorder="1" applyAlignment="1">
      <alignment horizontal="center" vertical="center" wrapText="1"/>
    </xf>
    <xf numFmtId="0" fontId="95" fillId="0" borderId="0" xfId="0" applyFont="1" applyBorder="1" applyAlignment="1">
      <alignment horizontal="center" vertical="center" wrapText="1"/>
    </xf>
    <xf numFmtId="0" fontId="98" fillId="0" borderId="0" xfId="0" applyFont="1" applyFill="1" applyBorder="1" applyAlignment="1">
      <alignment horizontal="center" vertical="center"/>
    </xf>
    <xf numFmtId="0" fontId="94" fillId="0" borderId="0" xfId="0" applyFont="1" applyBorder="1" applyAlignment="1">
      <alignment horizontal="left"/>
    </xf>
    <xf numFmtId="49" fontId="94" fillId="0" borderId="0" xfId="0" applyNumberFormat="1" applyFont="1" applyAlignment="1">
      <alignment horizontal="right"/>
    </xf>
    <xf numFmtId="0" fontId="94" fillId="0" borderId="1" xfId="0" applyFont="1" applyBorder="1" applyAlignment="1">
      <alignment horizontal="center" vertical="center" wrapText="1"/>
    </xf>
    <xf numFmtId="264" fontId="0" fillId="0" borderId="1" xfId="0" applyNumberFormat="1" applyBorder="1" applyAlignment="1">
      <alignment horizontal="center" vertical="center"/>
    </xf>
    <xf numFmtId="262" fontId="0" fillId="0" borderId="1" xfId="0" applyNumberFormat="1" applyBorder="1" applyAlignment="1">
      <alignment horizontal="center" vertical="center"/>
    </xf>
    <xf numFmtId="261" fontId="0" fillId="0" borderId="1" xfId="0" applyNumberFormat="1" applyBorder="1" applyAlignment="1">
      <alignment horizontal="center" vertical="center"/>
    </xf>
    <xf numFmtId="0" fontId="94" fillId="0" borderId="0" xfId="0" applyFont="1" applyBorder="1">
      <alignment vertical="center"/>
    </xf>
    <xf numFmtId="0" fontId="94" fillId="0" borderId="0" xfId="0" applyFont="1" applyBorder="1" applyAlignment="1">
      <alignment horizontal="right" vertical="center"/>
    </xf>
    <xf numFmtId="0" fontId="94" fillId="0" borderId="0" xfId="0" applyFont="1" applyAlignment="1">
      <alignment horizontal="right"/>
    </xf>
    <xf numFmtId="0" fontId="82" fillId="0" borderId="4" xfId="0" applyFont="1" applyBorder="1" applyAlignment="1">
      <alignment horizontal="center" wrapText="1"/>
    </xf>
    <xf numFmtId="0" fontId="82" fillId="0" borderId="5" xfId="0" applyFont="1" applyBorder="1" applyAlignment="1">
      <alignment horizontal="center" wrapText="1"/>
    </xf>
    <xf numFmtId="0" fontId="82" fillId="4" borderId="4" xfId="0" applyFont="1" applyFill="1" applyBorder="1" applyAlignment="1">
      <alignment horizontal="center" wrapText="1"/>
    </xf>
    <xf numFmtId="0" fontId="82" fillId="0" borderId="5" xfId="0" applyFont="1" applyFill="1" applyBorder="1" applyAlignment="1">
      <alignment horizontal="center" wrapText="1"/>
    </xf>
    <xf numFmtId="10" fontId="82" fillId="0" borderId="7" xfId="0" applyNumberFormat="1" applyFont="1" applyBorder="1" applyAlignment="1">
      <alignment horizontal="left" vertical="center" wrapText="1"/>
    </xf>
    <xf numFmtId="0" fontId="100" fillId="0" borderId="0" xfId="0" applyFont="1">
      <alignment vertical="center"/>
    </xf>
    <xf numFmtId="0" fontId="0" fillId="0" borderId="0" xfId="0" applyFont="1" applyAlignment="1">
      <alignment horizontal="right"/>
    </xf>
    <xf numFmtId="0" fontId="101" fillId="0" borderId="0" xfId="0" applyFont="1" applyBorder="1" applyAlignment="1">
      <alignment vertical="center"/>
    </xf>
    <xf numFmtId="0" fontId="99" fillId="0" borderId="0" xfId="0" applyFont="1" applyBorder="1" applyAlignment="1">
      <alignment horizontal="center" vertical="center" wrapText="1"/>
    </xf>
    <xf numFmtId="0" fontId="100" fillId="0" borderId="0" xfId="0" applyFont="1" applyAlignment="1"/>
    <xf numFmtId="0" fontId="100" fillId="0" borderId="14" xfId="0" applyFont="1" applyBorder="1">
      <alignment vertical="center"/>
    </xf>
    <xf numFmtId="0" fontId="101" fillId="0" borderId="0" xfId="0" applyFont="1" applyFill="1" applyBorder="1" applyAlignment="1">
      <alignment horizontal="center" vertical="center"/>
    </xf>
    <xf numFmtId="0" fontId="0" fillId="0" borderId="16" xfId="0" applyBorder="1" applyAlignment="1"/>
    <xf numFmtId="0" fontId="0" fillId="0" borderId="5" xfId="0" applyFill="1" applyBorder="1" applyAlignment="1">
      <alignment horizontal="left" vertical="center"/>
    </xf>
    <xf numFmtId="0" fontId="0" fillId="0" borderId="16" xfId="0" applyFill="1" applyBorder="1" applyAlignment="1">
      <alignment horizontal="left" vertical="center"/>
    </xf>
    <xf numFmtId="0" fontId="100" fillId="0" borderId="0" xfId="0" applyFont="1" applyBorder="1" applyAlignment="1">
      <alignment horizontal="left"/>
    </xf>
    <xf numFmtId="0" fontId="100" fillId="0" borderId="16" xfId="0" applyFont="1" applyBorder="1" applyAlignment="1">
      <alignment horizontal="left"/>
    </xf>
    <xf numFmtId="49" fontId="100" fillId="0" borderId="5" xfId="0" applyNumberFormat="1" applyFont="1" applyBorder="1" applyAlignment="1">
      <alignment horizontal="right"/>
    </xf>
    <xf numFmtId="0" fontId="0" fillId="0" borderId="0" xfId="0" applyFont="1" applyBorder="1">
      <alignment vertical="center"/>
    </xf>
    <xf numFmtId="0" fontId="100" fillId="0" borderId="1" xfId="0" applyFont="1" applyBorder="1" applyAlignment="1">
      <alignment horizontal="center" vertical="center"/>
    </xf>
    <xf numFmtId="0" fontId="100" fillId="0" borderId="1" xfId="0" applyFont="1" applyBorder="1" applyAlignment="1">
      <alignment horizontal="center" vertical="center" wrapText="1"/>
    </xf>
    <xf numFmtId="280" fontId="0" fillId="0" borderId="1" xfId="0" applyNumberFormat="1" applyBorder="1" applyAlignment="1">
      <alignment horizontal="center" vertical="center"/>
    </xf>
    <xf numFmtId="0" fontId="100" fillId="0" borderId="0" xfId="0" applyFont="1" applyBorder="1">
      <alignment vertical="center"/>
    </xf>
    <xf numFmtId="0" fontId="100" fillId="0" borderId="0" xfId="0" applyFont="1" applyBorder="1" applyAlignment="1">
      <alignment horizontal="center" vertical="center"/>
    </xf>
    <xf numFmtId="0" fontId="100" fillId="0" borderId="0" xfId="0" applyFont="1" applyBorder="1" applyAlignment="1">
      <alignment horizontal="right" vertical="center"/>
    </xf>
    <xf numFmtId="0" fontId="82" fillId="0" borderId="16" xfId="0" applyFont="1" applyBorder="1" applyAlignment="1">
      <alignment horizontal="center" wrapText="1"/>
    </xf>
    <xf numFmtId="10" fontId="82" fillId="0" borderId="2" xfId="0" applyNumberFormat="1" applyFont="1" applyBorder="1" applyAlignment="1">
      <alignment horizontal="center" wrapText="1"/>
    </xf>
    <xf numFmtId="0" fontId="41" fillId="0" borderId="2" xfId="0" applyFont="1" applyBorder="1" applyAlignment="1">
      <alignment horizontal="center" vertical="center"/>
    </xf>
    <xf numFmtId="219" fontId="82" fillId="0" borderId="2" xfId="0" applyNumberFormat="1" applyFont="1" applyBorder="1" applyAlignment="1">
      <alignment horizontal="center" wrapText="1"/>
    </xf>
    <xf numFmtId="0" fontId="82" fillId="0" borderId="2" xfId="0" applyFont="1" applyBorder="1" applyAlignment="1">
      <alignment horizontal="center" wrapText="1"/>
    </xf>
    <xf numFmtId="0" fontId="82" fillId="0" borderId="6" xfId="0" applyFont="1" applyBorder="1" applyAlignment="1">
      <alignment horizontal="center" wrapText="1"/>
    </xf>
    <xf numFmtId="0" fontId="0" fillId="0" borderId="0" xfId="0" applyAlignment="1">
      <alignment horizontal="right"/>
    </xf>
    <xf numFmtId="0" fontId="99" fillId="6" borderId="5" xfId="0" applyFont="1" applyFill="1" applyBorder="1" applyAlignment="1">
      <alignment horizontal="center" wrapText="1"/>
    </xf>
    <xf numFmtId="10" fontId="82" fillId="0" borderId="3" xfId="0" applyNumberFormat="1" applyFont="1" applyBorder="1" applyAlignment="1">
      <alignment vertical="center" wrapText="1"/>
    </xf>
    <xf numFmtId="0" fontId="84" fillId="0" borderId="0" xfId="0" applyFont="1" applyBorder="1" applyAlignment="1">
      <alignment horizontal="center" wrapText="1"/>
    </xf>
    <xf numFmtId="0" fontId="102" fillId="0" borderId="0" xfId="0" applyFont="1" applyBorder="1" applyAlignment="1">
      <alignment horizontal="center" vertical="center"/>
    </xf>
    <xf numFmtId="0" fontId="103" fillId="0" borderId="0" xfId="0" applyFont="1" applyBorder="1" applyAlignment="1">
      <alignment horizontal="center" vertical="center" wrapText="1"/>
    </xf>
    <xf numFmtId="10" fontId="82" fillId="0" borderId="4" xfId="0" applyNumberFormat="1" applyFont="1" applyBorder="1" applyAlignment="1">
      <alignment vertical="center" wrapText="1"/>
    </xf>
    <xf numFmtId="49" fontId="100" fillId="0" borderId="0" xfId="0" applyNumberFormat="1" applyFont="1" applyAlignment="1">
      <alignment horizontal="right"/>
    </xf>
    <xf numFmtId="264" fontId="0" fillId="4" borderId="1" xfId="0" applyNumberFormat="1" applyFill="1" applyBorder="1" applyAlignment="1">
      <alignment horizontal="center" vertical="center"/>
    </xf>
    <xf numFmtId="0" fontId="104" fillId="0" borderId="1" xfId="0" applyFont="1" applyBorder="1" applyAlignment="1">
      <alignment horizontal="center" vertical="center" wrapText="1"/>
    </xf>
    <xf numFmtId="0" fontId="104" fillId="0" borderId="4" xfId="0" applyFont="1" applyBorder="1" applyAlignment="1">
      <alignment horizontal="center" vertical="center" wrapText="1"/>
    </xf>
    <xf numFmtId="10" fontId="104" fillId="0" borderId="1" xfId="0" applyNumberFormat="1" applyFont="1" applyBorder="1" applyAlignment="1">
      <alignment horizontal="center" vertical="center"/>
    </xf>
    <xf numFmtId="0" fontId="104" fillId="0" borderId="1" xfId="0" applyFont="1" applyBorder="1" applyAlignment="1">
      <alignment horizontal="center" vertical="center"/>
    </xf>
    <xf numFmtId="219" fontId="104" fillId="0" borderId="1" xfId="0" applyNumberFormat="1" applyFont="1" applyBorder="1" applyAlignment="1">
      <alignment horizontal="center" vertical="center"/>
    </xf>
    <xf numFmtId="246" fontId="104" fillId="0" borderId="1" xfId="0" applyNumberFormat="1" applyFont="1" applyBorder="1" applyAlignment="1">
      <alignment horizontal="center" vertical="center"/>
    </xf>
    <xf numFmtId="0" fontId="2" fillId="0" borderId="0" xfId="0" applyFont="1" applyBorder="1" applyAlignment="1">
      <alignment horizontal="center" vertical="center" wrapText="1"/>
    </xf>
    <xf numFmtId="0" fontId="54" fillId="0" borderId="0" xfId="0" applyFont="1" applyBorder="1" applyAlignment="1">
      <alignment horizontal="center" vertical="center"/>
    </xf>
    <xf numFmtId="246" fontId="0" fillId="0" borderId="0" xfId="0" applyNumberFormat="1" applyBorder="1" applyAlignment="1">
      <alignment horizontal="center" vertical="center"/>
    </xf>
    <xf numFmtId="0" fontId="54" fillId="0" borderId="0" xfId="0" applyFont="1" applyFill="1" applyBorder="1" applyAlignment="1">
      <alignment horizontal="center" vertical="center"/>
    </xf>
    <xf numFmtId="0" fontId="0" fillId="0" borderId="5" xfId="0" applyFill="1" applyBorder="1" applyAlignment="1">
      <alignment vertical="center"/>
    </xf>
    <xf numFmtId="0" fontId="1" fillId="0" borderId="0" xfId="0" applyFont="1" applyBorder="1" applyAlignment="1">
      <alignment horizontal="left"/>
    </xf>
    <xf numFmtId="49" fontId="1" fillId="0" borderId="0" xfId="0" applyNumberFormat="1" applyFont="1" applyAlignment="1">
      <alignment horizontal="right"/>
    </xf>
    <xf numFmtId="262" fontId="0" fillId="0" borderId="1" xfId="0" applyNumberFormat="1" applyBorder="1">
      <alignment vertical="center"/>
    </xf>
    <xf numFmtId="0" fontId="1" fillId="0" borderId="0" xfId="0" applyFont="1" applyBorder="1" applyAlignment="1">
      <alignment horizontal="center" vertical="center"/>
    </xf>
    <xf numFmtId="0" fontId="1" fillId="0" borderId="0" xfId="0" applyFont="1" applyBorder="1">
      <alignment vertical="center"/>
    </xf>
    <xf numFmtId="0" fontId="1" fillId="0" borderId="0" xfId="0" applyFont="1" applyBorder="1" applyAlignment="1">
      <alignment horizontal="right" vertical="center"/>
    </xf>
    <xf numFmtId="0" fontId="106" fillId="0" borderId="0" xfId="0" applyFont="1">
      <alignment vertical="center"/>
    </xf>
    <xf numFmtId="0" fontId="108" fillId="0" borderId="0" xfId="0" applyFont="1" applyBorder="1" applyAlignment="1">
      <alignment horizontal="center" vertical="center"/>
    </xf>
    <xf numFmtId="0" fontId="107" fillId="0" borderId="0" xfId="0" applyFont="1" applyBorder="1" applyAlignment="1">
      <alignment horizontal="center" vertical="center" wrapText="1"/>
    </xf>
    <xf numFmtId="0" fontId="106" fillId="0" borderId="0" xfId="0" applyFont="1" applyAlignment="1"/>
    <xf numFmtId="0" fontId="110" fillId="0" borderId="0" xfId="0" applyFont="1" applyBorder="1" applyAlignment="1">
      <alignment horizontal="center" vertical="center"/>
    </xf>
    <xf numFmtId="0" fontId="110" fillId="0" borderId="0" xfId="0" applyFont="1" applyFill="1" applyBorder="1" applyAlignment="1">
      <alignment horizontal="center" vertical="center"/>
    </xf>
    <xf numFmtId="0" fontId="106" fillId="0" borderId="0" xfId="0" applyFont="1" applyBorder="1" applyAlignment="1">
      <alignment horizontal="left"/>
    </xf>
    <xf numFmtId="49" fontId="106" fillId="0" borderId="0" xfId="0" applyNumberFormat="1" applyFont="1" applyAlignment="1">
      <alignment horizontal="right"/>
    </xf>
    <xf numFmtId="0" fontId="106" fillId="0" borderId="1" xfId="0" applyFont="1" applyBorder="1" applyAlignment="1">
      <alignment horizontal="center" vertical="center"/>
    </xf>
    <xf numFmtId="0" fontId="106" fillId="0" borderId="1" xfId="0" applyFont="1" applyBorder="1">
      <alignment vertical="center"/>
    </xf>
    <xf numFmtId="0" fontId="111" fillId="0" borderId="1" xfId="0" applyFont="1" applyBorder="1" applyAlignment="1">
      <alignment vertical="center" wrapText="1"/>
    </xf>
    <xf numFmtId="0" fontId="106" fillId="0" borderId="0" xfId="0" applyFont="1" applyBorder="1" applyAlignment="1">
      <alignment horizontal="center" vertical="center"/>
    </xf>
    <xf numFmtId="0" fontId="106" fillId="0" borderId="0" xfId="0" applyFont="1" applyBorder="1">
      <alignment vertical="center"/>
    </xf>
    <xf numFmtId="0" fontId="106" fillId="0" borderId="0" xfId="0" applyFont="1" applyBorder="1" applyAlignment="1">
      <alignment horizontal="right" vertical="center"/>
    </xf>
    <xf numFmtId="10" fontId="113" fillId="4" borderId="1" xfId="0" applyNumberFormat="1" applyFont="1" applyFill="1" applyBorder="1" applyAlignment="1">
      <alignment horizontal="center" vertical="center"/>
    </xf>
    <xf numFmtId="181" fontId="113" fillId="5" borderId="1" xfId="0" applyNumberFormat="1" applyFont="1" applyFill="1" applyBorder="1" applyAlignment="1">
      <alignment horizontal="center" vertical="center"/>
    </xf>
    <xf numFmtId="219" fontId="113" fillId="7" borderId="1" xfId="0" applyNumberFormat="1" applyFont="1" applyFill="1" applyBorder="1" applyAlignment="1">
      <alignment horizontal="center" vertical="center"/>
    </xf>
    <xf numFmtId="259" fontId="106" fillId="0" borderId="1" xfId="0" applyNumberFormat="1" applyFont="1" applyBorder="1" applyAlignment="1">
      <alignment horizontal="center" vertical="center"/>
    </xf>
    <xf numFmtId="184" fontId="106" fillId="0" borderId="1" xfId="17" applyNumberFormat="1" applyFont="1" applyBorder="1" applyAlignment="1">
      <alignment horizontal="center" vertical="center"/>
    </xf>
    <xf numFmtId="184" fontId="106" fillId="0" borderId="4" xfId="0" applyNumberFormat="1" applyFont="1" applyBorder="1" applyAlignment="1">
      <alignment vertical="center"/>
    </xf>
    <xf numFmtId="184" fontId="106" fillId="0" borderId="1" xfId="0" applyNumberFormat="1" applyFont="1" applyBorder="1" applyAlignment="1">
      <alignment horizontal="center" vertical="center"/>
    </xf>
    <xf numFmtId="0" fontId="106" fillId="0" borderId="0" xfId="2" applyFont="1" applyBorder="1" applyAlignment="1">
      <alignment horizontal="center" vertical="center"/>
    </xf>
    <xf numFmtId="0" fontId="106" fillId="0" borderId="0" xfId="2" applyFont="1">
      <alignment vertical="center"/>
    </xf>
    <xf numFmtId="0" fontId="41" fillId="0" borderId="0" xfId="2" applyFont="1" applyAlignment="1">
      <alignment horizontal="right" vertical="center"/>
    </xf>
    <xf numFmtId="0" fontId="1" fillId="0" borderId="0" xfId="2">
      <alignment vertical="center"/>
    </xf>
    <xf numFmtId="0" fontId="106" fillId="0" borderId="0" xfId="0" applyFont="1" applyAlignment="1">
      <alignment horizontal="right"/>
    </xf>
    <xf numFmtId="184" fontId="114" fillId="0" borderId="1" xfId="17" applyNumberFormat="1" applyFont="1" applyBorder="1" applyAlignment="1">
      <alignment horizontal="center" vertical="center"/>
    </xf>
    <xf numFmtId="184" fontId="114" fillId="0" borderId="4" xfId="0" applyNumberFormat="1" applyFont="1" applyBorder="1" applyAlignment="1">
      <alignment vertical="center"/>
    </xf>
    <xf numFmtId="184" fontId="114" fillId="0" borderId="1" xfId="0" applyNumberFormat="1" applyFont="1" applyBorder="1" applyAlignment="1">
      <alignment horizontal="center" vertical="center"/>
    </xf>
    <xf numFmtId="0" fontId="106" fillId="0" borderId="0" xfId="0" applyFont="1" applyAlignment="1">
      <alignment horizontal="center" vertical="center"/>
    </xf>
    <xf numFmtId="0" fontId="53" fillId="0" borderId="19" xfId="0" applyFont="1" applyBorder="1" applyAlignment="1">
      <alignment horizontal="center" vertical="center" wrapText="1"/>
    </xf>
    <xf numFmtId="0" fontId="53" fillId="0" borderId="20" xfId="0" applyFont="1" applyBorder="1" applyAlignment="1">
      <alignment horizontal="center" vertical="center" wrapText="1"/>
    </xf>
    <xf numFmtId="0" fontId="53" fillId="0" borderId="21" xfId="0" applyFont="1" applyBorder="1" applyAlignment="1">
      <alignment horizontal="center" vertical="center" wrapText="1"/>
    </xf>
    <xf numFmtId="246" fontId="106" fillId="0" borderId="0" xfId="2" applyNumberFormat="1" applyFont="1" applyAlignment="1">
      <alignment horizontal="left" vertical="center"/>
    </xf>
    <xf numFmtId="0" fontId="106" fillId="0" borderId="0" xfId="2" applyFont="1" applyBorder="1">
      <alignment vertical="center"/>
    </xf>
    <xf numFmtId="246" fontId="82" fillId="0" borderId="0" xfId="0" applyNumberFormat="1" applyFont="1" applyBorder="1" applyAlignment="1">
      <alignment horizontal="center" wrapText="1"/>
    </xf>
    <xf numFmtId="0" fontId="113" fillId="0" borderId="1" xfId="0" applyFont="1" applyBorder="1" applyAlignment="1">
      <alignment horizontal="center" vertical="center" wrapText="1"/>
    </xf>
    <xf numFmtId="229" fontId="113" fillId="0" borderId="1" xfId="0" applyNumberFormat="1" applyFont="1" applyBorder="1" applyAlignment="1">
      <alignment horizontal="center" vertical="center" wrapText="1"/>
    </xf>
    <xf numFmtId="177" fontId="82" fillId="0" borderId="0" xfId="0" applyNumberFormat="1" applyFont="1" applyBorder="1" applyAlignment="1">
      <alignment horizontal="center" wrapText="1"/>
    </xf>
    <xf numFmtId="261" fontId="114" fillId="0" borderId="1" xfId="0" applyNumberFormat="1" applyFont="1" applyBorder="1" applyAlignment="1">
      <alignment horizontal="center" vertical="center" wrapText="1"/>
    </xf>
    <xf numFmtId="259" fontId="114" fillId="0" borderId="1" xfId="0" applyNumberFormat="1" applyFont="1" applyBorder="1" applyAlignment="1">
      <alignment horizontal="center" vertical="center" wrapText="1"/>
    </xf>
    <xf numFmtId="246" fontId="106" fillId="0" borderId="3" xfId="2" applyNumberFormat="1" applyFont="1" applyBorder="1" applyAlignment="1">
      <alignment vertical="center"/>
    </xf>
    <xf numFmtId="246" fontId="106" fillId="0" borderId="7" xfId="2" applyNumberFormat="1" applyFont="1" applyBorder="1" applyAlignment="1">
      <alignment vertical="center"/>
    </xf>
    <xf numFmtId="178" fontId="113" fillId="0" borderId="1" xfId="0" applyNumberFormat="1" applyFont="1" applyBorder="1" applyAlignment="1">
      <alignment horizontal="center" vertical="center" wrapText="1"/>
    </xf>
    <xf numFmtId="191" fontId="113" fillId="0" borderId="1" xfId="0" applyNumberFormat="1" applyFont="1" applyBorder="1" applyAlignment="1">
      <alignment horizontal="center" vertical="center" wrapText="1"/>
    </xf>
    <xf numFmtId="179" fontId="113" fillId="0" borderId="1" xfId="0" applyNumberFormat="1" applyFont="1" applyBorder="1" applyAlignment="1">
      <alignment horizontal="center" vertical="center" wrapText="1"/>
    </xf>
    <xf numFmtId="0" fontId="1" fillId="12" borderId="0" xfId="2" applyFill="1">
      <alignment vertical="center"/>
    </xf>
    <xf numFmtId="0" fontId="112" fillId="0" borderId="9" xfId="0" applyFont="1" applyBorder="1" applyAlignment="1">
      <alignment horizontal="center" vertical="center"/>
    </xf>
    <xf numFmtId="0" fontId="106" fillId="0" borderId="4" xfId="0" applyFont="1" applyBorder="1" applyAlignment="1">
      <alignment vertical="center" wrapText="1"/>
    </xf>
    <xf numFmtId="0" fontId="1" fillId="0" borderId="0" xfId="0" applyFont="1" applyAlignment="1">
      <alignment horizontal="left" vertical="center"/>
    </xf>
    <xf numFmtId="197" fontId="0" fillId="0" borderId="0" xfId="0" applyNumberFormat="1" applyBorder="1" applyAlignment="1">
      <alignment horizontal="center" vertical="center"/>
    </xf>
    <xf numFmtId="201" fontId="0" fillId="0" borderId="0" xfId="0" applyNumberFormat="1" applyBorder="1" applyAlignment="1">
      <alignment horizontal="center" vertical="center"/>
    </xf>
    <xf numFmtId="186" fontId="0" fillId="0" borderId="0" xfId="0" applyNumberFormat="1" applyBorder="1" applyAlignment="1">
      <alignment horizontal="center" vertical="center"/>
    </xf>
    <xf numFmtId="200" fontId="0" fillId="0" borderId="0" xfId="0" applyNumberFormat="1" applyBorder="1">
      <alignment vertical="center"/>
    </xf>
    <xf numFmtId="0" fontId="0" fillId="2" borderId="8" xfId="0" applyFont="1" applyFill="1" applyBorder="1" applyAlignment="1">
      <alignment horizontal="center" vertical="center"/>
    </xf>
    <xf numFmtId="0" fontId="1" fillId="2" borderId="0" xfId="0" applyFont="1" applyFill="1" applyBorder="1">
      <alignment vertical="center"/>
    </xf>
    <xf numFmtId="0" fontId="117" fillId="0" borderId="0" xfId="0" applyFont="1">
      <alignment vertical="center"/>
    </xf>
    <xf numFmtId="0" fontId="0" fillId="0" borderId="0" xfId="9" applyFont="1">
      <alignment vertical="center"/>
    </xf>
    <xf numFmtId="0" fontId="120" fillId="0" borderId="1" xfId="0" applyFont="1" applyBorder="1" applyAlignment="1">
      <alignment horizontal="center" vertical="center"/>
    </xf>
    <xf numFmtId="0" fontId="121" fillId="0" borderId="0" xfId="0" applyFont="1" applyBorder="1" applyAlignment="1">
      <alignment horizontal="center" vertical="center" wrapText="1"/>
    </xf>
    <xf numFmtId="0" fontId="120" fillId="0" borderId="1" xfId="0" applyFont="1" applyBorder="1" applyAlignment="1">
      <alignment horizontal="center" vertical="center" wrapText="1"/>
    </xf>
    <xf numFmtId="0" fontId="120" fillId="0" borderId="0" xfId="0" applyFont="1" applyBorder="1">
      <alignment vertical="center"/>
    </xf>
    <xf numFmtId="0" fontId="120" fillId="0" borderId="14" xfId="0" applyFont="1" applyBorder="1">
      <alignment vertical="center"/>
    </xf>
    <xf numFmtId="0" fontId="0" fillId="0" borderId="1" xfId="0" applyFont="1" applyBorder="1" applyAlignment="1">
      <alignment horizontal="center" vertical="center" wrapText="1"/>
    </xf>
    <xf numFmtId="0" fontId="0" fillId="0" borderId="7" xfId="0" applyBorder="1" applyAlignment="1"/>
    <xf numFmtId="0" fontId="11" fillId="5" borderId="13" xfId="0" applyFont="1" applyFill="1" applyBorder="1" applyAlignment="1">
      <alignment horizontal="left" vertical="center"/>
    </xf>
    <xf numFmtId="0" fontId="0" fillId="5" borderId="16" xfId="0" applyFill="1" applyBorder="1" applyAlignment="1">
      <alignment horizontal="left"/>
    </xf>
    <xf numFmtId="0" fontId="0" fillId="5" borderId="6" xfId="0" applyFill="1" applyBorder="1" applyAlignment="1">
      <alignment horizontal="left"/>
    </xf>
    <xf numFmtId="0" fontId="0" fillId="0" borderId="2" xfId="0" applyFill="1" applyBorder="1" applyAlignment="1"/>
    <xf numFmtId="177" fontId="9" fillId="0" borderId="5" xfId="0" applyNumberFormat="1" applyFont="1" applyBorder="1" applyAlignment="1">
      <alignment vertical="center"/>
    </xf>
    <xf numFmtId="0" fontId="0" fillId="0" borderId="3" xfId="0" applyFill="1" applyBorder="1" applyAlignment="1"/>
    <xf numFmtId="177" fontId="0" fillId="0" borderId="3" xfId="0" applyNumberFormat="1" applyFill="1" applyBorder="1" applyAlignment="1">
      <alignment horizontal="left" vertical="center"/>
    </xf>
    <xf numFmtId="0" fontId="1" fillId="0" borderId="0" xfId="0" applyFont="1" applyBorder="1" applyAlignment="1"/>
    <xf numFmtId="0" fontId="1" fillId="0" borderId="4" xfId="0" applyFont="1" applyBorder="1" applyAlignment="1">
      <alignment horizontal="center" vertical="center"/>
    </xf>
    <xf numFmtId="0" fontId="0" fillId="0" borderId="7" xfId="0" applyBorder="1" applyAlignment="1">
      <alignment horizontal="left" vertical="center"/>
    </xf>
    <xf numFmtId="0" fontId="0" fillId="0" borderId="1" xfId="0" applyBorder="1" applyAlignment="1">
      <alignment horizontal="left" vertical="center"/>
    </xf>
    <xf numFmtId="0" fontId="122" fillId="0" borderId="0" xfId="0" applyFont="1">
      <alignment vertical="center"/>
    </xf>
    <xf numFmtId="0" fontId="0" fillId="5" borderId="16" xfId="0" applyFill="1" applyBorder="1" applyAlignment="1">
      <alignment horizontal="center"/>
    </xf>
    <xf numFmtId="0" fontId="11" fillId="0" borderId="13" xfId="0" applyFont="1" applyFill="1" applyBorder="1" applyAlignment="1">
      <alignment horizontal="left" vertical="center"/>
    </xf>
    <xf numFmtId="0" fontId="11" fillId="0" borderId="1" xfId="0" applyFont="1" applyFill="1" applyBorder="1" applyAlignment="1">
      <alignment horizontal="center" vertical="center"/>
    </xf>
    <xf numFmtId="10" fontId="86" fillId="0" borderId="1" xfId="0" applyNumberFormat="1" applyFont="1" applyFill="1" applyBorder="1" applyAlignment="1" applyProtection="1">
      <alignment horizontal="center" vertical="center"/>
      <protection hidden="1"/>
    </xf>
    <xf numFmtId="0" fontId="11" fillId="0" borderId="16" xfId="0" applyFont="1" applyFill="1" applyBorder="1" applyAlignment="1">
      <alignment horizontal="center" vertical="center"/>
    </xf>
    <xf numFmtId="177" fontId="86" fillId="0" borderId="1" xfId="0" applyNumberFormat="1" applyFont="1" applyFill="1" applyBorder="1" applyAlignment="1" applyProtection="1">
      <alignment horizontal="center" vertical="center"/>
      <protection hidden="1"/>
    </xf>
    <xf numFmtId="0" fontId="11" fillId="0" borderId="6" xfId="0" applyFont="1" applyFill="1" applyBorder="1" applyAlignment="1">
      <alignment horizontal="center" vertical="center"/>
    </xf>
    <xf numFmtId="0" fontId="11" fillId="0" borderId="13" xfId="0" applyFont="1" applyFill="1" applyBorder="1" applyAlignment="1">
      <alignment horizontal="center" vertical="center"/>
    </xf>
    <xf numFmtId="177" fontId="9" fillId="0" borderId="7" xfId="0" applyNumberFormat="1" applyFont="1" applyFill="1" applyBorder="1" applyAlignment="1">
      <alignment horizontal="left" vertical="center"/>
    </xf>
    <xf numFmtId="0" fontId="123" fillId="0" borderId="0" xfId="0" applyFont="1">
      <alignment vertical="center"/>
    </xf>
    <xf numFmtId="0" fontId="122" fillId="0" borderId="7" xfId="0" applyFont="1" applyBorder="1" applyAlignment="1">
      <alignment vertical="center"/>
    </xf>
    <xf numFmtId="0" fontId="123" fillId="0" borderId="2" xfId="0" applyFont="1" applyBorder="1" applyAlignment="1"/>
    <xf numFmtId="0" fontId="122" fillId="0" borderId="2" xfId="0" applyFont="1" applyBorder="1" applyAlignment="1"/>
    <xf numFmtId="0" fontId="122" fillId="0" borderId="1" xfId="0" applyFont="1" applyBorder="1" applyAlignment="1">
      <alignment vertical="center" wrapText="1"/>
    </xf>
    <xf numFmtId="0" fontId="127" fillId="2" borderId="0" xfId="0" applyFont="1" applyFill="1">
      <alignment vertical="center"/>
    </xf>
    <xf numFmtId="0" fontId="124" fillId="0" borderId="0" xfId="0" applyFont="1" applyBorder="1" applyAlignment="1">
      <alignment horizontal="center" vertical="center" wrapText="1"/>
    </xf>
    <xf numFmtId="0" fontId="67" fillId="0" borderId="0" xfId="0" applyFont="1" applyBorder="1" applyAlignment="1">
      <alignment horizontal="center" vertical="top" wrapText="1"/>
    </xf>
    <xf numFmtId="0" fontId="20" fillId="0" borderId="2" xfId="0" applyFont="1" applyFill="1" applyBorder="1" applyAlignment="1"/>
    <xf numFmtId="0" fontId="76" fillId="0" borderId="3" xfId="0" applyFont="1" applyBorder="1" applyAlignment="1"/>
    <xf numFmtId="0" fontId="76" fillId="0" borderId="7" xfId="0" applyFont="1" applyBorder="1" applyAlignment="1"/>
    <xf numFmtId="181" fontId="11" fillId="7" borderId="4" xfId="0" applyNumberFormat="1" applyFont="1" applyFill="1" applyBorder="1" applyAlignment="1">
      <alignment horizontal="center" vertical="center"/>
    </xf>
    <xf numFmtId="181" fontId="11" fillId="7" borderId="1" xfId="0" applyNumberFormat="1" applyFont="1" applyFill="1" applyBorder="1" applyAlignment="1" applyProtection="1">
      <alignment horizontal="center" vertical="center"/>
      <protection hidden="1"/>
    </xf>
    <xf numFmtId="0" fontId="1" fillId="0" borderId="0" xfId="0" applyFont="1" applyFill="1" applyBorder="1" applyAlignment="1">
      <alignment horizontal="center" vertical="center"/>
    </xf>
    <xf numFmtId="0" fontId="1" fillId="0" borderId="1" xfId="0" quotePrefix="1" applyFont="1" applyBorder="1">
      <alignment vertical="center"/>
    </xf>
    <xf numFmtId="0" fontId="76" fillId="0" borderId="0" xfId="0" applyFont="1" applyBorder="1" applyAlignment="1">
      <alignment horizontal="left"/>
    </xf>
    <xf numFmtId="0" fontId="11" fillId="0" borderId="4" xfId="0" applyFont="1" applyFill="1" applyBorder="1" applyAlignment="1">
      <alignment horizontal="right" vertical="center"/>
    </xf>
    <xf numFmtId="0" fontId="79" fillId="0" borderId="7" xfId="0" applyFont="1" applyFill="1" applyBorder="1" applyAlignment="1">
      <alignment horizontal="left" vertical="center"/>
    </xf>
    <xf numFmtId="180" fontId="11" fillId="0" borderId="4" xfId="0" applyNumberFormat="1" applyFont="1" applyFill="1" applyBorder="1" applyAlignment="1">
      <alignment horizontal="right" vertical="center"/>
    </xf>
    <xf numFmtId="0" fontId="11" fillId="0" borderId="7" xfId="0" applyFont="1" applyFill="1" applyBorder="1" applyAlignment="1">
      <alignment horizontal="left" vertical="center"/>
    </xf>
    <xf numFmtId="181" fontId="11" fillId="0" borderId="4" xfId="0" applyNumberFormat="1" applyFont="1" applyFill="1" applyBorder="1" applyAlignment="1">
      <alignment horizontal="center" vertical="center"/>
    </xf>
    <xf numFmtId="181" fontId="11" fillId="0" borderId="1" xfId="0" applyNumberFormat="1" applyFont="1" applyFill="1" applyBorder="1" applyAlignment="1" applyProtection="1">
      <alignment horizontal="center" vertical="center"/>
      <protection hidden="1"/>
    </xf>
    <xf numFmtId="181" fontId="11" fillId="0" borderId="10" xfId="0" applyNumberFormat="1" applyFont="1" applyFill="1" applyBorder="1" applyAlignment="1">
      <alignment horizontal="center" vertical="center"/>
    </xf>
    <xf numFmtId="181" fontId="11" fillId="0" borderId="9" xfId="0" applyNumberFormat="1" applyFont="1" applyFill="1" applyBorder="1" applyAlignment="1" applyProtection="1">
      <alignment horizontal="center" vertical="center"/>
      <protection hidden="1"/>
    </xf>
    <xf numFmtId="10" fontId="1" fillId="0" borderId="0" xfId="0" applyNumberFormat="1" applyFont="1" applyBorder="1" applyAlignment="1" applyProtection="1">
      <alignment horizontal="left" vertical="center" readingOrder="1"/>
      <protection hidden="1"/>
    </xf>
    <xf numFmtId="10" fontId="1" fillId="0" borderId="3" xfId="0" applyNumberFormat="1" applyFont="1" applyBorder="1" applyAlignment="1" applyProtection="1">
      <alignment horizontal="left" vertical="center" readingOrder="1"/>
      <protection hidden="1"/>
    </xf>
    <xf numFmtId="10" fontId="1" fillId="0" borderId="7" xfId="0" applyNumberFormat="1" applyFont="1" applyBorder="1" applyAlignment="1" applyProtection="1">
      <alignment horizontal="left" vertical="center" readingOrder="1"/>
      <protection hidden="1"/>
    </xf>
    <xf numFmtId="0" fontId="6" fillId="0" borderId="4" xfId="0" applyFont="1" applyBorder="1" applyAlignment="1">
      <alignment horizontal="right" vertical="center"/>
    </xf>
    <xf numFmtId="0" fontId="82" fillId="4" borderId="14" xfId="0" applyFont="1" applyFill="1" applyBorder="1" applyAlignment="1">
      <alignment horizontal="center" wrapText="1"/>
    </xf>
    <xf numFmtId="0" fontId="82" fillId="0" borderId="16" xfId="0" applyFont="1" applyFill="1" applyBorder="1" applyAlignment="1">
      <alignment horizontal="center" wrapText="1"/>
    </xf>
    <xf numFmtId="0" fontId="0" fillId="0" borderId="0" xfId="0" applyBorder="1" applyAlignment="1">
      <alignment horizontal="left" vertical="center"/>
    </xf>
    <xf numFmtId="0" fontId="82" fillId="4" borderId="9" xfId="0" applyFont="1" applyFill="1" applyBorder="1" applyAlignment="1">
      <alignment horizontal="center" wrapText="1"/>
    </xf>
    <xf numFmtId="0" fontId="82" fillId="4" borderId="5" xfId="0" applyFont="1" applyFill="1" applyBorder="1" applyAlignment="1">
      <alignment horizontal="center" wrapText="1"/>
    </xf>
    <xf numFmtId="0" fontId="82" fillId="4" borderId="0" xfId="0" applyFont="1" applyFill="1" applyBorder="1" applyAlignment="1">
      <alignment horizontal="center" wrapText="1"/>
    </xf>
    <xf numFmtId="10" fontId="82" fillId="0" borderId="1" xfId="0" applyNumberFormat="1" applyFont="1" applyBorder="1" applyAlignment="1">
      <alignment horizontal="left" vertical="center" wrapText="1"/>
    </xf>
    <xf numFmtId="0" fontId="0" fillId="0" borderId="5" xfId="0" applyBorder="1" applyAlignment="1">
      <alignment horizontal="left" vertical="center"/>
    </xf>
    <xf numFmtId="0" fontId="10" fillId="0" borderId="1" xfId="0" applyFont="1" applyBorder="1" applyAlignment="1">
      <alignment vertical="center" wrapText="1"/>
    </xf>
    <xf numFmtId="0" fontId="82" fillId="4" borderId="10" xfId="0" applyFont="1" applyFill="1" applyBorder="1" applyAlignment="1">
      <alignment horizontal="center" wrapText="1"/>
    </xf>
    <xf numFmtId="0" fontId="82" fillId="4" borderId="13" xfId="0" applyFont="1" applyFill="1" applyBorder="1" applyAlignment="1">
      <alignment horizontal="center" wrapText="1"/>
    </xf>
    <xf numFmtId="176" fontId="16" fillId="0" borderId="0" xfId="0" applyNumberFormat="1" applyFont="1" applyBorder="1" applyAlignment="1">
      <alignment horizontal="center" vertical="center"/>
    </xf>
    <xf numFmtId="49" fontId="16" fillId="0" borderId="0" xfId="0" applyNumberFormat="1" applyFont="1" applyBorder="1" applyAlignment="1">
      <alignment horizontal="center" vertical="center"/>
    </xf>
    <xf numFmtId="179" fontId="16" fillId="2" borderId="0" xfId="0" applyNumberFormat="1" applyFont="1" applyFill="1" applyBorder="1" applyAlignment="1">
      <alignment horizontal="center" vertical="center"/>
    </xf>
    <xf numFmtId="179" fontId="16" fillId="0" borderId="0" xfId="0" applyNumberFormat="1" applyFont="1" applyBorder="1" applyAlignment="1">
      <alignment horizontal="center" vertical="center"/>
    </xf>
    <xf numFmtId="180" fontId="16" fillId="0" borderId="0" xfId="0" applyNumberFormat="1" applyFont="1" applyBorder="1" applyAlignment="1">
      <alignment horizontal="center" vertical="center"/>
    </xf>
    <xf numFmtId="49" fontId="1" fillId="0" borderId="1" xfId="0" applyNumberFormat="1" applyFont="1" applyBorder="1" applyAlignment="1">
      <alignment horizontal="center" vertical="center"/>
    </xf>
    <xf numFmtId="271" fontId="1" fillId="0" borderId="2" xfId="22" applyNumberFormat="1" applyFont="1" applyBorder="1" applyAlignment="1">
      <alignment horizontal="center" vertical="center"/>
    </xf>
    <xf numFmtId="0" fontId="20" fillId="0" borderId="2" xfId="0" applyFont="1" applyBorder="1" applyAlignment="1">
      <alignment horizontal="center" vertical="center"/>
    </xf>
    <xf numFmtId="0" fontId="0" fillId="0" borderId="7" xfId="0" applyBorder="1">
      <alignment vertical="center"/>
    </xf>
    <xf numFmtId="0" fontId="0" fillId="0" borderId="0" xfId="0" applyFont="1" applyAlignment="1">
      <alignment horizontal="left" vertical="center"/>
    </xf>
    <xf numFmtId="0" fontId="20" fillId="0" borderId="0" xfId="0" applyFont="1" applyAlignment="1">
      <alignment horizontal="left" vertical="center"/>
    </xf>
    <xf numFmtId="0" fontId="0" fillId="0" borderId="2" xfId="0" applyFont="1" applyBorder="1" applyAlignment="1">
      <alignment horizontal="left" vertical="center"/>
    </xf>
    <xf numFmtId="0" fontId="128" fillId="0" borderId="0" xfId="0" applyFont="1" applyAlignment="1">
      <alignment horizontal="left" vertical="center"/>
    </xf>
    <xf numFmtId="0" fontId="129" fillId="0" borderId="0" xfId="0" applyFont="1">
      <alignment vertical="center"/>
    </xf>
    <xf numFmtId="0" fontId="128" fillId="0" borderId="0" xfId="0" applyFont="1" applyBorder="1" applyAlignment="1">
      <alignment vertical="center"/>
    </xf>
    <xf numFmtId="0" fontId="128" fillId="0" borderId="1" xfId="0" applyFont="1" applyBorder="1" applyAlignment="1">
      <alignment horizontal="center" vertical="center"/>
    </xf>
    <xf numFmtId="0" fontId="128" fillId="0" borderId="2" xfId="0" applyFont="1" applyBorder="1" applyAlignment="1">
      <alignment horizontal="center" vertical="center"/>
    </xf>
    <xf numFmtId="0" fontId="128" fillId="0" borderId="1" xfId="0" applyFont="1" applyBorder="1" applyAlignment="1">
      <alignment horizontal="left" vertical="center"/>
    </xf>
    <xf numFmtId="0" fontId="128" fillId="0" borderId="0" xfId="0" applyFont="1" applyFill="1" applyBorder="1">
      <alignment vertical="center"/>
    </xf>
    <xf numFmtId="0" fontId="128" fillId="0" borderId="0" xfId="0" applyFont="1">
      <alignment vertical="center"/>
    </xf>
    <xf numFmtId="0" fontId="128" fillId="0" borderId="0" xfId="0" applyFont="1" applyBorder="1">
      <alignment vertical="center"/>
    </xf>
    <xf numFmtId="0" fontId="45" fillId="0" borderId="0" xfId="0" applyFont="1" applyAlignment="1">
      <alignment vertical="center"/>
    </xf>
    <xf numFmtId="0" fontId="16" fillId="0" borderId="0" xfId="0" applyFont="1" applyAlignment="1">
      <alignment vertical="center"/>
    </xf>
    <xf numFmtId="0" fontId="16" fillId="0" borderId="2" xfId="0" applyFont="1" applyBorder="1" applyAlignment="1">
      <alignment horizontal="left" vertical="center"/>
    </xf>
    <xf numFmtId="0" fontId="132" fillId="0" borderId="1" xfId="0" applyFont="1" applyBorder="1" applyAlignment="1">
      <alignment vertical="center" wrapText="1"/>
    </xf>
    <xf numFmtId="49" fontId="16" fillId="0" borderId="0" xfId="0" applyNumberFormat="1" applyFont="1" applyBorder="1" applyAlignment="1"/>
    <xf numFmtId="0" fontId="128" fillId="0" borderId="2" xfId="0" applyFont="1" applyBorder="1">
      <alignment vertical="center"/>
    </xf>
    <xf numFmtId="0" fontId="45" fillId="0" borderId="2" xfId="0" applyFont="1" applyBorder="1" applyAlignment="1">
      <alignment vertical="center"/>
    </xf>
    <xf numFmtId="0" fontId="16" fillId="0" borderId="2" xfId="0" applyFont="1" applyBorder="1" applyAlignment="1">
      <alignment vertical="center"/>
    </xf>
    <xf numFmtId="0" fontId="45" fillId="0" borderId="0" xfId="0" applyFont="1" applyBorder="1">
      <alignment vertical="center"/>
    </xf>
    <xf numFmtId="0" fontId="16" fillId="0" borderId="4" xfId="0" applyFont="1" applyBorder="1" applyAlignment="1">
      <alignment horizontal="right" vertical="center"/>
    </xf>
    <xf numFmtId="0" fontId="134" fillId="0" borderId="0" xfId="0" applyFont="1" applyBorder="1" applyAlignment="1">
      <alignment horizontal="center" vertical="center" wrapText="1"/>
    </xf>
    <xf numFmtId="0" fontId="135" fillId="0" borderId="0" xfId="0" applyFont="1">
      <alignment vertical="center"/>
    </xf>
    <xf numFmtId="0" fontId="135" fillId="0" borderId="1" xfId="0" applyFont="1" applyBorder="1" applyAlignment="1">
      <alignment horizontal="center" vertical="center"/>
    </xf>
    <xf numFmtId="0" fontId="137" fillId="0" borderId="0" xfId="0" applyFont="1" applyBorder="1" applyAlignment="1">
      <alignment horizontal="center" vertical="center"/>
    </xf>
    <xf numFmtId="246" fontId="136" fillId="0" borderId="0" xfId="0" applyNumberFormat="1" applyFont="1" applyFill="1" applyBorder="1" applyAlignment="1">
      <alignment horizontal="center" vertical="center" wrapText="1"/>
    </xf>
    <xf numFmtId="0" fontId="138" fillId="0" borderId="1" xfId="0" applyFont="1" applyBorder="1" applyAlignment="1">
      <alignment vertical="center" wrapText="1"/>
    </xf>
    <xf numFmtId="259" fontId="0" fillId="0" borderId="1" xfId="0" applyNumberFormat="1" applyBorder="1">
      <alignment vertical="center"/>
    </xf>
    <xf numFmtId="259" fontId="0" fillId="0" borderId="1" xfId="0" applyNumberFormat="1" applyBorder="1" applyAlignment="1">
      <alignment horizontal="center" vertical="center"/>
    </xf>
    <xf numFmtId="10" fontId="135" fillId="0" borderId="0" xfId="0" applyNumberFormat="1" applyFont="1">
      <alignment vertical="center"/>
    </xf>
    <xf numFmtId="0" fontId="0" fillId="0" borderId="0" xfId="0" applyAlignment="1">
      <alignment vertical="center"/>
    </xf>
    <xf numFmtId="0" fontId="0" fillId="0" borderId="3" xfId="0" applyBorder="1" applyAlignment="1">
      <alignment horizontal="center" vertical="center"/>
    </xf>
    <xf numFmtId="0" fontId="0" fillId="0" borderId="3" xfId="0" applyFill="1" applyBorder="1" applyAlignment="1">
      <alignment horizontal="center" vertical="center"/>
    </xf>
    <xf numFmtId="0" fontId="0" fillId="0" borderId="1" xfId="0" applyFill="1" applyBorder="1" applyAlignment="1">
      <alignment horizontal="center" vertical="center" wrapText="1"/>
    </xf>
    <xf numFmtId="0" fontId="0" fillId="0" borderId="1" xfId="0" applyBorder="1" applyAlignment="1">
      <alignment vertical="center"/>
    </xf>
    <xf numFmtId="0" fontId="0" fillId="0" borderId="11" xfId="0" applyFill="1" applyBorder="1" applyAlignment="1">
      <alignment horizontal="center" vertical="center" wrapText="1"/>
    </xf>
    <xf numFmtId="0" fontId="0" fillId="0" borderId="1" xfId="0" applyBorder="1" applyAlignment="1">
      <alignment horizontal="center" vertical="center" wrapText="1"/>
    </xf>
    <xf numFmtId="0" fontId="1" fillId="6" borderId="1" xfId="0" applyFont="1" applyFill="1" applyBorder="1" applyAlignment="1">
      <alignment horizontal="center" vertical="center" wrapText="1"/>
    </xf>
    <xf numFmtId="0" fontId="1" fillId="0" borderId="5" xfId="0" applyFont="1" applyFill="1" applyBorder="1" applyAlignment="1">
      <alignment horizontal="center" vertical="center"/>
    </xf>
    <xf numFmtId="0" fontId="0" fillId="13" borderId="0" xfId="0" applyFill="1">
      <alignment vertical="center"/>
    </xf>
    <xf numFmtId="0" fontId="0" fillId="2" borderId="8" xfId="0" applyFill="1" applyBorder="1">
      <alignment vertical="center"/>
    </xf>
    <xf numFmtId="179" fontId="26" fillId="4" borderId="4" xfId="0" applyNumberFormat="1" applyFont="1" applyFill="1" applyBorder="1" applyAlignment="1">
      <alignment vertical="center"/>
    </xf>
    <xf numFmtId="184" fontId="26" fillId="4" borderId="7" xfId="0" applyNumberFormat="1" applyFont="1" applyFill="1" applyBorder="1" applyAlignment="1">
      <alignment horizontal="left" vertical="center"/>
    </xf>
    <xf numFmtId="184" fontId="26" fillId="14" borderId="3" xfId="0" applyNumberFormat="1" applyFont="1" applyFill="1" applyBorder="1" applyAlignment="1">
      <alignment horizontal="left" vertical="center"/>
    </xf>
    <xf numFmtId="185" fontId="0" fillId="15" borderId="1" xfId="0" applyNumberFormat="1" applyFill="1" applyBorder="1" applyAlignment="1">
      <alignment horizontal="center" vertical="center"/>
    </xf>
    <xf numFmtId="176" fontId="0" fillId="13" borderId="7" xfId="0" applyNumberFormat="1" applyFill="1" applyBorder="1">
      <alignment vertical="center"/>
    </xf>
    <xf numFmtId="0" fontId="0" fillId="13" borderId="1" xfId="0" applyFill="1" applyBorder="1">
      <alignment vertical="center"/>
    </xf>
    <xf numFmtId="184" fontId="26" fillId="16" borderId="3" xfId="0" applyNumberFormat="1" applyFont="1" applyFill="1" applyBorder="1" applyAlignment="1">
      <alignment horizontal="left" vertical="center"/>
    </xf>
    <xf numFmtId="179" fontId="26" fillId="2" borderId="4" xfId="0" applyNumberFormat="1" applyFont="1" applyFill="1" applyBorder="1" applyAlignment="1">
      <alignment vertical="center"/>
    </xf>
    <xf numFmtId="180" fontId="0" fillId="2" borderId="4" xfId="0" applyNumberFormat="1" applyFill="1" applyBorder="1" applyAlignment="1">
      <alignment horizontal="right" vertical="center"/>
    </xf>
    <xf numFmtId="178" fontId="0" fillId="2" borderId="4" xfId="0" applyNumberFormat="1" applyFill="1" applyBorder="1" applyAlignment="1">
      <alignment horizontal="right" vertical="center"/>
    </xf>
    <xf numFmtId="181" fontId="0" fillId="2" borderId="4" xfId="0" applyNumberFormat="1" applyFill="1" applyBorder="1" applyAlignment="1">
      <alignment horizontal="right" vertical="center"/>
    </xf>
    <xf numFmtId="183" fontId="0" fillId="0" borderId="0" xfId="0" applyNumberFormat="1" applyFont="1" applyFill="1" applyBorder="1" applyAlignment="1">
      <alignment horizontal="left" vertical="center"/>
    </xf>
    <xf numFmtId="180" fontId="0" fillId="5" borderId="1" xfId="0" applyNumberFormat="1" applyFill="1" applyBorder="1" applyAlignment="1">
      <alignment vertical="center"/>
    </xf>
    <xf numFmtId="178" fontId="0" fillId="4" borderId="1" xfId="0" applyNumberFormat="1" applyFill="1" applyBorder="1" applyAlignment="1">
      <alignment vertical="center"/>
    </xf>
    <xf numFmtId="180" fontId="0" fillId="7" borderId="1" xfId="0" applyNumberFormat="1" applyFill="1" applyBorder="1" applyAlignment="1">
      <alignment vertical="center"/>
    </xf>
    <xf numFmtId="191" fontId="0" fillId="7" borderId="1" xfId="0" applyNumberFormat="1" applyFill="1" applyBorder="1" applyAlignment="1">
      <alignment horizontal="left" vertical="center"/>
    </xf>
    <xf numFmtId="180" fontId="0" fillId="7" borderId="4" xfId="0" applyNumberFormat="1" applyFill="1" applyBorder="1" applyAlignment="1">
      <alignment vertical="center"/>
    </xf>
    <xf numFmtId="0" fontId="142" fillId="0" borderId="1" xfId="0" applyFont="1" applyBorder="1" applyAlignment="1">
      <alignment horizontal="center" vertical="center"/>
    </xf>
    <xf numFmtId="0" fontId="143" fillId="0" borderId="1" xfId="0" applyFont="1" applyBorder="1">
      <alignment vertical="center"/>
    </xf>
    <xf numFmtId="0" fontId="142" fillId="0" borderId="1" xfId="0" applyFont="1" applyBorder="1">
      <alignment vertical="center"/>
    </xf>
    <xf numFmtId="0" fontId="142" fillId="0" borderId="1" xfId="0" applyFont="1" applyBorder="1" applyAlignment="1">
      <alignment horizontal="left" vertical="center"/>
    </xf>
    <xf numFmtId="0" fontId="142" fillId="0" borderId="0" xfId="0" applyFont="1">
      <alignment vertical="center"/>
    </xf>
    <xf numFmtId="0" fontId="144" fillId="0" borderId="0" xfId="0" applyFont="1">
      <alignment vertical="center"/>
    </xf>
    <xf numFmtId="0" fontId="142" fillId="5" borderId="10" xfId="0" applyFont="1" applyFill="1" applyBorder="1" applyAlignment="1">
      <alignment horizontal="center" vertical="center" wrapText="1"/>
    </xf>
    <xf numFmtId="0" fontId="142" fillId="5" borderId="12" xfId="0" applyFont="1" applyFill="1" applyBorder="1" applyAlignment="1">
      <alignment horizontal="center" vertical="center" wrapText="1"/>
    </xf>
    <xf numFmtId="0" fontId="142" fillId="4" borderId="12" xfId="0" applyFont="1" applyFill="1" applyBorder="1" applyAlignment="1">
      <alignment horizontal="center" vertical="center" wrapText="1"/>
    </xf>
    <xf numFmtId="182" fontId="142" fillId="5" borderId="1" xfId="0" applyNumberFormat="1" applyFont="1" applyFill="1" applyBorder="1" applyAlignment="1">
      <alignment horizontal="center" vertical="center"/>
    </xf>
    <xf numFmtId="198" fontId="0" fillId="15" borderId="1" xfId="0" applyNumberFormat="1" applyFill="1" applyBorder="1" applyAlignment="1">
      <alignment horizontal="center" vertical="center"/>
    </xf>
    <xf numFmtId="200" fontId="0" fillId="13" borderId="1" xfId="0" applyNumberFormat="1" applyFill="1" applyBorder="1">
      <alignment vertical="center"/>
    </xf>
    <xf numFmtId="185" fontId="142" fillId="5" borderId="1" xfId="0" applyNumberFormat="1" applyFont="1" applyFill="1" applyBorder="1" applyAlignment="1">
      <alignment horizontal="center" vertical="center"/>
    </xf>
    <xf numFmtId="185" fontId="142" fillId="4" borderId="1" xfId="0" applyNumberFormat="1" applyFont="1" applyFill="1" applyBorder="1" applyAlignment="1">
      <alignment horizontal="center" vertical="center"/>
    </xf>
    <xf numFmtId="187" fontId="0" fillId="15" borderId="1" xfId="0" applyNumberFormat="1" applyFill="1" applyBorder="1" applyAlignment="1">
      <alignment horizontal="center" vertical="center"/>
    </xf>
    <xf numFmtId="0" fontId="142" fillId="0" borderId="4" xfId="0" applyFont="1" applyBorder="1" applyAlignment="1">
      <alignment vertical="center"/>
    </xf>
    <xf numFmtId="0" fontId="142" fillId="0" borderId="3" xfId="0" applyFont="1" applyBorder="1" applyAlignment="1">
      <alignment vertical="center"/>
    </xf>
    <xf numFmtId="0" fontId="145" fillId="0" borderId="3" xfId="0" applyFont="1" applyBorder="1">
      <alignment vertical="center"/>
    </xf>
    <xf numFmtId="0" fontId="145" fillId="0" borderId="14" xfId="0" applyFont="1" applyBorder="1">
      <alignment vertical="center"/>
    </xf>
    <xf numFmtId="0" fontId="142" fillId="0" borderId="4" xfId="0" applyFont="1" applyBorder="1" applyAlignment="1">
      <alignment horizontal="center" vertical="center"/>
    </xf>
    <xf numFmtId="0" fontId="142" fillId="0" borderId="3" xfId="0" applyFont="1" applyBorder="1" applyAlignment="1">
      <alignment horizontal="center" vertical="center"/>
    </xf>
    <xf numFmtId="0" fontId="142" fillId="0" borderId="7" xfId="0" applyFont="1" applyBorder="1" applyAlignment="1">
      <alignment horizontal="center" vertical="center"/>
    </xf>
    <xf numFmtId="0" fontId="142" fillId="0" borderId="6" xfId="0" applyFont="1" applyBorder="1" applyAlignment="1">
      <alignment horizontal="center" vertical="center"/>
    </xf>
    <xf numFmtId="0" fontId="142" fillId="0" borderId="0" xfId="0" applyFont="1" applyFill="1">
      <alignment vertical="center"/>
    </xf>
    <xf numFmtId="0" fontId="145" fillId="0" borderId="13" xfId="0" applyFont="1" applyBorder="1">
      <alignment vertical="center"/>
    </xf>
    <xf numFmtId="0" fontId="145" fillId="0" borderId="0" xfId="0" applyFont="1">
      <alignment vertical="center"/>
    </xf>
    <xf numFmtId="0" fontId="145" fillId="0" borderId="5" xfId="0" applyFont="1" applyBorder="1">
      <alignment vertical="center"/>
    </xf>
    <xf numFmtId="0" fontId="145" fillId="0" borderId="16" xfId="0" applyFont="1" applyBorder="1">
      <alignment vertical="center"/>
    </xf>
    <xf numFmtId="0" fontId="145" fillId="0" borderId="11" xfId="0" applyFont="1" applyBorder="1">
      <alignment vertical="center"/>
    </xf>
    <xf numFmtId="0" fontId="145" fillId="0" borderId="6" xfId="0" applyFont="1" applyBorder="1">
      <alignment vertical="center"/>
    </xf>
    <xf numFmtId="0" fontId="148" fillId="0" borderId="0" xfId="0" applyFont="1" applyBorder="1">
      <alignment vertical="center"/>
    </xf>
    <xf numFmtId="0" fontId="142" fillId="5" borderId="3" xfId="0" applyFont="1" applyFill="1" applyBorder="1" applyAlignment="1">
      <alignment vertical="center"/>
    </xf>
    <xf numFmtId="0" fontId="142" fillId="0" borderId="12" xfId="0" applyFont="1" applyBorder="1" applyAlignment="1">
      <alignment horizontal="center" vertical="center"/>
    </xf>
    <xf numFmtId="0" fontId="142" fillId="0" borderId="1" xfId="0" applyFont="1" applyBorder="1" applyAlignment="1">
      <alignment horizontal="center" vertical="center" wrapText="1"/>
    </xf>
    <xf numFmtId="179" fontId="145" fillId="4" borderId="1" xfId="0" applyNumberFormat="1" applyFont="1" applyFill="1" applyBorder="1" applyAlignment="1">
      <alignment vertical="center"/>
    </xf>
    <xf numFmtId="240" fontId="145" fillId="7" borderId="1" xfId="0" applyNumberFormat="1" applyFont="1" applyFill="1" applyBorder="1" applyAlignment="1">
      <alignment horizontal="center" vertical="center"/>
    </xf>
    <xf numFmtId="180" fontId="145" fillId="4" borderId="1" xfId="0" applyNumberFormat="1" applyFont="1" applyFill="1" applyBorder="1" applyAlignment="1">
      <alignment horizontal="center" vertical="center"/>
    </xf>
    <xf numFmtId="184" fontId="145" fillId="4" borderId="1" xfId="0" applyNumberFormat="1" applyFont="1" applyFill="1" applyBorder="1" applyAlignment="1">
      <alignment horizontal="center" vertical="center"/>
    </xf>
    <xf numFmtId="180" fontId="147" fillId="4" borderId="1" xfId="0" applyNumberFormat="1" applyFont="1" applyFill="1" applyBorder="1" applyAlignment="1">
      <alignment horizontal="center" vertical="center"/>
    </xf>
    <xf numFmtId="179" fontId="147" fillId="4" borderId="1" xfId="0" applyNumberFormat="1" applyFont="1" applyFill="1" applyBorder="1" applyAlignment="1">
      <alignment horizontal="center" vertical="center"/>
    </xf>
    <xf numFmtId="180" fontId="145" fillId="0" borderId="1" xfId="0" applyNumberFormat="1" applyFont="1" applyFill="1" applyBorder="1" applyAlignment="1">
      <alignment horizontal="center" vertical="center"/>
    </xf>
    <xf numFmtId="180" fontId="147" fillId="0" borderId="1" xfId="0" applyNumberFormat="1" applyFont="1" applyFill="1" applyBorder="1" applyAlignment="1">
      <alignment horizontal="center" vertical="center"/>
    </xf>
    <xf numFmtId="240" fontId="145" fillId="0" borderId="1" xfId="0" applyNumberFormat="1" applyFont="1" applyFill="1" applyBorder="1" applyAlignment="1">
      <alignment horizontal="center" vertical="center"/>
    </xf>
    <xf numFmtId="246" fontId="147" fillId="0" borderId="0" xfId="0" applyNumberFormat="1" applyFont="1" applyBorder="1" applyAlignment="1">
      <alignment vertical="center"/>
    </xf>
    <xf numFmtId="179" fontId="145" fillId="0" borderId="1" xfId="0" applyNumberFormat="1" applyFont="1" applyFill="1" applyBorder="1" applyAlignment="1">
      <alignment horizontal="center" vertical="center"/>
    </xf>
    <xf numFmtId="179" fontId="147" fillId="0" borderId="1" xfId="0" applyNumberFormat="1" applyFont="1" applyFill="1" applyBorder="1" applyAlignment="1">
      <alignment horizontal="center" vertical="center"/>
    </xf>
    <xf numFmtId="0" fontId="142" fillId="5" borderId="14" xfId="0" applyFont="1" applyFill="1" applyBorder="1" applyAlignment="1">
      <alignment horizontal="center" vertical="center" wrapText="1"/>
    </xf>
    <xf numFmtId="0" fontId="145" fillId="15" borderId="1" xfId="18" applyFont="1" applyFill="1" applyBorder="1" applyAlignment="1">
      <alignment horizontal="center" vertical="center" wrapText="1"/>
    </xf>
    <xf numFmtId="0" fontId="142" fillId="5" borderId="2" xfId="0" applyFont="1" applyFill="1" applyBorder="1" applyAlignment="1">
      <alignment horizontal="center" vertical="center" wrapText="1"/>
    </xf>
    <xf numFmtId="183" fontId="142" fillId="5" borderId="7" xfId="0" applyNumberFormat="1" applyFont="1" applyFill="1" applyBorder="1" applyAlignment="1">
      <alignment horizontal="left" vertical="center"/>
    </xf>
    <xf numFmtId="183" fontId="142" fillId="4" borderId="7" xfId="0" applyNumberFormat="1" applyFont="1" applyFill="1" applyBorder="1" applyAlignment="1">
      <alignment vertical="center"/>
    </xf>
    <xf numFmtId="182" fontId="0" fillId="13" borderId="7" xfId="0" applyNumberFormat="1" applyFill="1" applyBorder="1">
      <alignment vertical="center"/>
    </xf>
    <xf numFmtId="182" fontId="0" fillId="13" borderId="1" xfId="0" applyNumberFormat="1" applyFill="1" applyBorder="1">
      <alignment vertical="center"/>
    </xf>
    <xf numFmtId="179" fontId="142" fillId="4" borderId="4" xfId="0" applyNumberFormat="1" applyFont="1" applyFill="1" applyBorder="1" applyAlignment="1">
      <alignment vertical="center"/>
    </xf>
    <xf numFmtId="0" fontId="142" fillId="0" borderId="13" xfId="0" applyFont="1" applyBorder="1" applyAlignment="1">
      <alignment vertical="center"/>
    </xf>
    <xf numFmtId="186" fontId="142" fillId="0" borderId="7" xfId="0" applyNumberFormat="1" applyFont="1" applyBorder="1" applyAlignment="1">
      <alignment horizontal="left" vertical="center"/>
    </xf>
    <xf numFmtId="183" fontId="142" fillId="0" borderId="7" xfId="0" applyNumberFormat="1" applyFont="1" applyBorder="1" applyAlignment="1">
      <alignment horizontal="left" vertical="center"/>
    </xf>
    <xf numFmtId="183" fontId="142" fillId="0" borderId="7" xfId="0" applyNumberFormat="1" applyFont="1" applyBorder="1" applyAlignment="1">
      <alignment vertical="center"/>
    </xf>
    <xf numFmtId="0" fontId="142" fillId="6" borderId="1" xfId="0" applyFont="1" applyFill="1" applyBorder="1">
      <alignment vertical="center"/>
    </xf>
    <xf numFmtId="0" fontId="150" fillId="5" borderId="9" xfId="0" applyFont="1" applyFill="1" applyBorder="1" applyAlignment="1">
      <alignment horizontal="center" vertical="center" wrapText="1"/>
    </xf>
    <xf numFmtId="0" fontId="150" fillId="5" borderId="12" xfId="0" applyFont="1" applyFill="1" applyBorder="1" applyAlignment="1">
      <alignment horizontal="center" vertical="center" wrapText="1"/>
    </xf>
    <xf numFmtId="0" fontId="142" fillId="5" borderId="14" xfId="0" applyFont="1" applyFill="1" applyBorder="1" applyAlignment="1">
      <alignment vertical="center"/>
    </xf>
    <xf numFmtId="191" fontId="142" fillId="5" borderId="7" xfId="0" applyNumberFormat="1" applyFont="1" applyFill="1" applyBorder="1" applyAlignment="1">
      <alignment horizontal="left" vertical="center"/>
    </xf>
    <xf numFmtId="191" fontId="142" fillId="5" borderId="3" xfId="0" applyNumberFormat="1" applyFont="1" applyFill="1" applyBorder="1" applyAlignment="1">
      <alignment horizontal="left" vertical="center"/>
    </xf>
    <xf numFmtId="196" fontId="0" fillId="15" borderId="1" xfId="0" applyNumberFormat="1" applyFill="1" applyBorder="1" applyAlignment="1">
      <alignment horizontal="center" vertical="center"/>
    </xf>
    <xf numFmtId="191" fontId="142" fillId="4" borderId="4" xfId="0" applyNumberFormat="1" applyFont="1" applyFill="1" applyBorder="1" applyAlignment="1">
      <alignment vertical="center"/>
    </xf>
    <xf numFmtId="0" fontId="142" fillId="0" borderId="9" xfId="0" applyFont="1" applyBorder="1" applyAlignment="1">
      <alignment vertical="center"/>
    </xf>
    <xf numFmtId="186" fontId="142" fillId="0" borderId="6" xfId="0" applyNumberFormat="1" applyFont="1" applyBorder="1" applyAlignment="1">
      <alignment vertical="center"/>
    </xf>
    <xf numFmtId="0" fontId="142" fillId="0" borderId="1" xfId="0" applyFont="1" applyBorder="1" applyAlignment="1">
      <alignment vertical="center"/>
    </xf>
    <xf numFmtId="0" fontId="142" fillId="0" borderId="1" xfId="0" applyFont="1" applyBorder="1" applyAlignment="1">
      <alignment vertical="center" wrapText="1"/>
    </xf>
    <xf numFmtId="0" fontId="142" fillId="0" borderId="4" xfId="0" applyFont="1" applyBorder="1" applyAlignment="1">
      <alignment horizontal="left" vertical="center"/>
    </xf>
    <xf numFmtId="0" fontId="142" fillId="0" borderId="5" xfId="0" applyFont="1" applyFill="1" applyBorder="1" applyAlignment="1">
      <alignment horizontal="center" vertical="center" wrapText="1"/>
    </xf>
    <xf numFmtId="0" fontId="142" fillId="0" borderId="4" xfId="0" applyFont="1" applyFill="1" applyBorder="1" applyAlignment="1">
      <alignment horizontal="center" vertical="center" wrapText="1"/>
    </xf>
    <xf numFmtId="0" fontId="142" fillId="16" borderId="1" xfId="0" applyFont="1" applyFill="1" applyBorder="1" applyAlignment="1">
      <alignment horizontal="center" vertical="center"/>
    </xf>
    <xf numFmtId="0" fontId="142" fillId="16" borderId="1" xfId="0" applyFont="1" applyFill="1" applyBorder="1">
      <alignment vertical="center"/>
    </xf>
    <xf numFmtId="0" fontId="0" fillId="16" borderId="1" xfId="0" applyFill="1" applyBorder="1">
      <alignment vertical="center"/>
    </xf>
    <xf numFmtId="200" fontId="0" fillId="15" borderId="1" xfId="0" applyNumberFormat="1" applyFill="1" applyBorder="1" applyAlignment="1">
      <alignment horizontal="center" vertical="center"/>
    </xf>
    <xf numFmtId="265" fontId="0" fillId="13" borderId="1" xfId="0" applyNumberFormat="1" applyFill="1" applyBorder="1">
      <alignment vertical="center"/>
    </xf>
    <xf numFmtId="0" fontId="152" fillId="13" borderId="1" xfId="0" applyFont="1" applyFill="1" applyBorder="1">
      <alignment vertical="center"/>
    </xf>
    <xf numFmtId="204" fontId="0" fillId="13" borderId="1" xfId="0" applyNumberFormat="1" applyFill="1" applyBorder="1">
      <alignment vertical="center"/>
    </xf>
    <xf numFmtId="184" fontId="142" fillId="0" borderId="4" xfId="0" applyNumberFormat="1" applyFont="1" applyBorder="1" applyAlignment="1">
      <alignment horizontal="center" vertical="center"/>
    </xf>
    <xf numFmtId="0" fontId="142" fillId="0" borderId="0" xfId="0" applyFont="1" applyBorder="1">
      <alignment vertical="center"/>
    </xf>
    <xf numFmtId="0" fontId="145" fillId="0" borderId="1" xfId="18" applyFont="1" applyFill="1" applyBorder="1" applyAlignment="1">
      <alignment horizontal="center" vertical="center" wrapText="1"/>
    </xf>
    <xf numFmtId="0" fontId="142" fillId="0" borderId="1" xfId="0" applyFont="1" applyFill="1" applyBorder="1">
      <alignment vertical="center"/>
    </xf>
    <xf numFmtId="0" fontId="152" fillId="0" borderId="1" xfId="0" applyFont="1" applyBorder="1">
      <alignment vertical="center"/>
    </xf>
    <xf numFmtId="0" fontId="0" fillId="17" borderId="1" xfId="0" applyFill="1" applyBorder="1">
      <alignment vertical="center"/>
    </xf>
    <xf numFmtId="204" fontId="0" fillId="15" borderId="1" xfId="0" applyNumberFormat="1" applyFill="1" applyBorder="1" applyAlignment="1">
      <alignment horizontal="center" vertical="center"/>
    </xf>
    <xf numFmtId="0" fontId="142" fillId="5" borderId="1" xfId="0" applyFont="1" applyFill="1" applyBorder="1" applyAlignment="1">
      <alignment horizontal="center" vertical="center" wrapText="1"/>
    </xf>
    <xf numFmtId="176" fontId="142" fillId="4" borderId="1" xfId="0" applyNumberFormat="1" applyFont="1" applyFill="1" applyBorder="1" applyAlignment="1">
      <alignment horizontal="center" vertical="center"/>
    </xf>
    <xf numFmtId="181" fontId="142" fillId="7" borderId="1" xfId="0" applyNumberFormat="1" applyFont="1" applyFill="1" applyBorder="1" applyAlignment="1">
      <alignment horizontal="center" vertical="center"/>
    </xf>
    <xf numFmtId="218" fontId="142" fillId="4" borderId="1" xfId="0" applyNumberFormat="1" applyFont="1" applyFill="1" applyBorder="1" applyAlignment="1">
      <alignment horizontal="center" vertical="center"/>
    </xf>
    <xf numFmtId="218" fontId="149" fillId="4" borderId="1" xfId="0" applyNumberFormat="1" applyFont="1" applyFill="1" applyBorder="1" applyAlignment="1">
      <alignment horizontal="center" vertical="center"/>
    </xf>
    <xf numFmtId="0" fontId="142" fillId="5" borderId="1" xfId="0" applyFont="1" applyFill="1" applyBorder="1" applyAlignment="1">
      <alignment horizontal="center" vertical="center"/>
    </xf>
    <xf numFmtId="180" fontId="145" fillId="0" borderId="2" xfId="0" applyNumberFormat="1" applyFont="1" applyBorder="1" applyAlignment="1">
      <alignment horizontal="center" vertical="center"/>
    </xf>
    <xf numFmtId="201" fontId="145" fillId="0" borderId="0" xfId="0" applyNumberFormat="1" applyFont="1" applyBorder="1" applyAlignment="1">
      <alignment vertical="center"/>
    </xf>
    <xf numFmtId="0" fontId="142" fillId="7" borderId="1" xfId="0" applyFont="1" applyFill="1" applyBorder="1" applyAlignment="1">
      <alignment horizontal="center" vertical="center" wrapText="1"/>
    </xf>
    <xf numFmtId="0" fontId="142" fillId="0" borderId="8" xfId="0" applyFont="1" applyFill="1" applyBorder="1" applyAlignment="1">
      <alignment horizontal="left" vertical="center"/>
    </xf>
    <xf numFmtId="0" fontId="0" fillId="15" borderId="0" xfId="0" applyFill="1">
      <alignment vertical="center"/>
    </xf>
    <xf numFmtId="0" fontId="142" fillId="0" borderId="12" xfId="0" applyFont="1" applyBorder="1" applyAlignment="1">
      <alignment horizontal="center" vertical="center" wrapText="1"/>
    </xf>
    <xf numFmtId="201" fontId="145" fillId="0" borderId="9" xfId="0" applyNumberFormat="1" applyFont="1" applyBorder="1" applyAlignment="1">
      <alignment vertical="center"/>
    </xf>
    <xf numFmtId="201" fontId="145" fillId="0" borderId="8" xfId="0" applyNumberFormat="1" applyFont="1" applyBorder="1" applyAlignment="1">
      <alignment vertical="center"/>
    </xf>
    <xf numFmtId="0" fontId="145" fillId="0" borderId="8" xfId="0" applyFont="1" applyBorder="1">
      <alignment vertical="center"/>
    </xf>
    <xf numFmtId="244" fontId="145" fillId="0" borderId="11" xfId="0" applyNumberFormat="1" applyFont="1" applyBorder="1" applyAlignment="1">
      <alignment vertical="center"/>
    </xf>
    <xf numFmtId="244" fontId="145" fillId="0" borderId="2" xfId="0" applyNumberFormat="1" applyFont="1" applyBorder="1" applyAlignment="1">
      <alignment vertical="center"/>
    </xf>
    <xf numFmtId="244" fontId="142" fillId="0" borderId="2" xfId="0" applyNumberFormat="1" applyFont="1" applyBorder="1" applyAlignment="1">
      <alignment vertical="center"/>
    </xf>
    <xf numFmtId="0" fontId="152" fillId="0" borderId="0" xfId="0" applyFont="1">
      <alignment vertical="center"/>
    </xf>
    <xf numFmtId="0" fontId="145" fillId="5" borderId="7" xfId="18" applyFont="1" applyFill="1" applyBorder="1" applyAlignment="1">
      <alignment horizontal="center" vertical="center" wrapText="1"/>
    </xf>
    <xf numFmtId="196" fontId="0" fillId="16" borderId="1" xfId="0" applyNumberFormat="1" applyFill="1" applyBorder="1" applyAlignment="1">
      <alignment horizontal="center" vertical="center"/>
    </xf>
    <xf numFmtId="196" fontId="0" fillId="13" borderId="1" xfId="0" applyNumberFormat="1" applyFill="1" applyBorder="1">
      <alignment vertical="center"/>
    </xf>
    <xf numFmtId="191" fontId="0" fillId="16" borderId="1" xfId="0" applyNumberFormat="1" applyFill="1" applyBorder="1" applyAlignment="1">
      <alignment horizontal="center" vertical="center"/>
    </xf>
    <xf numFmtId="196" fontId="142" fillId="4" borderId="4" xfId="0" applyNumberFormat="1" applyFont="1" applyFill="1" applyBorder="1" applyAlignment="1">
      <alignment horizontal="center" vertical="center"/>
    </xf>
    <xf numFmtId="195" fontId="0" fillId="13" borderId="1" xfId="0" applyNumberFormat="1" applyFill="1" applyBorder="1">
      <alignment vertical="center"/>
    </xf>
    <xf numFmtId="194" fontId="0" fillId="13" borderId="1" xfId="0" applyNumberFormat="1" applyFill="1" applyBorder="1">
      <alignment vertical="center"/>
    </xf>
    <xf numFmtId="266" fontId="0" fillId="13" borderId="1" xfId="0" applyNumberFormat="1" applyFill="1" applyBorder="1">
      <alignment vertical="center"/>
    </xf>
    <xf numFmtId="203" fontId="142" fillId="0" borderId="1" xfId="0" applyNumberFormat="1" applyFont="1" applyBorder="1" applyAlignment="1">
      <alignment horizontal="center" vertical="center"/>
    </xf>
    <xf numFmtId="184" fontId="142" fillId="0" borderId="1" xfId="0" applyNumberFormat="1" applyFont="1" applyBorder="1" applyAlignment="1">
      <alignment horizontal="center" vertical="center"/>
    </xf>
    <xf numFmtId="0" fontId="142" fillId="4" borderId="1" xfId="0" applyFont="1" applyFill="1" applyBorder="1" applyAlignment="1">
      <alignment horizontal="center" vertical="center" wrapText="1"/>
    </xf>
    <xf numFmtId="192" fontId="0" fillId="13" borderId="1" xfId="0" applyNumberFormat="1" applyFill="1" applyBorder="1">
      <alignment vertical="center"/>
    </xf>
    <xf numFmtId="203" fontId="142" fillId="16" borderId="1" xfId="0" applyNumberFormat="1" applyFont="1" applyFill="1" applyBorder="1" applyAlignment="1">
      <alignment horizontal="center" vertical="center"/>
    </xf>
    <xf numFmtId="203" fontId="0" fillId="15" borderId="1" xfId="0" applyNumberFormat="1" applyFill="1" applyBorder="1" applyAlignment="1">
      <alignment horizontal="center" vertical="center"/>
    </xf>
    <xf numFmtId="0" fontId="142" fillId="0" borderId="2" xfId="0" applyFont="1" applyBorder="1" applyAlignment="1">
      <alignment horizontal="center" vertical="center"/>
    </xf>
    <xf numFmtId="0" fontId="155" fillId="0" borderId="3" xfId="0" applyFont="1" applyBorder="1" applyAlignment="1">
      <alignment vertical="center"/>
    </xf>
    <xf numFmtId="0" fontId="142" fillId="15" borderId="1" xfId="0" applyFont="1" applyFill="1" applyBorder="1" applyAlignment="1">
      <alignment horizontal="center" vertical="center" wrapText="1"/>
    </xf>
    <xf numFmtId="244" fontId="141" fillId="0" borderId="4" xfId="0" applyNumberFormat="1" applyFont="1" applyBorder="1" applyAlignment="1">
      <alignment vertical="center"/>
    </xf>
    <xf numFmtId="244" fontId="141" fillId="0" borderId="3" xfId="0" applyNumberFormat="1" applyFont="1" applyBorder="1" applyAlignment="1">
      <alignment vertical="center"/>
    </xf>
    <xf numFmtId="244" fontId="142" fillId="0" borderId="5" xfId="0" applyNumberFormat="1" applyFont="1" applyBorder="1" applyAlignment="1">
      <alignment vertical="center"/>
    </xf>
    <xf numFmtId="244" fontId="142" fillId="0" borderId="0" xfId="0" applyNumberFormat="1" applyFont="1" applyBorder="1" applyAlignment="1">
      <alignment vertical="center"/>
    </xf>
    <xf numFmtId="178" fontId="142" fillId="0" borderId="0" xfId="0" applyNumberFormat="1" applyFont="1" applyBorder="1" applyAlignment="1">
      <alignment horizontal="center" vertical="center" wrapText="1"/>
    </xf>
    <xf numFmtId="180" fontId="142" fillId="0" borderId="0" xfId="0" applyNumberFormat="1" applyFont="1" applyBorder="1" applyAlignment="1">
      <alignment horizontal="center" vertical="center" wrapText="1"/>
    </xf>
    <xf numFmtId="0" fontId="145" fillId="0" borderId="0" xfId="0" applyFont="1" applyBorder="1">
      <alignment vertical="center"/>
    </xf>
    <xf numFmtId="244" fontId="141" fillId="0" borderId="0" xfId="0" applyNumberFormat="1" applyFont="1" applyBorder="1" applyAlignment="1">
      <alignment vertical="center"/>
    </xf>
    <xf numFmtId="178" fontId="141" fillId="0" borderId="0" xfId="0" applyNumberFormat="1" applyFont="1" applyBorder="1" applyAlignment="1">
      <alignment horizontal="center" vertical="center" wrapText="1"/>
    </xf>
    <xf numFmtId="180" fontId="141" fillId="0" borderId="0" xfId="0" applyNumberFormat="1" applyFont="1" applyBorder="1" applyAlignment="1">
      <alignment horizontal="center" vertical="center" wrapText="1"/>
    </xf>
    <xf numFmtId="178" fontId="145" fillId="4" borderId="1" xfId="0" applyNumberFormat="1" applyFont="1" applyFill="1" applyBorder="1" applyAlignment="1">
      <alignment horizontal="center" vertical="center"/>
    </xf>
    <xf numFmtId="191" fontId="145" fillId="4" borderId="1" xfId="0" applyNumberFormat="1" applyFont="1" applyFill="1" applyBorder="1" applyAlignment="1">
      <alignment horizontal="center" vertical="center"/>
    </xf>
    <xf numFmtId="240" fontId="145" fillId="7" borderId="4" xfId="0" applyNumberFormat="1" applyFont="1" applyFill="1" applyBorder="1" applyAlignment="1">
      <alignment horizontal="center" vertical="center"/>
    </xf>
    <xf numFmtId="183" fontId="145" fillId="4" borderId="1" xfId="0" applyNumberFormat="1" applyFont="1" applyFill="1" applyBorder="1" applyAlignment="1">
      <alignment horizontal="center" vertical="center"/>
    </xf>
    <xf numFmtId="179" fontId="145" fillId="0" borderId="1" xfId="0" applyNumberFormat="1" applyFont="1" applyBorder="1" applyAlignment="1">
      <alignment horizontal="center" vertical="center"/>
    </xf>
    <xf numFmtId="178" fontId="145" fillId="0" borderId="1" xfId="0" applyNumberFormat="1" applyFont="1" applyBorder="1" applyAlignment="1">
      <alignment horizontal="center" vertical="center"/>
    </xf>
    <xf numFmtId="0" fontId="142" fillId="0" borderId="1" xfId="0" applyFont="1" applyFill="1" applyBorder="1" applyAlignment="1">
      <alignment horizontal="center" vertical="center"/>
    </xf>
    <xf numFmtId="0" fontId="142" fillId="0" borderId="0" xfId="0" applyFont="1" applyBorder="1" applyAlignment="1">
      <alignment horizontal="left" vertical="center"/>
    </xf>
    <xf numFmtId="209" fontId="142" fillId="5" borderId="12" xfId="0" applyNumberFormat="1" applyFont="1" applyFill="1" applyBorder="1" applyAlignment="1">
      <alignment horizontal="center" vertical="center"/>
    </xf>
    <xf numFmtId="210" fontId="142" fillId="5" borderId="12" xfId="0" applyNumberFormat="1" applyFont="1" applyFill="1" applyBorder="1" applyAlignment="1">
      <alignment horizontal="center" vertical="center"/>
    </xf>
    <xf numFmtId="210" fontId="142" fillId="4" borderId="11" xfId="0" applyNumberFormat="1" applyFont="1" applyFill="1" applyBorder="1" applyAlignment="1">
      <alignment horizontal="center" vertical="center"/>
    </xf>
    <xf numFmtId="210" fontId="142" fillId="7" borderId="11" xfId="0" applyNumberFormat="1" applyFont="1" applyFill="1" applyBorder="1" applyAlignment="1">
      <alignment horizontal="center" vertical="center"/>
    </xf>
    <xf numFmtId="210" fontId="0" fillId="15" borderId="1" xfId="0" applyNumberFormat="1" applyFill="1" applyBorder="1" applyAlignment="1">
      <alignment horizontal="center" vertical="center"/>
    </xf>
    <xf numFmtId="211" fontId="0" fillId="15" borderId="1" xfId="0" applyNumberFormat="1" applyFill="1" applyBorder="1" applyAlignment="1">
      <alignment horizontal="center" vertical="center"/>
    </xf>
    <xf numFmtId="212" fontId="0" fillId="15" borderId="1" xfId="0" applyNumberFormat="1" applyFill="1" applyBorder="1" applyAlignment="1">
      <alignment horizontal="center" vertical="center"/>
    </xf>
    <xf numFmtId="213" fontId="142" fillId="5" borderId="12" xfId="0" applyNumberFormat="1" applyFont="1" applyFill="1" applyBorder="1" applyAlignment="1">
      <alignment horizontal="center" vertical="center"/>
    </xf>
    <xf numFmtId="213" fontId="142" fillId="4" borderId="11" xfId="0" applyNumberFormat="1" applyFont="1" applyFill="1" applyBorder="1" applyAlignment="1">
      <alignment horizontal="center" vertical="center"/>
    </xf>
    <xf numFmtId="213" fontId="142" fillId="7" borderId="11" xfId="0" applyNumberFormat="1" applyFont="1" applyFill="1" applyBorder="1" applyAlignment="1">
      <alignment horizontal="center" vertical="center"/>
    </xf>
    <xf numFmtId="213" fontId="0" fillId="15" borderId="1" xfId="0" applyNumberFormat="1" applyFill="1" applyBorder="1" applyAlignment="1">
      <alignment horizontal="center" vertical="center"/>
    </xf>
    <xf numFmtId="214" fontId="0" fillId="15" borderId="1" xfId="0" applyNumberFormat="1" applyFill="1" applyBorder="1" applyAlignment="1">
      <alignment horizontal="center" vertical="center"/>
    </xf>
    <xf numFmtId="215" fontId="0" fillId="15" borderId="1" xfId="0" applyNumberFormat="1" applyFill="1" applyBorder="1" applyAlignment="1">
      <alignment horizontal="center" vertical="center"/>
    </xf>
    <xf numFmtId="0" fontId="0" fillId="0" borderId="14" xfId="0" applyFill="1" applyBorder="1">
      <alignment vertical="center"/>
    </xf>
    <xf numFmtId="246" fontId="148" fillId="0" borderId="8" xfId="0" applyNumberFormat="1" applyFont="1" applyBorder="1" applyAlignment="1">
      <alignment vertical="center"/>
    </xf>
    <xf numFmtId="246" fontId="145" fillId="0" borderId="8" xfId="0" applyNumberFormat="1" applyFont="1" applyBorder="1" applyAlignment="1">
      <alignment vertical="center"/>
    </xf>
    <xf numFmtId="246" fontId="145" fillId="0" borderId="12" xfId="0" applyNumberFormat="1" applyFont="1" applyBorder="1" applyAlignment="1">
      <alignment vertical="center"/>
    </xf>
    <xf numFmtId="0" fontId="145" fillId="0" borderId="7" xfId="0" applyFont="1" applyBorder="1">
      <alignment vertical="center"/>
    </xf>
    <xf numFmtId="0" fontId="142" fillId="7" borderId="1" xfId="0" applyFont="1" applyFill="1" applyBorder="1" applyAlignment="1">
      <alignment horizontal="center" vertical="center"/>
    </xf>
    <xf numFmtId="0" fontId="142" fillId="0" borderId="0" xfId="0" applyFont="1" applyAlignment="1">
      <alignment vertical="center"/>
    </xf>
    <xf numFmtId="181" fontId="141" fillId="0" borderId="0" xfId="0" applyNumberFormat="1" applyFont="1" applyBorder="1" applyAlignment="1">
      <alignment horizontal="center" vertical="center"/>
    </xf>
    <xf numFmtId="0" fontId="141" fillId="0" borderId="0" xfId="0" applyFont="1" applyBorder="1" applyAlignment="1">
      <alignment horizontal="center" vertical="center"/>
    </xf>
    <xf numFmtId="0" fontId="142" fillId="0" borderId="0" xfId="0" applyFont="1" applyBorder="1" applyAlignment="1">
      <alignment horizontal="center" vertical="center"/>
    </xf>
    <xf numFmtId="179" fontId="145" fillId="5" borderId="1" xfId="0" applyNumberFormat="1" applyFont="1" applyFill="1" applyBorder="1" applyAlignment="1">
      <alignment horizontal="center" vertical="center"/>
    </xf>
    <xf numFmtId="179" fontId="145" fillId="4" borderId="1" xfId="0" applyNumberFormat="1" applyFont="1" applyFill="1" applyBorder="1" applyAlignment="1">
      <alignment horizontal="center" vertical="center"/>
    </xf>
    <xf numFmtId="180" fontId="145" fillId="0" borderId="1" xfId="0" applyNumberFormat="1" applyFont="1" applyBorder="1" applyAlignment="1">
      <alignment horizontal="center" vertical="center"/>
    </xf>
    <xf numFmtId="240" fontId="145" fillId="0" borderId="1" xfId="0" applyNumberFormat="1" applyFont="1" applyBorder="1" applyAlignment="1">
      <alignment horizontal="center" vertical="center"/>
    </xf>
    <xf numFmtId="180" fontId="147" fillId="0" borderId="1" xfId="0" applyNumberFormat="1" applyFont="1" applyBorder="1" applyAlignment="1">
      <alignment horizontal="center" vertical="center"/>
    </xf>
    <xf numFmtId="240" fontId="145" fillId="0" borderId="4" xfId="0" applyNumberFormat="1" applyFont="1" applyBorder="1" applyAlignment="1">
      <alignment horizontal="center" vertical="center"/>
    </xf>
    <xf numFmtId="201" fontId="147" fillId="0" borderId="1" xfId="0" applyNumberFormat="1" applyFont="1" applyBorder="1" applyAlignment="1">
      <alignment vertical="center"/>
    </xf>
    <xf numFmtId="240" fontId="145" fillId="0" borderId="10" xfId="0" applyNumberFormat="1" applyFont="1" applyBorder="1" applyAlignment="1">
      <alignment horizontal="center" vertical="center"/>
    </xf>
    <xf numFmtId="240" fontId="145" fillId="0" borderId="4" xfId="0" applyNumberFormat="1" applyFont="1" applyFill="1" applyBorder="1" applyAlignment="1">
      <alignment horizontal="center" vertical="center"/>
    </xf>
    <xf numFmtId="201" fontId="147" fillId="0" borderId="1" xfId="0" applyNumberFormat="1" applyFont="1" applyFill="1" applyBorder="1" applyAlignment="1">
      <alignment vertical="center"/>
    </xf>
    <xf numFmtId="244" fontId="142" fillId="0" borderId="3" xfId="0" applyNumberFormat="1" applyFont="1" applyBorder="1" applyAlignment="1">
      <alignment vertical="center"/>
    </xf>
    <xf numFmtId="201" fontId="142" fillId="0" borderId="3" xfId="0" applyNumberFormat="1" applyFont="1" applyBorder="1" applyAlignment="1">
      <alignment vertical="center"/>
    </xf>
    <xf numFmtId="240" fontId="155" fillId="0" borderId="3" xfId="0" applyNumberFormat="1" applyFont="1" applyBorder="1" applyAlignment="1">
      <alignment vertical="center"/>
    </xf>
    <xf numFmtId="240" fontId="155" fillId="0" borderId="2" xfId="0" applyNumberFormat="1" applyFont="1" applyBorder="1" applyAlignment="1">
      <alignment vertical="center"/>
    </xf>
    <xf numFmtId="0" fontId="148" fillId="0" borderId="1" xfId="0" applyFont="1" applyBorder="1">
      <alignment vertical="center"/>
    </xf>
    <xf numFmtId="240" fontId="141" fillId="0" borderId="0" xfId="0" applyNumberFormat="1" applyFont="1" applyBorder="1" applyAlignment="1">
      <alignment horizontal="center" vertical="center"/>
    </xf>
    <xf numFmtId="0" fontId="155" fillId="0" borderId="0" xfId="0" applyFont="1" applyBorder="1" applyAlignment="1">
      <alignment vertical="center"/>
    </xf>
    <xf numFmtId="0" fontId="142" fillId="5" borderId="4" xfId="0" applyFont="1" applyFill="1" applyBorder="1" applyAlignment="1">
      <alignment horizontal="center" vertical="center"/>
    </xf>
    <xf numFmtId="240" fontId="142" fillId="0" borderId="0" xfId="0" applyNumberFormat="1" applyFont="1" applyBorder="1" applyAlignment="1">
      <alignment horizontal="center" vertical="center"/>
    </xf>
    <xf numFmtId="0" fontId="142" fillId="0" borderId="3" xfId="0" applyFont="1" applyBorder="1">
      <alignment vertical="center"/>
    </xf>
    <xf numFmtId="0" fontId="142" fillId="0" borderId="7" xfId="0" applyFont="1" applyBorder="1">
      <alignment vertical="center"/>
    </xf>
    <xf numFmtId="0" fontId="142" fillId="0" borderId="3" xfId="0" applyFont="1" applyBorder="1" applyAlignment="1">
      <alignment horizontal="left" vertical="center"/>
    </xf>
    <xf numFmtId="0" fontId="142" fillId="0" borderId="7" xfId="0" applyFont="1" applyBorder="1" applyAlignment="1">
      <alignment horizontal="left" vertical="center"/>
    </xf>
    <xf numFmtId="0" fontId="142" fillId="0" borderId="4" xfId="0" applyFont="1" applyBorder="1" applyAlignment="1">
      <alignment horizontal="center" vertical="center" wrapText="1"/>
    </xf>
    <xf numFmtId="186" fontId="142" fillId="4" borderId="1" xfId="0" applyNumberFormat="1" applyFont="1" applyFill="1" applyBorder="1" applyAlignment="1">
      <alignment horizontal="center" vertical="center"/>
    </xf>
    <xf numFmtId="186" fontId="142" fillId="0" borderId="4" xfId="0" applyNumberFormat="1" applyFont="1" applyBorder="1" applyAlignment="1">
      <alignment horizontal="center" vertical="center"/>
    </xf>
    <xf numFmtId="244" fontId="142" fillId="0" borderId="11" xfId="0" applyNumberFormat="1" applyFont="1" applyBorder="1" applyAlignment="1">
      <alignment horizontal="left" vertical="center"/>
    </xf>
    <xf numFmtId="0" fontId="142" fillId="0" borderId="2" xfId="0" applyFont="1" applyBorder="1">
      <alignment vertical="center"/>
    </xf>
    <xf numFmtId="0" fontId="142" fillId="0" borderId="6" xfId="0" applyFont="1" applyBorder="1">
      <alignment vertical="center"/>
    </xf>
    <xf numFmtId="0" fontId="145" fillId="0" borderId="0" xfId="11" applyFont="1" applyBorder="1">
      <alignment vertical="center"/>
    </xf>
    <xf numFmtId="0" fontId="145" fillId="0" borderId="2" xfId="11" applyFont="1" applyBorder="1">
      <alignment vertical="center"/>
    </xf>
    <xf numFmtId="0" fontId="145" fillId="0" borderId="3" xfId="5" applyFont="1" applyBorder="1">
      <alignment vertical="center"/>
    </xf>
    <xf numFmtId="0" fontId="154" fillId="0" borderId="3" xfId="5" applyFont="1" applyBorder="1">
      <alignment vertical="center"/>
    </xf>
    <xf numFmtId="0" fontId="156" fillId="0" borderId="3" xfId="5" applyFont="1" applyBorder="1" applyAlignment="1">
      <alignment horizontal="left" vertical="center"/>
    </xf>
    <xf numFmtId="0" fontId="145" fillId="0" borderId="7" xfId="5" applyFont="1" applyBorder="1">
      <alignment vertical="center"/>
    </xf>
    <xf numFmtId="0" fontId="145" fillId="0" borderId="1" xfId="5" applyFont="1" applyBorder="1">
      <alignment vertical="center"/>
    </xf>
    <xf numFmtId="0" fontId="145" fillId="0" borderId="0" xfId="5" applyFont="1" applyBorder="1" applyAlignment="1">
      <alignment horizontal="center" vertical="center"/>
    </xf>
    <xf numFmtId="0" fontId="142" fillId="6" borderId="9" xfId="5" applyFont="1" applyFill="1" applyBorder="1" applyAlignment="1">
      <alignment horizontal="center" vertical="center" wrapText="1"/>
    </xf>
    <xf numFmtId="244" fontId="154" fillId="5" borderId="3" xfId="5" applyNumberFormat="1" applyFont="1" applyFill="1" applyBorder="1" applyAlignment="1">
      <alignment horizontal="right" vertical="center"/>
    </xf>
    <xf numFmtId="0" fontId="156" fillId="5" borderId="7" xfId="5" applyFont="1" applyFill="1" applyBorder="1" applyAlignment="1">
      <alignment horizontal="left" vertical="center"/>
    </xf>
    <xf numFmtId="244" fontId="154" fillId="0" borderId="3" xfId="5" applyNumberFormat="1" applyFont="1" applyBorder="1" applyAlignment="1">
      <alignment horizontal="right" vertical="center"/>
    </xf>
    <xf numFmtId="0" fontId="156" fillId="0" borderId="7" xfId="5" applyFont="1" applyBorder="1" applyAlignment="1">
      <alignment horizontal="left" vertical="center"/>
    </xf>
    <xf numFmtId="248" fontId="145" fillId="0" borderId="0" xfId="5" applyNumberFormat="1" applyFont="1" applyBorder="1" applyAlignment="1">
      <alignment horizontal="center" vertical="center"/>
    </xf>
    <xf numFmtId="244" fontId="154" fillId="0" borderId="0" xfId="5" applyNumberFormat="1" applyFont="1" applyBorder="1" applyAlignment="1">
      <alignment horizontal="right" vertical="center"/>
    </xf>
    <xf numFmtId="0" fontId="156" fillId="0" borderId="0" xfId="5" applyFont="1" applyBorder="1" applyAlignment="1">
      <alignment horizontal="left" vertical="center"/>
    </xf>
    <xf numFmtId="0" fontId="146" fillId="6" borderId="9" xfId="5" applyFont="1" applyFill="1" applyBorder="1" applyAlignment="1">
      <alignment horizontal="center" vertical="center" wrapText="1"/>
    </xf>
    <xf numFmtId="0" fontId="145" fillId="0" borderId="3" xfId="2" applyFont="1" applyBorder="1" applyAlignment="1">
      <alignment horizontal="left" vertical="center"/>
    </xf>
    <xf numFmtId="0" fontId="145" fillId="0" borderId="3" xfId="2" applyFont="1" applyBorder="1">
      <alignment vertical="center"/>
    </xf>
    <xf numFmtId="0" fontId="154" fillId="0" borderId="3" xfId="2" applyFont="1" applyBorder="1">
      <alignment vertical="center"/>
    </xf>
    <xf numFmtId="0" fontId="156" fillId="0" borderId="3" xfId="2" applyFont="1" applyBorder="1" applyAlignment="1">
      <alignment horizontal="left" vertical="center"/>
    </xf>
    <xf numFmtId="0" fontId="145" fillId="0" borderId="7" xfId="2" applyFont="1" applyBorder="1">
      <alignment vertical="center"/>
    </xf>
    <xf numFmtId="181" fontId="145" fillId="0" borderId="0" xfId="2" applyNumberFormat="1" applyFont="1" applyBorder="1" applyAlignment="1">
      <alignment horizontal="center" vertical="center"/>
    </xf>
    <xf numFmtId="0" fontId="145" fillId="0" borderId="0" xfId="2" applyFont="1">
      <alignment vertical="center"/>
    </xf>
    <xf numFmtId="257" fontId="145" fillId="5" borderId="3" xfId="2" applyNumberFormat="1" applyFont="1" applyFill="1" applyBorder="1" applyAlignment="1">
      <alignment vertical="center"/>
    </xf>
    <xf numFmtId="257" fontId="145" fillId="0" borderId="3" xfId="2" applyNumberFormat="1" applyFont="1" applyBorder="1" applyAlignment="1">
      <alignment vertical="center"/>
    </xf>
    <xf numFmtId="257" fontId="145" fillId="0" borderId="7" xfId="2" applyNumberFormat="1" applyFont="1" applyBorder="1" applyAlignment="1">
      <alignment vertical="center"/>
    </xf>
    <xf numFmtId="0" fontId="145" fillId="18" borderId="3" xfId="2" applyFont="1" applyFill="1" applyBorder="1" applyAlignment="1">
      <alignment vertical="center"/>
    </xf>
    <xf numFmtId="0" fontId="145" fillId="18" borderId="7" xfId="2" applyFont="1" applyFill="1" applyBorder="1" applyAlignment="1">
      <alignment vertical="center"/>
    </xf>
    <xf numFmtId="0" fontId="145" fillId="0" borderId="7" xfId="2" applyFont="1" applyBorder="1" applyAlignment="1">
      <alignment vertical="center"/>
    </xf>
    <xf numFmtId="256" fontId="145" fillId="5" borderId="3" xfId="2" applyNumberFormat="1" applyFont="1" applyFill="1" applyBorder="1" applyAlignment="1">
      <alignment vertical="center"/>
    </xf>
    <xf numFmtId="256" fontId="145" fillId="0" borderId="3" xfId="2" applyNumberFormat="1" applyFont="1" applyBorder="1" applyAlignment="1">
      <alignment vertical="center"/>
    </xf>
    <xf numFmtId="256" fontId="145" fillId="0" borderId="7" xfId="2" applyNumberFormat="1" applyFont="1" applyBorder="1" applyAlignment="1">
      <alignment vertical="center"/>
    </xf>
    <xf numFmtId="256" fontId="145" fillId="0" borderId="0" xfId="2" applyNumberFormat="1" applyFont="1" applyBorder="1" applyAlignment="1">
      <alignment horizontal="right" vertical="center"/>
    </xf>
    <xf numFmtId="256" fontId="145" fillId="0" borderId="0" xfId="2" applyNumberFormat="1" applyFont="1" applyBorder="1" applyAlignment="1">
      <alignment vertical="center"/>
    </xf>
    <xf numFmtId="178" fontId="145" fillId="18" borderId="0" xfId="2" applyNumberFormat="1" applyFont="1" applyFill="1" applyBorder="1" applyAlignment="1">
      <alignment horizontal="right" vertical="center"/>
    </xf>
    <xf numFmtId="0" fontId="145" fillId="18" borderId="0" xfId="2" applyFont="1" applyFill="1" applyBorder="1" applyAlignment="1">
      <alignment vertical="center"/>
    </xf>
    <xf numFmtId="180" fontId="145" fillId="18" borderId="0" xfId="2" applyNumberFormat="1" applyFont="1" applyFill="1" applyBorder="1" applyAlignment="1">
      <alignment horizontal="right" vertical="center"/>
    </xf>
    <xf numFmtId="0" fontId="145" fillId="0" borderId="0" xfId="2" applyFont="1" applyBorder="1" applyAlignment="1">
      <alignment vertical="center"/>
    </xf>
    <xf numFmtId="0" fontId="145" fillId="0" borderId="2" xfId="2" applyFont="1" applyBorder="1">
      <alignment vertical="center"/>
    </xf>
    <xf numFmtId="244" fontId="154" fillId="0" borderId="3" xfId="2" applyNumberFormat="1" applyFont="1" applyBorder="1" applyAlignment="1">
      <alignment horizontal="right" vertical="center"/>
    </xf>
    <xf numFmtId="0" fontId="156" fillId="0" borderId="7" xfId="2" applyFont="1" applyBorder="1" applyAlignment="1">
      <alignment horizontal="left" vertical="center"/>
    </xf>
    <xf numFmtId="0" fontId="142" fillId="11" borderId="1" xfId="0" applyFont="1" applyFill="1" applyBorder="1" applyAlignment="1">
      <alignment horizontal="center" vertical="center"/>
    </xf>
    <xf numFmtId="0" fontId="142" fillId="3" borderId="0" xfId="0" applyFont="1" applyFill="1" applyBorder="1">
      <alignment vertical="center"/>
    </xf>
    <xf numFmtId="0" fontId="142" fillId="0" borderId="0" xfId="0" applyFont="1" applyFill="1" applyBorder="1" applyAlignment="1">
      <alignment horizontal="center" vertical="center"/>
    </xf>
    <xf numFmtId="0" fontId="142" fillId="4" borderId="4" xfId="0" applyFont="1" applyFill="1" applyBorder="1" applyAlignment="1">
      <alignment horizontal="center" vertical="center"/>
    </xf>
    <xf numFmtId="0" fontId="0" fillId="15" borderId="1" xfId="0" applyFont="1" applyFill="1" applyBorder="1" applyAlignment="1">
      <alignment horizontal="center" vertical="center" wrapText="1"/>
    </xf>
    <xf numFmtId="0" fontId="142" fillId="2" borderId="3" xfId="0" applyFont="1" applyFill="1" applyBorder="1" applyAlignment="1">
      <alignment vertical="center"/>
    </xf>
    <xf numFmtId="0" fontId="142" fillId="5" borderId="4" xfId="0" applyFont="1" applyFill="1" applyBorder="1" applyAlignment="1">
      <alignment horizontal="center" vertical="center" wrapText="1"/>
    </xf>
    <xf numFmtId="0" fontId="142" fillId="5" borderId="7" xfId="0" applyFont="1" applyFill="1" applyBorder="1" applyAlignment="1">
      <alignment horizontal="center" vertical="center" wrapText="1"/>
    </xf>
    <xf numFmtId="0" fontId="142" fillId="15" borderId="1" xfId="1" applyFont="1" applyFill="1" applyBorder="1" applyAlignment="1">
      <alignment horizontal="center" vertical="center" wrapText="1"/>
    </xf>
    <xf numFmtId="0" fontId="142" fillId="0" borderId="3" xfId="0" applyFont="1" applyBorder="1" applyAlignment="1">
      <alignment horizontal="center" vertical="center" wrapText="1"/>
    </xf>
    <xf numFmtId="0" fontId="142" fillId="0" borderId="7" xfId="0" applyFont="1" applyBorder="1" applyAlignment="1">
      <alignment horizontal="center" vertical="center" wrapText="1"/>
    </xf>
    <xf numFmtId="0" fontId="1" fillId="15" borderId="1" xfId="2" applyFill="1" applyBorder="1" applyAlignment="1">
      <alignment horizontal="center" vertical="center" wrapText="1"/>
    </xf>
    <xf numFmtId="10" fontId="142" fillId="15" borderId="1" xfId="0" applyNumberFormat="1" applyFont="1" applyFill="1" applyBorder="1" applyAlignment="1">
      <alignment horizontal="center" vertical="center"/>
    </xf>
    <xf numFmtId="0" fontId="142" fillId="0" borderId="0" xfId="0" applyFont="1" applyAlignment="1"/>
    <xf numFmtId="186" fontId="155" fillId="0" borderId="3" xfId="0" applyNumberFormat="1" applyFont="1" applyBorder="1" applyAlignment="1">
      <alignment vertical="center"/>
    </xf>
    <xf numFmtId="0" fontId="142" fillId="4" borderId="3" xfId="0" applyFont="1" applyFill="1" applyBorder="1" applyAlignment="1">
      <alignment horizontal="center" vertical="center"/>
    </xf>
    <xf numFmtId="0" fontId="142" fillId="4" borderId="7" xfId="0" applyFont="1" applyFill="1" applyBorder="1" applyAlignment="1">
      <alignment horizontal="center" vertical="center"/>
    </xf>
    <xf numFmtId="0" fontId="142" fillId="4" borderId="7" xfId="0" applyFont="1" applyFill="1" applyBorder="1" applyAlignment="1">
      <alignment vertical="center"/>
    </xf>
    <xf numFmtId="0" fontId="142" fillId="4" borderId="1" xfId="0" applyFont="1" applyFill="1" applyBorder="1" applyAlignment="1">
      <alignment horizontal="center" vertical="center"/>
    </xf>
    <xf numFmtId="226" fontId="142" fillId="5" borderId="3" xfId="0" applyNumberFormat="1" applyFont="1" applyFill="1" applyBorder="1" applyAlignment="1">
      <alignment horizontal="right" vertical="center"/>
    </xf>
    <xf numFmtId="226" fontId="142" fillId="5" borderId="3" xfId="0" applyNumberFormat="1" applyFont="1" applyFill="1" applyBorder="1" applyAlignment="1">
      <alignment horizontal="left" vertical="center"/>
    </xf>
    <xf numFmtId="0" fontId="0" fillId="0" borderId="4" xfId="0" applyBorder="1">
      <alignment vertical="center"/>
    </xf>
    <xf numFmtId="226" fontId="142" fillId="0" borderId="3" xfId="0" applyNumberFormat="1" applyFont="1" applyBorder="1" applyAlignment="1">
      <alignment horizontal="right" vertical="center"/>
    </xf>
    <xf numFmtId="0" fontId="142" fillId="0" borderId="3" xfId="0" applyFont="1" applyBorder="1" applyAlignment="1">
      <alignment horizontal="left" vertical="center" wrapText="1"/>
    </xf>
    <xf numFmtId="0" fontId="142" fillId="5" borderId="3" xfId="0" applyFont="1" applyFill="1" applyBorder="1" applyAlignment="1">
      <alignment horizontal="center" vertical="center"/>
    </xf>
    <xf numFmtId="0" fontId="141" fillId="0" borderId="1" xfId="0" applyFont="1" applyFill="1" applyBorder="1" applyAlignment="1">
      <alignment horizontal="center" vertical="center" wrapText="1"/>
    </xf>
    <xf numFmtId="0" fontId="142" fillId="4" borderId="9" xfId="0" applyFont="1" applyFill="1" applyBorder="1" applyAlignment="1">
      <alignment horizontal="center" vertical="center"/>
    </xf>
    <xf numFmtId="0" fontId="142" fillId="0" borderId="9" xfId="0" applyFont="1" applyBorder="1" applyAlignment="1">
      <alignment horizontal="center" vertical="center"/>
    </xf>
    <xf numFmtId="227" fontId="142" fillId="0" borderId="1" xfId="0" applyNumberFormat="1" applyFont="1" applyBorder="1" applyAlignment="1">
      <alignment horizontal="center" vertical="center"/>
    </xf>
    <xf numFmtId="0" fontId="142" fillId="4" borderId="12" xfId="0" applyFont="1" applyFill="1" applyBorder="1" applyAlignment="1">
      <alignment horizontal="center" vertical="center"/>
    </xf>
    <xf numFmtId="228" fontId="142" fillId="0" borderId="1" xfId="0" applyNumberFormat="1" applyFont="1" applyBorder="1" applyAlignment="1">
      <alignment horizontal="center" vertical="center"/>
    </xf>
    <xf numFmtId="0" fontId="142" fillId="4" borderId="7" xfId="0" applyFont="1" applyFill="1" applyBorder="1" applyAlignment="1">
      <alignment horizontal="center"/>
    </xf>
    <xf numFmtId="0" fontId="145" fillId="4" borderId="1" xfId="0" applyFont="1" applyFill="1" applyBorder="1" applyAlignment="1">
      <alignment horizontal="center" vertical="center"/>
    </xf>
    <xf numFmtId="182" fontId="142" fillId="7" borderId="1" xfId="0" applyNumberFormat="1" applyFont="1" applyFill="1" applyBorder="1" applyAlignment="1">
      <alignment horizontal="center" vertical="center"/>
    </xf>
    <xf numFmtId="227" fontId="142" fillId="7" borderId="12" xfId="0" applyNumberFormat="1" applyFont="1" applyFill="1" applyBorder="1" applyAlignment="1">
      <alignment horizontal="center" vertical="center" wrapText="1"/>
    </xf>
    <xf numFmtId="229" fontId="142" fillId="0" borderId="1" xfId="0" applyNumberFormat="1" applyFont="1" applyBorder="1" applyAlignment="1">
      <alignment horizontal="center" vertical="center"/>
    </xf>
    <xf numFmtId="49" fontId="142" fillId="4" borderId="1" xfId="0" applyNumberFormat="1" applyFont="1" applyFill="1" applyBorder="1" applyAlignment="1">
      <alignment horizontal="center" vertical="center"/>
    </xf>
    <xf numFmtId="228" fontId="142" fillId="7" borderId="12" xfId="0" applyNumberFormat="1" applyFont="1" applyFill="1" applyBorder="1" applyAlignment="1">
      <alignment horizontal="center" vertical="center" wrapText="1"/>
    </xf>
    <xf numFmtId="178" fontId="142" fillId="0" borderId="1" xfId="0" applyNumberFormat="1" applyFont="1" applyBorder="1" applyAlignment="1">
      <alignment horizontal="center" vertical="center"/>
    </xf>
    <xf numFmtId="229" fontId="142" fillId="7" borderId="1" xfId="0" applyNumberFormat="1" applyFont="1" applyFill="1" applyBorder="1" applyAlignment="1">
      <alignment horizontal="center" vertical="center"/>
    </xf>
    <xf numFmtId="179" fontId="142" fillId="0" borderId="1" xfId="0" applyNumberFormat="1" applyFont="1" applyBorder="1" applyAlignment="1">
      <alignment horizontal="center" vertical="center"/>
    </xf>
    <xf numFmtId="0" fontId="145" fillId="4" borderId="12" xfId="0" applyFont="1" applyFill="1" applyBorder="1" applyAlignment="1">
      <alignment horizontal="center" vertical="center"/>
    </xf>
    <xf numFmtId="178" fontId="142" fillId="7" borderId="1" xfId="0" applyNumberFormat="1" applyFont="1" applyFill="1" applyBorder="1" applyAlignment="1">
      <alignment horizontal="center" vertical="center"/>
    </xf>
    <xf numFmtId="180" fontId="142" fillId="0" borderId="1" xfId="0" applyNumberFormat="1" applyFont="1" applyBorder="1" applyAlignment="1">
      <alignment horizontal="center" vertical="center"/>
    </xf>
    <xf numFmtId="179" fontId="142" fillId="7" borderId="1" xfId="0" applyNumberFormat="1" applyFont="1" applyFill="1" applyBorder="1" applyAlignment="1">
      <alignment horizontal="center" vertical="center"/>
    </xf>
    <xf numFmtId="181" fontId="142" fillId="0" borderId="1" xfId="0" applyNumberFormat="1" applyFont="1" applyBorder="1" applyAlignment="1">
      <alignment horizontal="center" vertical="center"/>
    </xf>
    <xf numFmtId="180" fontId="142" fillId="7" borderId="1" xfId="0" applyNumberFormat="1" applyFont="1" applyFill="1" applyBorder="1" applyAlignment="1">
      <alignment horizontal="center" vertical="center"/>
    </xf>
    <xf numFmtId="176" fontId="142" fillId="0" borderId="1" xfId="0" applyNumberFormat="1" applyFont="1" applyBorder="1" applyAlignment="1">
      <alignment horizontal="center" vertical="center"/>
    </xf>
    <xf numFmtId="182" fontId="142" fillId="0" borderId="1" xfId="0" applyNumberFormat="1" applyFont="1" applyBorder="1" applyAlignment="1">
      <alignment horizontal="center" vertical="center"/>
    </xf>
    <xf numFmtId="0" fontId="145" fillId="0" borderId="5" xfId="0" applyFont="1" applyBorder="1" applyAlignment="1">
      <alignment horizontal="right" vertical="center"/>
    </xf>
    <xf numFmtId="0" fontId="145" fillId="0" borderId="0" xfId="0" applyFont="1" applyBorder="1" applyAlignment="1">
      <alignment horizontal="right" vertical="center"/>
    </xf>
    <xf numFmtId="0" fontId="154" fillId="0" borderId="0" xfId="0" applyFont="1" applyBorder="1" applyAlignment="1">
      <alignment horizontal="left" vertical="center"/>
    </xf>
    <xf numFmtId="0" fontId="145" fillId="0" borderId="0" xfId="0" applyFont="1" applyBorder="1" applyAlignment="1">
      <alignment horizontal="left" vertical="center"/>
    </xf>
    <xf numFmtId="0" fontId="145" fillId="0" borderId="5" xfId="0" applyFont="1" applyBorder="1" applyAlignment="1">
      <alignment horizontal="left" vertical="center"/>
    </xf>
    <xf numFmtId="0" fontId="154" fillId="0" borderId="11" xfId="0" applyFont="1" applyBorder="1" applyAlignment="1">
      <alignment horizontal="left" vertical="center" indent="1"/>
    </xf>
    <xf numFmtId="0" fontId="154" fillId="0" borderId="2" xfId="0" applyFont="1" applyBorder="1" applyAlignment="1">
      <alignment horizontal="left" vertical="center" indent="1"/>
    </xf>
    <xf numFmtId="0" fontId="154" fillId="0" borderId="2" xfId="0" applyFont="1" applyBorder="1" applyAlignment="1">
      <alignment vertical="center"/>
    </xf>
    <xf numFmtId="0" fontId="145" fillId="0" borderId="2" xfId="0" applyFont="1" applyBorder="1">
      <alignment vertical="center"/>
    </xf>
    <xf numFmtId="0" fontId="145" fillId="0" borderId="2" xfId="0" applyFont="1" applyBorder="1" applyAlignment="1">
      <alignment horizontal="center" vertical="center"/>
    </xf>
    <xf numFmtId="0" fontId="150" fillId="0" borderId="2" xfId="0" applyFont="1" applyBorder="1" applyAlignment="1">
      <alignment horizontal="center" vertical="center"/>
    </xf>
    <xf numFmtId="0" fontId="154" fillId="0" borderId="11" xfId="0" applyFont="1" applyBorder="1" applyAlignment="1">
      <alignment horizontal="left" vertical="center"/>
    </xf>
    <xf numFmtId="0" fontId="154" fillId="0" borderId="2" xfId="0" applyFont="1" applyBorder="1" applyAlignment="1">
      <alignment horizontal="left" vertical="center"/>
    </xf>
    <xf numFmtId="0" fontId="145" fillId="0" borderId="6" xfId="0" applyFont="1" applyBorder="1" applyAlignment="1">
      <alignment horizontal="center" vertical="center"/>
    </xf>
    <xf numFmtId="0" fontId="142" fillId="0" borderId="7" xfId="0" applyFont="1" applyBorder="1" applyAlignment="1">
      <alignment horizontal="left" vertical="center" wrapText="1"/>
    </xf>
    <xf numFmtId="180" fontId="142" fillId="7" borderId="1" xfId="0" applyNumberFormat="1" applyFont="1" applyFill="1" applyBorder="1" applyAlignment="1">
      <alignment horizontal="center" vertical="center" wrapText="1"/>
    </xf>
    <xf numFmtId="0" fontId="0" fillId="0" borderId="3" xfId="0" applyFont="1" applyBorder="1" applyAlignment="1">
      <alignment vertical="center" wrapText="1"/>
    </xf>
    <xf numFmtId="0" fontId="142" fillId="0" borderId="3" xfId="0" applyFont="1" applyBorder="1" applyAlignment="1">
      <alignment vertical="center" wrapText="1"/>
    </xf>
    <xf numFmtId="0" fontId="142" fillId="0" borderId="7" xfId="0" applyFont="1" applyBorder="1" applyAlignment="1">
      <alignment vertical="center" wrapText="1"/>
    </xf>
    <xf numFmtId="0" fontId="142" fillId="0" borderId="6" xfId="0" applyFont="1" applyBorder="1" applyAlignment="1">
      <alignment horizontal="center" vertical="center" wrapText="1"/>
    </xf>
    <xf numFmtId="176" fontId="142" fillId="7" borderId="1" xfId="0" applyNumberFormat="1" applyFont="1" applyFill="1" applyBorder="1" applyAlignment="1">
      <alignment horizontal="center" vertical="center"/>
    </xf>
    <xf numFmtId="0" fontId="145" fillId="0" borderId="10" xfId="0" applyFont="1" applyBorder="1" applyAlignment="1">
      <alignment horizontal="center" vertical="center"/>
    </xf>
    <xf numFmtId="0" fontId="145" fillId="0" borderId="14" xfId="0" applyFont="1" applyBorder="1" applyAlignment="1">
      <alignment horizontal="center" vertical="center"/>
    </xf>
    <xf numFmtId="0" fontId="154" fillId="0" borderId="14" xfId="0" applyFont="1" applyBorder="1" applyAlignment="1">
      <alignment horizontal="left" vertical="center"/>
    </xf>
    <xf numFmtId="0" fontId="142" fillId="5" borderId="3" xfId="0" applyFont="1" applyFill="1" applyBorder="1" applyAlignment="1">
      <alignment horizontal="right" vertical="center"/>
    </xf>
    <xf numFmtId="0" fontId="142" fillId="5" borderId="3" xfId="0" applyFont="1" applyFill="1" applyBorder="1" applyAlignment="1">
      <alignment horizontal="left" vertical="center"/>
    </xf>
    <xf numFmtId="0" fontId="142" fillId="5" borderId="4" xfId="0" applyFont="1" applyFill="1" applyBorder="1" applyAlignment="1">
      <alignment horizontal="right" vertical="center" wrapText="1"/>
    </xf>
    <xf numFmtId="0" fontId="142" fillId="5" borderId="3" xfId="0" applyFont="1" applyFill="1" applyBorder="1" applyAlignment="1">
      <alignment horizontal="center" vertical="center" wrapText="1"/>
    </xf>
    <xf numFmtId="0" fontId="142" fillId="5" borderId="7" xfId="0" applyFont="1" applyFill="1" applyBorder="1">
      <alignment vertical="center"/>
    </xf>
    <xf numFmtId="0" fontId="142" fillId="0" borderId="4" xfId="0" applyFont="1" applyBorder="1" applyAlignment="1">
      <alignment horizontal="right" vertical="center"/>
    </xf>
    <xf numFmtId="0" fontId="142" fillId="0" borderId="3" xfId="0" applyFont="1" applyBorder="1" applyAlignment="1">
      <alignment horizontal="right" vertical="center"/>
    </xf>
    <xf numFmtId="182" fontId="142" fillId="4" borderId="1" xfId="0" applyNumberFormat="1" applyFont="1" applyFill="1" applyBorder="1" applyAlignment="1">
      <alignment horizontal="center" vertical="center"/>
    </xf>
    <xf numFmtId="180" fontId="142" fillId="7" borderId="1" xfId="0" applyNumberFormat="1" applyFont="1" applyFill="1" applyBorder="1" applyAlignment="1">
      <alignment vertical="center"/>
    </xf>
    <xf numFmtId="0" fontId="141" fillId="0" borderId="1" xfId="0" applyFont="1" applyBorder="1" applyAlignment="1">
      <alignment vertical="center" wrapText="1"/>
    </xf>
    <xf numFmtId="181" fontId="142" fillId="0" borderId="1" xfId="0" applyNumberFormat="1" applyFont="1" applyBorder="1" applyAlignment="1">
      <alignment horizontal="center" vertical="center" wrapText="1"/>
    </xf>
    <xf numFmtId="227" fontId="142" fillId="7" borderId="1" xfId="0" applyNumberFormat="1" applyFont="1" applyFill="1" applyBorder="1" applyAlignment="1">
      <alignment horizontal="center" vertical="center"/>
    </xf>
    <xf numFmtId="180" fontId="142" fillId="0" borderId="1" xfId="0" applyNumberFormat="1" applyFont="1" applyBorder="1" applyAlignment="1">
      <alignment horizontal="center" vertical="center" wrapText="1"/>
    </xf>
    <xf numFmtId="0" fontId="142" fillId="4" borderId="8" xfId="0" applyFont="1" applyFill="1" applyBorder="1" applyAlignment="1">
      <alignment horizontal="center" vertical="center"/>
    </xf>
    <xf numFmtId="228" fontId="142" fillId="7" borderId="1" xfId="0" applyNumberFormat="1" applyFont="1" applyFill="1" applyBorder="1" applyAlignment="1">
      <alignment horizontal="center" vertical="center"/>
    </xf>
    <xf numFmtId="178" fontId="142" fillId="0" borderId="1" xfId="0" applyNumberFormat="1" applyFont="1" applyBorder="1" applyAlignment="1">
      <alignment horizontal="center" vertical="center" wrapText="1"/>
    </xf>
    <xf numFmtId="0" fontId="142" fillId="5" borderId="9" xfId="0" applyFont="1" applyFill="1" applyBorder="1" applyAlignment="1">
      <alignment horizontal="center" vertical="center"/>
    </xf>
    <xf numFmtId="0" fontId="160" fillId="0" borderId="14" xfId="0" applyFont="1" applyBorder="1" applyAlignment="1">
      <alignment vertical="center"/>
    </xf>
    <xf numFmtId="0" fontId="150" fillId="0" borderId="14" xfId="0" applyFont="1" applyBorder="1" applyAlignment="1">
      <alignment vertical="center"/>
    </xf>
    <xf numFmtId="0" fontId="150" fillId="0" borderId="0" xfId="0" applyFont="1" applyBorder="1" applyAlignment="1">
      <alignment vertical="center"/>
    </xf>
    <xf numFmtId="0" fontId="150" fillId="0" borderId="5" xfId="0" applyFont="1" applyBorder="1" applyAlignment="1">
      <alignment horizontal="left" vertical="center"/>
    </xf>
    <xf numFmtId="0" fontId="150" fillId="0" borderId="0" xfId="0" applyFont="1" applyBorder="1" applyAlignment="1">
      <alignment horizontal="left" vertical="center"/>
    </xf>
    <xf numFmtId="0" fontId="160" fillId="0" borderId="0" xfId="0" applyFont="1" applyBorder="1" applyAlignment="1">
      <alignment vertical="center"/>
    </xf>
    <xf numFmtId="0" fontId="160" fillId="0" borderId="11" xfId="0" applyFont="1" applyBorder="1" applyAlignment="1">
      <alignment horizontal="left" vertical="center" indent="1"/>
    </xf>
    <xf numFmtId="0" fontId="160" fillId="0" borderId="2" xfId="0" applyFont="1" applyBorder="1" applyAlignment="1">
      <alignment horizontal="left" vertical="center" indent="1"/>
    </xf>
    <xf numFmtId="0" fontId="160" fillId="0" borderId="2" xfId="0" applyFont="1" applyBorder="1" applyAlignment="1">
      <alignment vertical="center"/>
    </xf>
    <xf numFmtId="0" fontId="150" fillId="0" borderId="2" xfId="0" applyFont="1" applyBorder="1">
      <alignment vertical="center"/>
    </xf>
    <xf numFmtId="0" fontId="163" fillId="0" borderId="2" xfId="0" applyFont="1" applyBorder="1">
      <alignment vertical="center"/>
    </xf>
    <xf numFmtId="0" fontId="152" fillId="0" borderId="0" xfId="0" applyFont="1" applyBorder="1">
      <alignment vertical="center"/>
    </xf>
    <xf numFmtId="0" fontId="142" fillId="0" borderId="7" xfId="0" applyFont="1" applyBorder="1" applyAlignment="1">
      <alignment horizontal="center"/>
    </xf>
    <xf numFmtId="182" fontId="142" fillId="0" borderId="1" xfId="0" applyNumberFormat="1" applyFont="1" applyFill="1" applyBorder="1" applyAlignment="1">
      <alignment horizontal="center" vertical="center"/>
    </xf>
    <xf numFmtId="227" fontId="142" fillId="0" borderId="12" xfId="0" applyNumberFormat="1" applyFont="1" applyBorder="1" applyAlignment="1">
      <alignment horizontal="center" vertical="center" wrapText="1"/>
    </xf>
    <xf numFmtId="228" fontId="142" fillId="0" borderId="12" xfId="0" applyNumberFormat="1" applyFont="1" applyBorder="1" applyAlignment="1">
      <alignment horizontal="center" vertical="center" wrapText="1"/>
    </xf>
    <xf numFmtId="229" fontId="142" fillId="0" borderId="1" xfId="0" applyNumberFormat="1" applyFont="1" applyFill="1" applyBorder="1" applyAlignment="1">
      <alignment horizontal="center" vertical="center"/>
    </xf>
    <xf numFmtId="178" fontId="142" fillId="0" borderId="1" xfId="0" applyNumberFormat="1" applyFont="1" applyFill="1" applyBorder="1" applyAlignment="1">
      <alignment horizontal="center" vertical="center"/>
    </xf>
    <xf numFmtId="179" fontId="142" fillId="0" borderId="1" xfId="0" applyNumberFormat="1" applyFont="1" applyFill="1" applyBorder="1" applyAlignment="1">
      <alignment horizontal="center" vertical="center"/>
    </xf>
    <xf numFmtId="180" fontId="142" fillId="0" borderId="1" xfId="0" applyNumberFormat="1" applyFont="1" applyFill="1" applyBorder="1" applyAlignment="1">
      <alignment horizontal="center" vertical="center"/>
    </xf>
    <xf numFmtId="181" fontId="142" fillId="0" borderId="1" xfId="0" applyNumberFormat="1" applyFont="1" applyFill="1" applyBorder="1" applyAlignment="1">
      <alignment horizontal="center" vertical="center"/>
    </xf>
    <xf numFmtId="0" fontId="141" fillId="0" borderId="0" xfId="0" applyFont="1" applyBorder="1" applyAlignment="1">
      <alignment horizontal="right" vertical="center"/>
    </xf>
    <xf numFmtId="0" fontId="141" fillId="0" borderId="0" xfId="0" applyFont="1" applyBorder="1" applyAlignment="1">
      <alignment horizontal="left" vertical="center"/>
    </xf>
    <xf numFmtId="0" fontId="145" fillId="0" borderId="16" xfId="0" applyFont="1" applyBorder="1" applyAlignment="1">
      <alignment horizontal="center" vertical="center"/>
    </xf>
    <xf numFmtId="0" fontId="141" fillId="0" borderId="5" xfId="0" applyFont="1" applyBorder="1" applyAlignment="1">
      <alignment horizontal="left" vertical="center"/>
    </xf>
    <xf numFmtId="0" fontId="164" fillId="0" borderId="11" xfId="0" applyFont="1" applyBorder="1" applyAlignment="1">
      <alignment horizontal="left" vertical="center" indent="1"/>
    </xf>
    <xf numFmtId="0" fontId="164" fillId="0" borderId="2" xfId="0" applyFont="1" applyBorder="1" applyAlignment="1">
      <alignment horizontal="left" vertical="center" indent="1"/>
    </xf>
    <xf numFmtId="0" fontId="141" fillId="0" borderId="2" xfId="0" applyFont="1" applyBorder="1">
      <alignment vertical="center"/>
    </xf>
    <xf numFmtId="0" fontId="141" fillId="0" borderId="2" xfId="0" applyFont="1" applyBorder="1" applyAlignment="1">
      <alignment horizontal="center" vertical="center"/>
    </xf>
    <xf numFmtId="274" fontId="142" fillId="0" borderId="12" xfId="0" applyNumberFormat="1" applyFont="1" applyBorder="1" applyAlignment="1">
      <alignment horizontal="center" vertical="center"/>
    </xf>
    <xf numFmtId="0" fontId="145" fillId="0" borderId="12" xfId="0" applyFont="1" applyBorder="1" applyAlignment="1">
      <alignment horizontal="center" vertical="center"/>
    </xf>
    <xf numFmtId="229" fontId="142" fillId="0" borderId="12" xfId="0" applyNumberFormat="1" applyFont="1" applyBorder="1" applyAlignment="1">
      <alignment horizontal="center" vertical="center"/>
    </xf>
    <xf numFmtId="0" fontId="142" fillId="0" borderId="1" xfId="0" applyNumberFormat="1" applyFont="1" applyBorder="1" applyAlignment="1">
      <alignment horizontal="center" vertical="center"/>
    </xf>
    <xf numFmtId="0" fontId="142" fillId="5" borderId="4" xfId="0" applyFont="1" applyFill="1" applyBorder="1" applyAlignment="1">
      <alignment horizontal="right" vertical="center"/>
    </xf>
    <xf numFmtId="0" fontId="142" fillId="5" borderId="7" xfId="0" applyFont="1" applyFill="1" applyBorder="1" applyAlignment="1">
      <alignment horizontal="left" vertical="center"/>
    </xf>
    <xf numFmtId="0" fontId="142" fillId="7" borderId="4" xfId="0" applyFont="1" applyFill="1" applyBorder="1" applyAlignment="1">
      <alignment horizontal="center" vertical="center"/>
    </xf>
    <xf numFmtId="0" fontId="142" fillId="5" borderId="11" xfId="0" applyFont="1" applyFill="1" applyBorder="1" applyAlignment="1">
      <alignment horizontal="center" vertical="center"/>
    </xf>
    <xf numFmtId="186" fontId="142" fillId="5" borderId="1" xfId="0" applyNumberFormat="1" applyFont="1" applyFill="1" applyBorder="1" applyAlignment="1">
      <alignment horizontal="center" vertical="center"/>
    </xf>
    <xf numFmtId="181" fontId="142" fillId="7" borderId="3" xfId="0" applyNumberFormat="1" applyFont="1" applyFill="1" applyBorder="1" applyAlignment="1">
      <alignment horizontal="center" vertical="center"/>
    </xf>
    <xf numFmtId="186" fontId="142" fillId="4" borderId="4" xfId="0" applyNumberFormat="1" applyFont="1" applyFill="1" applyBorder="1" applyAlignment="1">
      <alignment horizontal="center" vertical="center"/>
    </xf>
    <xf numFmtId="186" fontId="142" fillId="5" borderId="4" xfId="0" applyNumberFormat="1" applyFont="1" applyFill="1" applyBorder="1" applyAlignment="1">
      <alignment horizontal="center" vertical="center"/>
    </xf>
    <xf numFmtId="186" fontId="142" fillId="4" borderId="7" xfId="0" applyNumberFormat="1" applyFont="1" applyFill="1" applyBorder="1" applyAlignment="1">
      <alignment horizontal="center" vertical="center"/>
    </xf>
    <xf numFmtId="0" fontId="142" fillId="5" borderId="6" xfId="0" applyFont="1" applyFill="1" applyBorder="1" applyAlignment="1">
      <alignment horizontal="center" vertical="center"/>
    </xf>
    <xf numFmtId="181" fontId="142" fillId="4" borderId="7" xfId="0" applyNumberFormat="1" applyFont="1" applyFill="1" applyBorder="1" applyAlignment="1">
      <alignment horizontal="center" vertical="center"/>
    </xf>
    <xf numFmtId="181" fontId="142" fillId="5" borderId="7" xfId="0" applyNumberFormat="1" applyFont="1" applyFill="1" applyBorder="1" applyAlignment="1">
      <alignment horizontal="center" vertical="center"/>
    </xf>
    <xf numFmtId="186" fontId="142" fillId="5" borderId="7" xfId="0" applyNumberFormat="1" applyFont="1" applyFill="1" applyBorder="1" applyAlignment="1">
      <alignment horizontal="center" vertical="center"/>
    </xf>
    <xf numFmtId="0" fontId="142" fillId="0" borderId="1" xfId="0" applyFont="1" applyFill="1" applyBorder="1" applyAlignment="1">
      <alignment horizontal="center" vertical="center" wrapText="1"/>
    </xf>
    <xf numFmtId="0" fontId="142" fillId="5" borderId="4" xfId="0" applyNumberFormat="1" applyFont="1" applyFill="1" applyBorder="1" applyAlignment="1">
      <alignment horizontal="right" vertical="center"/>
    </xf>
    <xf numFmtId="0" fontId="142" fillId="5" borderId="7" xfId="0" applyNumberFormat="1" applyFont="1" applyFill="1" applyBorder="1" applyAlignment="1">
      <alignment horizontal="left" vertical="center"/>
    </xf>
    <xf numFmtId="0" fontId="142" fillId="4" borderId="3" xfId="0" applyFont="1" applyFill="1" applyBorder="1" applyAlignment="1">
      <alignment vertical="center"/>
    </xf>
    <xf numFmtId="184" fontId="142" fillId="4" borderId="1" xfId="0" applyNumberFormat="1" applyFont="1" applyFill="1" applyBorder="1" applyAlignment="1">
      <alignment horizontal="center" vertical="center"/>
    </xf>
    <xf numFmtId="180" fontId="142" fillId="7" borderId="3" xfId="0" applyNumberFormat="1" applyFont="1" applyFill="1" applyBorder="1" applyAlignment="1">
      <alignment horizontal="center" vertical="center"/>
    </xf>
    <xf numFmtId="0" fontId="142" fillId="5" borderId="1" xfId="0" applyFont="1" applyFill="1" applyBorder="1" applyAlignment="1">
      <alignment vertical="center"/>
    </xf>
    <xf numFmtId="0" fontId="142" fillId="5" borderId="16" xfId="0" applyFont="1" applyFill="1" applyBorder="1" applyAlignment="1">
      <alignment horizontal="center" vertical="center"/>
    </xf>
    <xf numFmtId="230" fontId="142" fillId="7" borderId="1" xfId="0" applyNumberFormat="1" applyFont="1" applyFill="1" applyBorder="1" applyAlignment="1">
      <alignment horizontal="center" vertical="center"/>
    </xf>
    <xf numFmtId="230" fontId="142" fillId="4" borderId="1" xfId="0" applyNumberFormat="1" applyFont="1" applyFill="1" applyBorder="1" applyAlignment="1">
      <alignment horizontal="center" vertical="center"/>
    </xf>
    <xf numFmtId="181" fontId="142" fillId="5" borderId="1" xfId="0" applyNumberFormat="1" applyFont="1" applyFill="1" applyBorder="1" applyAlignment="1">
      <alignment horizontal="center" vertical="center"/>
    </xf>
    <xf numFmtId="178" fontId="142" fillId="4" borderId="1" xfId="0" applyNumberFormat="1" applyFont="1" applyFill="1" applyBorder="1" applyAlignment="1">
      <alignment horizontal="center" vertical="center"/>
    </xf>
    <xf numFmtId="0" fontId="142" fillId="5" borderId="10" xfId="0" applyFont="1" applyFill="1" applyBorder="1" applyAlignment="1">
      <alignment horizontal="center" vertical="center"/>
    </xf>
    <xf numFmtId="0" fontId="142" fillId="5" borderId="9" xfId="0" applyFont="1" applyFill="1" applyBorder="1" applyAlignment="1">
      <alignment vertical="center"/>
    </xf>
    <xf numFmtId="0" fontId="142" fillId="5" borderId="8" xfId="0" applyFont="1" applyFill="1" applyBorder="1" applyAlignment="1">
      <alignment horizontal="center" vertical="center"/>
    </xf>
    <xf numFmtId="0" fontId="142" fillId="5" borderId="1" xfId="0" applyNumberFormat="1" applyFont="1" applyFill="1" applyBorder="1" applyAlignment="1">
      <alignment horizontal="center" vertical="center"/>
    </xf>
    <xf numFmtId="178" fontId="142" fillId="5" borderId="7" xfId="0" applyNumberFormat="1" applyFont="1" applyFill="1" applyBorder="1" applyAlignment="1">
      <alignment horizontal="center" vertical="center"/>
    </xf>
    <xf numFmtId="178" fontId="142" fillId="4" borderId="7" xfId="0" applyNumberFormat="1" applyFont="1" applyFill="1" applyBorder="1" applyAlignment="1">
      <alignment horizontal="center" vertical="center"/>
    </xf>
    <xf numFmtId="229" fontId="142" fillId="5" borderId="7" xfId="0" applyNumberFormat="1" applyFont="1" applyFill="1" applyBorder="1" applyAlignment="1">
      <alignment horizontal="center" vertical="center"/>
    </xf>
    <xf numFmtId="229" fontId="142" fillId="4" borderId="7" xfId="0" applyNumberFormat="1" applyFont="1" applyFill="1" applyBorder="1" applyAlignment="1">
      <alignment horizontal="center" vertical="center"/>
    </xf>
    <xf numFmtId="0" fontId="142" fillId="5" borderId="12" xfId="0" applyNumberFormat="1" applyFont="1" applyFill="1" applyBorder="1" applyAlignment="1">
      <alignment horizontal="center" vertical="center"/>
    </xf>
    <xf numFmtId="0" fontId="142" fillId="5" borderId="2" xfId="0" applyNumberFormat="1" applyFont="1" applyFill="1" applyBorder="1" applyAlignment="1">
      <alignment horizontal="center" vertical="center"/>
    </xf>
    <xf numFmtId="228" fontId="142" fillId="5" borderId="1" xfId="0" applyNumberFormat="1" applyFont="1" applyFill="1" applyBorder="1" applyAlignment="1">
      <alignment horizontal="center" vertical="center"/>
    </xf>
    <xf numFmtId="228" fontId="142" fillId="4" borderId="1" xfId="0" applyNumberFormat="1" applyFont="1" applyFill="1" applyBorder="1" applyAlignment="1">
      <alignment horizontal="center" vertical="center"/>
    </xf>
    <xf numFmtId="180" fontId="149" fillId="0" borderId="1" xfId="0" applyNumberFormat="1" applyFont="1" applyBorder="1" applyAlignment="1">
      <alignment horizontal="center" vertical="center"/>
    </xf>
    <xf numFmtId="180" fontId="149" fillId="0" borderId="7" xfId="0" applyNumberFormat="1" applyFont="1" applyBorder="1" applyAlignment="1">
      <alignment vertical="center"/>
    </xf>
    <xf numFmtId="180" fontId="149" fillId="0" borderId="4" xfId="0" applyNumberFormat="1" applyFont="1" applyBorder="1" applyAlignment="1">
      <alignment horizontal="center" vertical="center"/>
    </xf>
    <xf numFmtId="182" fontId="142" fillId="5" borderId="10" xfId="0" applyNumberFormat="1" applyFont="1" applyFill="1" applyBorder="1" applyAlignment="1">
      <alignment horizontal="right" vertical="center"/>
    </xf>
    <xf numFmtId="0" fontId="142" fillId="5" borderId="13" xfId="0" applyFont="1" applyFill="1" applyBorder="1" applyAlignment="1">
      <alignment vertical="center"/>
    </xf>
    <xf numFmtId="184" fontId="142" fillId="4" borderId="7" xfId="0" applyNumberFormat="1" applyFont="1" applyFill="1" applyBorder="1" applyAlignment="1">
      <alignment horizontal="center" vertical="center"/>
    </xf>
    <xf numFmtId="181" fontId="149" fillId="0" borderId="7" xfId="0" applyNumberFormat="1" applyFont="1" applyBorder="1" applyAlignment="1">
      <alignment horizontal="center" vertical="center"/>
    </xf>
    <xf numFmtId="180" fontId="142" fillId="0" borderId="7" xfId="0" applyNumberFormat="1" applyFont="1" applyBorder="1" applyAlignment="1">
      <alignment vertical="center" wrapText="1"/>
    </xf>
    <xf numFmtId="180" fontId="0" fillId="0" borderId="4" xfId="0" applyNumberFormat="1" applyFill="1" applyBorder="1" applyAlignment="1">
      <alignment horizontal="center" vertical="center"/>
    </xf>
    <xf numFmtId="180" fontId="0" fillId="0" borderId="7" xfId="0" applyNumberFormat="1" applyBorder="1" applyAlignment="1">
      <alignment vertical="center" wrapText="1"/>
    </xf>
    <xf numFmtId="180" fontId="0" fillId="0" borderId="4" xfId="0" applyNumberFormat="1" applyBorder="1" applyAlignment="1">
      <alignment horizontal="center" vertical="center"/>
    </xf>
    <xf numFmtId="183" fontId="142" fillId="4" borderId="1" xfId="0" applyNumberFormat="1" applyFont="1" applyFill="1" applyBorder="1" applyAlignment="1">
      <alignment horizontal="center" vertical="center"/>
    </xf>
    <xf numFmtId="183" fontId="142" fillId="4" borderId="7" xfId="0" applyNumberFormat="1" applyFont="1" applyFill="1" applyBorder="1" applyAlignment="1">
      <alignment horizontal="center" vertical="center"/>
    </xf>
    <xf numFmtId="183" fontId="142" fillId="0" borderId="4" xfId="0" applyNumberFormat="1" applyFont="1" applyBorder="1" applyAlignment="1">
      <alignment horizontal="center" vertical="center"/>
    </xf>
    <xf numFmtId="181" fontId="142" fillId="0" borderId="4" xfId="0" applyNumberFormat="1" applyFont="1" applyBorder="1" applyAlignment="1">
      <alignment horizontal="center" vertical="center"/>
    </xf>
    <xf numFmtId="0" fontId="142" fillId="0" borderId="14" xfId="0" applyFont="1" applyBorder="1" applyAlignment="1">
      <alignment vertical="center"/>
    </xf>
    <xf numFmtId="0" fontId="142" fillId="4" borderId="4" xfId="0" applyFont="1" applyFill="1" applyBorder="1" applyAlignment="1">
      <alignment horizontal="left" vertical="center"/>
    </xf>
    <xf numFmtId="179" fontId="142" fillId="4" borderId="1" xfId="0" applyNumberFormat="1" applyFont="1" applyFill="1" applyBorder="1" applyAlignment="1">
      <alignment horizontal="center" vertical="center"/>
    </xf>
    <xf numFmtId="0" fontId="142" fillId="4" borderId="0" xfId="0" applyFont="1" applyFill="1">
      <alignment vertical="center"/>
    </xf>
    <xf numFmtId="0" fontId="142" fillId="4" borderId="13" xfId="0" applyFont="1" applyFill="1" applyBorder="1">
      <alignment vertical="center"/>
    </xf>
    <xf numFmtId="0" fontId="142" fillId="4" borderId="5" xfId="0" applyFont="1" applyFill="1" applyBorder="1" applyAlignment="1">
      <alignment vertical="center"/>
    </xf>
    <xf numFmtId="0" fontId="142" fillId="4" borderId="0" xfId="0" applyFont="1" applyFill="1" applyBorder="1" applyAlignment="1">
      <alignment vertical="center"/>
    </xf>
    <xf numFmtId="0" fontId="142" fillId="4" borderId="16" xfId="0" applyFont="1" applyFill="1" applyBorder="1" applyAlignment="1">
      <alignment horizontal="left" vertical="center"/>
    </xf>
    <xf numFmtId="0" fontId="142" fillId="0" borderId="5" xfId="0" applyFont="1" applyBorder="1" applyAlignment="1">
      <alignment vertical="center"/>
    </xf>
    <xf numFmtId="0" fontId="142" fillId="0" borderId="16" xfId="0" applyFont="1" applyBorder="1" applyAlignment="1">
      <alignment horizontal="left" vertical="center"/>
    </xf>
    <xf numFmtId="0" fontId="142" fillId="4" borderId="11" xfId="0" applyFont="1" applyFill="1" applyBorder="1" applyAlignment="1">
      <alignment vertical="center"/>
    </xf>
    <xf numFmtId="0" fontId="142" fillId="4" borderId="2" xfId="0" applyFont="1" applyFill="1" applyBorder="1" applyAlignment="1">
      <alignment vertical="center"/>
    </xf>
    <xf numFmtId="0" fontId="142" fillId="4" borderId="6" xfId="0" applyFont="1" applyFill="1" applyBorder="1" applyAlignment="1">
      <alignment horizontal="left" vertical="center"/>
    </xf>
    <xf numFmtId="0" fontId="142" fillId="0" borderId="11" xfId="0" applyFont="1" applyBorder="1" applyAlignment="1">
      <alignment vertical="center"/>
    </xf>
    <xf numFmtId="0" fontId="142" fillId="0" borderId="2" xfId="0" applyFont="1" applyBorder="1" applyAlignment="1">
      <alignment vertical="center"/>
    </xf>
    <xf numFmtId="0" fontId="142" fillId="0" borderId="6" xfId="0" applyFont="1" applyBorder="1" applyAlignment="1">
      <alignment vertical="center"/>
    </xf>
    <xf numFmtId="0" fontId="142" fillId="0" borderId="7" xfId="0" applyFont="1" applyBorder="1" applyAlignment="1">
      <alignment vertical="center"/>
    </xf>
    <xf numFmtId="0" fontId="142" fillId="5" borderId="2" xfId="0" applyFont="1" applyFill="1" applyBorder="1" applyAlignment="1">
      <alignment horizontal="left" vertical="center"/>
    </xf>
    <xf numFmtId="232" fontId="142" fillId="5" borderId="2" xfId="0" applyNumberFormat="1" applyFont="1" applyFill="1" applyBorder="1" applyAlignment="1">
      <alignment horizontal="left" vertical="center"/>
    </xf>
    <xf numFmtId="233" fontId="142" fillId="4" borderId="2" xfId="0" applyNumberFormat="1" applyFont="1" applyFill="1" applyBorder="1" applyAlignment="1">
      <alignment horizontal="left" vertical="center"/>
    </xf>
    <xf numFmtId="0" fontId="142" fillId="4" borderId="2" xfId="0" applyFont="1" applyFill="1" applyBorder="1" applyAlignment="1">
      <alignment horizontal="left" vertical="center"/>
    </xf>
    <xf numFmtId="232" fontId="142" fillId="0" borderId="1" xfId="0" applyNumberFormat="1" applyFont="1" applyBorder="1" applyAlignment="1">
      <alignment horizontal="left" vertical="center"/>
    </xf>
    <xf numFmtId="233" fontId="142" fillId="0" borderId="3" xfId="0" applyNumberFormat="1" applyFont="1" applyBorder="1" applyAlignment="1">
      <alignment horizontal="left" vertical="center"/>
    </xf>
    <xf numFmtId="0" fontId="142" fillId="0" borderId="6" xfId="0" applyFont="1" applyFill="1" applyBorder="1" applyAlignment="1">
      <alignment horizontal="center" vertical="center" wrapText="1"/>
    </xf>
    <xf numFmtId="0" fontId="142" fillId="0" borderId="3" xfId="0" applyFont="1" applyFill="1" applyBorder="1" applyAlignment="1">
      <alignment horizontal="center" vertical="center"/>
    </xf>
    <xf numFmtId="183" fontId="142" fillId="4" borderId="1" xfId="0" applyNumberFormat="1" applyFont="1" applyFill="1" applyBorder="1" applyAlignment="1">
      <alignment horizontal="center" vertical="center" wrapText="1"/>
    </xf>
    <xf numFmtId="183" fontId="142" fillId="0" borderId="1" xfId="0" applyNumberFormat="1" applyFont="1" applyBorder="1" applyAlignment="1">
      <alignment horizontal="center" vertical="center" wrapText="1"/>
    </xf>
    <xf numFmtId="0" fontId="163" fillId="0" borderId="4" xfId="0" applyFont="1" applyBorder="1" applyAlignment="1">
      <alignment horizontal="left" vertical="center"/>
    </xf>
    <xf numFmtId="0" fontId="142" fillId="5" borderId="4" xfId="0" applyFont="1" applyFill="1" applyBorder="1">
      <alignment vertical="center"/>
    </xf>
    <xf numFmtId="182" fontId="142" fillId="5" borderId="3" xfId="0" applyNumberFormat="1" applyFont="1" applyFill="1" applyBorder="1" applyAlignment="1">
      <alignment horizontal="center" vertical="center"/>
    </xf>
    <xf numFmtId="0" fontId="142" fillId="5" borderId="3" xfId="0" applyFont="1" applyFill="1" applyBorder="1" applyAlignment="1">
      <alignment horizontal="right" vertical="center" wrapText="1"/>
    </xf>
    <xf numFmtId="0" fontId="142" fillId="5" borderId="3" xfId="0" applyFont="1" applyFill="1" applyBorder="1" applyAlignment="1">
      <alignment horizontal="left" vertical="center" wrapText="1"/>
    </xf>
    <xf numFmtId="0" fontId="142" fillId="0" borderId="4" xfId="0" applyFont="1" applyBorder="1">
      <alignment vertical="center"/>
    </xf>
    <xf numFmtId="182" fontId="142" fillId="0" borderId="3" xfId="0" applyNumberFormat="1" applyFont="1" applyBorder="1" applyAlignment="1">
      <alignment horizontal="center" vertical="center"/>
    </xf>
    <xf numFmtId="0" fontId="142" fillId="0" borderId="4" xfId="0" applyFont="1" applyBorder="1" applyAlignment="1">
      <alignment horizontal="right" vertical="center" wrapText="1"/>
    </xf>
    <xf numFmtId="0" fontId="142" fillId="0" borderId="3" xfId="0" applyFont="1" applyBorder="1" applyAlignment="1">
      <alignment horizontal="right" vertical="center" wrapText="1"/>
    </xf>
    <xf numFmtId="178" fontId="142" fillId="4" borderId="4" xfId="0" applyNumberFormat="1" applyFont="1" applyFill="1" applyBorder="1" applyAlignment="1">
      <alignment horizontal="center" vertical="center"/>
    </xf>
    <xf numFmtId="0" fontId="142" fillId="5" borderId="0" xfId="0" applyFont="1" applyFill="1">
      <alignment vertical="center"/>
    </xf>
    <xf numFmtId="0" fontId="163" fillId="7" borderId="1" xfId="0" applyFont="1" applyFill="1" applyBorder="1" applyAlignment="1">
      <alignment horizontal="center" vertical="center" wrapText="1"/>
    </xf>
    <xf numFmtId="176" fontId="142" fillId="0" borderId="4" xfId="0" applyNumberFormat="1" applyFont="1" applyBorder="1" applyAlignment="1">
      <alignment horizontal="center" vertical="center"/>
    </xf>
    <xf numFmtId="181" fontId="142" fillId="0" borderId="7" xfId="0" applyNumberFormat="1" applyFont="1" applyBorder="1" applyAlignment="1">
      <alignment horizontal="center" vertical="center"/>
    </xf>
    <xf numFmtId="180" fontId="142" fillId="0" borderId="4" xfId="0" applyNumberFormat="1" applyFont="1" applyBorder="1" applyAlignment="1">
      <alignment horizontal="center" vertical="center"/>
    </xf>
    <xf numFmtId="0" fontId="142" fillId="5" borderId="3" xfId="0" applyFont="1" applyFill="1" applyBorder="1">
      <alignment vertical="center"/>
    </xf>
    <xf numFmtId="217" fontId="142" fillId="4" borderId="3" xfId="0" applyNumberFormat="1" applyFont="1" applyFill="1" applyBorder="1" applyAlignment="1">
      <alignment horizontal="left" vertical="center"/>
    </xf>
    <xf numFmtId="217" fontId="142" fillId="7" borderId="3" xfId="0" applyNumberFormat="1" applyFont="1" applyFill="1" applyBorder="1" applyAlignment="1">
      <alignment horizontal="left" vertical="center"/>
    </xf>
    <xf numFmtId="0" fontId="142" fillId="0" borderId="8" xfId="0" applyFont="1" applyFill="1" applyBorder="1" applyAlignment="1">
      <alignment horizontal="center" vertical="center"/>
    </xf>
    <xf numFmtId="0" fontId="150" fillId="0" borderId="1" xfId="0" applyFont="1" applyBorder="1" applyAlignment="1">
      <alignment horizontal="center" vertical="center" wrapText="1"/>
    </xf>
    <xf numFmtId="235" fontId="142" fillId="0" borderId="1" xfId="0" applyNumberFormat="1" applyFont="1" applyBorder="1" applyAlignment="1">
      <alignment horizontal="center" vertical="center"/>
    </xf>
    <xf numFmtId="191" fontId="142" fillId="0" borderId="1" xfId="0" applyNumberFormat="1" applyFont="1" applyBorder="1" applyAlignment="1">
      <alignment horizontal="center" vertical="center" wrapText="1"/>
    </xf>
    <xf numFmtId="234" fontId="142" fillId="0" borderId="1" xfId="0" applyNumberFormat="1" applyFont="1" applyBorder="1" applyAlignment="1">
      <alignment horizontal="center" vertical="center"/>
    </xf>
    <xf numFmtId="0" fontId="142" fillId="0" borderId="0" xfId="0" applyFont="1" applyFill="1" applyAlignment="1">
      <alignment vertical="center" wrapText="1"/>
    </xf>
    <xf numFmtId="0" fontId="0" fillId="0" borderId="0" xfId="0" applyFill="1" applyAlignment="1">
      <alignment vertical="center" wrapText="1"/>
    </xf>
    <xf numFmtId="0" fontId="142" fillId="4" borderId="11" xfId="0" applyFont="1" applyFill="1" applyBorder="1" applyAlignment="1">
      <alignment horizontal="center" vertical="center"/>
    </xf>
    <xf numFmtId="179" fontId="142" fillId="5" borderId="4" xfId="0" applyNumberFormat="1" applyFont="1" applyFill="1" applyBorder="1" applyAlignment="1">
      <alignment horizontal="center" vertical="center"/>
    </xf>
    <xf numFmtId="179" fontId="142" fillId="0" borderId="4" xfId="0" applyNumberFormat="1" applyFont="1" applyBorder="1" applyAlignment="1">
      <alignment horizontal="center" vertical="center"/>
    </xf>
    <xf numFmtId="178" fontId="142" fillId="0" borderId="4" xfId="0" applyNumberFormat="1" applyFont="1" applyBorder="1" applyAlignment="1">
      <alignment horizontal="center" vertical="center"/>
    </xf>
    <xf numFmtId="180" fontId="142" fillId="5" borderId="4" xfId="0" applyNumberFormat="1" applyFont="1" applyFill="1" applyBorder="1" applyAlignment="1">
      <alignment horizontal="center" vertical="center"/>
    </xf>
    <xf numFmtId="179" fontId="142" fillId="4" borderId="4" xfId="0" applyNumberFormat="1" applyFont="1" applyFill="1" applyBorder="1" applyAlignment="1">
      <alignment horizontal="center" vertical="center"/>
    </xf>
    <xf numFmtId="181" fontId="142" fillId="5" borderId="4" xfId="0" applyNumberFormat="1" applyFont="1" applyFill="1" applyBorder="1" applyAlignment="1">
      <alignment horizontal="center" vertical="center"/>
    </xf>
    <xf numFmtId="234" fontId="142" fillId="4" borderId="4" xfId="0" applyNumberFormat="1" applyFont="1" applyFill="1" applyBorder="1" applyAlignment="1">
      <alignment horizontal="center" vertical="center"/>
    </xf>
    <xf numFmtId="176" fontId="142" fillId="5" borderId="4" xfId="0" applyNumberFormat="1" applyFont="1" applyFill="1" applyBorder="1" applyAlignment="1">
      <alignment horizontal="center" vertical="center"/>
    </xf>
    <xf numFmtId="235" fontId="142" fillId="4" borderId="4" xfId="0" applyNumberFormat="1" applyFont="1" applyFill="1" applyBorder="1" applyAlignment="1">
      <alignment horizontal="center" vertical="center"/>
    </xf>
    <xf numFmtId="230" fontId="142" fillId="4" borderId="4" xfId="0" applyNumberFormat="1" applyFont="1" applyFill="1" applyBorder="1" applyAlignment="1">
      <alignment horizontal="center" vertical="center"/>
    </xf>
    <xf numFmtId="236" fontId="142" fillId="4" borderId="4" xfId="0" applyNumberFormat="1" applyFont="1" applyFill="1" applyBorder="1" applyAlignment="1">
      <alignment horizontal="center" vertical="center"/>
    </xf>
    <xf numFmtId="176" fontId="142" fillId="0" borderId="10" xfId="0" applyNumberFormat="1" applyFont="1" applyBorder="1" applyAlignment="1">
      <alignment horizontal="center" vertical="center"/>
    </xf>
    <xf numFmtId="217" fontId="142" fillId="0" borderId="3" xfId="0" applyNumberFormat="1" applyFont="1" applyBorder="1" applyAlignment="1">
      <alignment horizontal="left" vertical="center"/>
    </xf>
    <xf numFmtId="0" fontId="142" fillId="0" borderId="14" xfId="0" applyFont="1" applyBorder="1" applyAlignment="1">
      <alignment horizontal="right" vertical="center"/>
    </xf>
    <xf numFmtId="0" fontId="142" fillId="0" borderId="3" xfId="0" applyFont="1" applyFill="1" applyBorder="1" applyAlignment="1">
      <alignment vertical="center"/>
    </xf>
    <xf numFmtId="0" fontId="142" fillId="9" borderId="1" xfId="0" applyFont="1" applyFill="1" applyBorder="1" applyAlignment="1">
      <alignment horizontal="center" vertical="center" wrapText="1"/>
    </xf>
    <xf numFmtId="0" fontId="142" fillId="9" borderId="0" xfId="0" applyFont="1" applyFill="1">
      <alignment vertical="center"/>
    </xf>
    <xf numFmtId="289" fontId="149" fillId="0" borderId="1" xfId="0" applyNumberFormat="1" applyFont="1" applyBorder="1" applyAlignment="1">
      <alignment horizontal="center" vertical="center" wrapText="1"/>
    </xf>
    <xf numFmtId="181" fontId="149" fillId="7" borderId="4" xfId="0" applyNumberFormat="1" applyFont="1" applyFill="1" applyBorder="1" applyAlignment="1">
      <alignment horizontal="center" vertical="center"/>
    </xf>
    <xf numFmtId="181" fontId="149" fillId="0" borderId="12" xfId="0" applyNumberFormat="1" applyFont="1" applyFill="1" applyBorder="1" applyAlignment="1">
      <alignment horizontal="center" vertical="center"/>
    </xf>
    <xf numFmtId="181" fontId="149" fillId="0" borderId="4" xfId="0" applyNumberFormat="1" applyFont="1" applyFill="1" applyBorder="1" applyAlignment="1">
      <alignment horizontal="center" vertical="center"/>
    </xf>
    <xf numFmtId="181" fontId="149" fillId="0" borderId="1" xfId="0" applyNumberFormat="1" applyFont="1" applyFill="1" applyBorder="1" applyAlignment="1">
      <alignment horizontal="center" vertical="center"/>
    </xf>
    <xf numFmtId="0" fontId="142" fillId="0" borderId="0" xfId="0" applyFont="1" applyBorder="1" applyAlignment="1">
      <alignment horizontal="center" vertical="center" wrapText="1"/>
    </xf>
    <xf numFmtId="0" fontId="142" fillId="0" borderId="9" xfId="0" applyFont="1" applyFill="1" applyBorder="1" applyAlignment="1">
      <alignment horizontal="center" vertical="center"/>
    </xf>
    <xf numFmtId="181" fontId="142" fillId="0" borderId="3" xfId="0" applyNumberFormat="1" applyFont="1" applyBorder="1" applyAlignment="1">
      <alignment horizontal="center" vertical="center"/>
    </xf>
    <xf numFmtId="0" fontId="142" fillId="0" borderId="12" xfId="0" applyFont="1" applyFill="1" applyBorder="1" applyAlignment="1">
      <alignment horizontal="center" vertical="center"/>
    </xf>
    <xf numFmtId="268" fontId="142" fillId="0" borderId="3" xfId="0" applyNumberFormat="1" applyFont="1" applyBorder="1" applyAlignment="1">
      <alignment horizontal="center" vertical="center"/>
    </xf>
    <xf numFmtId="268" fontId="142" fillId="0" borderId="7" xfId="0" applyNumberFormat="1" applyFont="1" applyBorder="1" applyAlignment="1">
      <alignment horizontal="center" vertical="center"/>
    </xf>
    <xf numFmtId="234" fontId="149" fillId="4" borderId="1" xfId="0" applyNumberFormat="1" applyFont="1" applyFill="1" applyBorder="1" applyAlignment="1">
      <alignment horizontal="center" vertical="center"/>
    </xf>
    <xf numFmtId="234" fontId="149" fillId="7" borderId="1" xfId="0" applyNumberFormat="1" applyFont="1" applyFill="1" applyBorder="1" applyAlignment="1">
      <alignment horizontal="center" vertical="center"/>
    </xf>
    <xf numFmtId="269" fontId="142" fillId="0" borderId="3" xfId="0" applyNumberFormat="1" applyFont="1" applyBorder="1" applyAlignment="1">
      <alignment horizontal="left" vertical="center"/>
    </xf>
    <xf numFmtId="181" fontId="0" fillId="0" borderId="14" xfId="0" applyNumberFormat="1" applyBorder="1">
      <alignment vertical="center"/>
    </xf>
    <xf numFmtId="0" fontId="0" fillId="0" borderId="14" xfId="0" applyFill="1" applyBorder="1" applyAlignment="1">
      <alignment vertical="center"/>
    </xf>
    <xf numFmtId="0" fontId="166" fillId="0" borderId="14" xfId="0" applyFont="1" applyFill="1" applyBorder="1" applyAlignment="1">
      <alignment vertical="top" wrapText="1"/>
    </xf>
    <xf numFmtId="0" fontId="166" fillId="0" borderId="3" xfId="0" applyFont="1" applyFill="1" applyBorder="1" applyAlignment="1">
      <alignment vertical="top" wrapText="1"/>
    </xf>
    <xf numFmtId="0" fontId="166" fillId="0" borderId="7" xfId="0" applyFont="1" applyFill="1" applyBorder="1" applyAlignment="1">
      <alignment vertical="top" wrapText="1"/>
    </xf>
    <xf numFmtId="270" fontId="142" fillId="0" borderId="10" xfId="0" applyNumberFormat="1" applyFont="1" applyBorder="1" applyAlignment="1">
      <alignment vertical="center"/>
    </xf>
    <xf numFmtId="222" fontId="167" fillId="0" borderId="14" xfId="0" applyNumberFormat="1" applyFont="1" applyBorder="1" applyAlignment="1">
      <alignment vertical="center"/>
    </xf>
    <xf numFmtId="184" fontId="141" fillId="0" borderId="14" xfId="0" applyNumberFormat="1" applyFont="1" applyBorder="1" applyAlignment="1">
      <alignment vertical="center"/>
    </xf>
    <xf numFmtId="184" fontId="142" fillId="0" borderId="0" xfId="0" applyNumberFormat="1" applyFont="1" applyBorder="1" applyAlignment="1">
      <alignment horizontal="center" vertical="center"/>
    </xf>
    <xf numFmtId="0" fontId="166" fillId="0" borderId="0" xfId="0" applyFont="1" applyFill="1" applyBorder="1" applyAlignment="1">
      <alignment vertical="top" wrapText="1"/>
    </xf>
    <xf numFmtId="0" fontId="166" fillId="0" borderId="16" xfId="0" applyFont="1" applyFill="1" applyBorder="1" applyAlignment="1">
      <alignment vertical="top" wrapText="1"/>
    </xf>
    <xf numFmtId="270" fontId="142" fillId="0" borderId="5" xfId="0" applyNumberFormat="1" applyFont="1" applyBorder="1" applyAlignment="1">
      <alignment vertical="center"/>
    </xf>
    <xf numFmtId="184" fontId="142" fillId="0" borderId="0" xfId="0" applyNumberFormat="1" applyFont="1" applyBorder="1" applyAlignment="1">
      <alignment vertical="center"/>
    </xf>
    <xf numFmtId="271" fontId="141" fillId="0" borderId="0" xfId="0" applyNumberFormat="1" applyFont="1" applyBorder="1" applyAlignment="1">
      <alignment horizontal="center"/>
    </xf>
    <xf numFmtId="222" fontId="150" fillId="0" borderId="0" xfId="0" applyNumberFormat="1" applyFont="1" applyBorder="1" applyAlignment="1">
      <alignment horizontal="right" vertical="center"/>
    </xf>
    <xf numFmtId="271" fontId="141" fillId="0" borderId="0" xfId="0" applyNumberFormat="1" applyFont="1" applyBorder="1" applyAlignment="1">
      <alignment horizontal="left" vertical="center"/>
    </xf>
    <xf numFmtId="0" fontId="142" fillId="0" borderId="0" xfId="0" applyFont="1" applyBorder="1" applyAlignment="1">
      <alignment vertical="center" wrapText="1"/>
    </xf>
    <xf numFmtId="0" fontId="141" fillId="0" borderId="0" xfId="0" applyFont="1" applyFill="1" applyBorder="1" applyAlignment="1">
      <alignment vertical="center" textRotation="90" wrapText="1"/>
    </xf>
    <xf numFmtId="234" fontId="142" fillId="7" borderId="1" xfId="0" applyNumberFormat="1" applyFont="1" applyFill="1" applyBorder="1" applyAlignment="1">
      <alignment horizontal="center" vertical="center"/>
    </xf>
    <xf numFmtId="234" fontId="142" fillId="0" borderId="1" xfId="0" applyNumberFormat="1" applyFont="1" applyFill="1" applyBorder="1" applyAlignment="1">
      <alignment horizontal="center" vertical="center"/>
    </xf>
    <xf numFmtId="234" fontId="149" fillId="7" borderId="1" xfId="0" applyNumberFormat="1" applyFont="1" applyFill="1" applyBorder="1" applyAlignment="1">
      <alignment horizontal="center" vertical="center" wrapText="1"/>
    </xf>
    <xf numFmtId="234" fontId="149" fillId="0" borderId="1" xfId="0" applyNumberFormat="1" applyFont="1" applyFill="1" applyBorder="1" applyAlignment="1">
      <alignment horizontal="center" vertical="center"/>
    </xf>
    <xf numFmtId="234" fontId="149" fillId="0" borderId="1" xfId="0" applyNumberFormat="1" applyFont="1" applyBorder="1" applyAlignment="1">
      <alignment horizontal="center" vertical="center"/>
    </xf>
    <xf numFmtId="0" fontId="142" fillId="0" borderId="10" xfId="0" applyFont="1" applyBorder="1" applyAlignment="1">
      <alignment horizontal="left" vertical="center"/>
    </xf>
    <xf numFmtId="268" fontId="142" fillId="0" borderId="14" xfId="0" applyNumberFormat="1" applyFont="1" applyBorder="1" applyAlignment="1">
      <alignment vertical="center"/>
    </xf>
    <xf numFmtId="181" fontId="142" fillId="0" borderId="14" xfId="0" applyNumberFormat="1" applyFont="1" applyBorder="1" applyAlignment="1">
      <alignment horizontal="center" vertical="center"/>
    </xf>
    <xf numFmtId="0" fontId="166" fillId="0" borderId="13" xfId="0" applyFont="1" applyBorder="1" applyAlignment="1">
      <alignment horizontal="center" vertical="center"/>
    </xf>
    <xf numFmtId="0" fontId="142" fillId="0" borderId="5" xfId="0" applyFont="1" applyBorder="1" applyAlignment="1">
      <alignment horizontal="left" vertical="center"/>
    </xf>
    <xf numFmtId="181" fontId="142" fillId="0" borderId="0" xfId="0" applyNumberFormat="1" applyFont="1" applyBorder="1" applyAlignment="1">
      <alignment horizontal="center" vertical="center"/>
    </xf>
    <xf numFmtId="268" fontId="142" fillId="0" borderId="0" xfId="0" applyNumberFormat="1" applyFont="1" applyBorder="1" applyAlignment="1">
      <alignment horizontal="center" vertical="center"/>
    </xf>
    <xf numFmtId="0" fontId="166" fillId="0" borderId="16" xfId="0" applyFont="1" applyBorder="1" applyAlignment="1">
      <alignment horizontal="center" vertical="center"/>
    </xf>
    <xf numFmtId="181" fontId="142" fillId="0" borderId="0" xfId="0" applyNumberFormat="1" applyFont="1" applyBorder="1" applyAlignment="1">
      <alignment vertical="center"/>
    </xf>
    <xf numFmtId="268" fontId="142" fillId="0" borderId="0" xfId="0" applyNumberFormat="1" applyFont="1" applyBorder="1" applyAlignment="1">
      <alignment vertical="center"/>
    </xf>
    <xf numFmtId="0" fontId="142" fillId="0" borderId="11" xfId="0" applyFont="1" applyBorder="1" applyAlignment="1">
      <alignment horizontal="left" vertical="center"/>
    </xf>
    <xf numFmtId="181" fontId="142" fillId="0" borderId="2" xfId="0" applyNumberFormat="1" applyFont="1" applyBorder="1" applyAlignment="1">
      <alignment horizontal="center" vertical="center"/>
    </xf>
    <xf numFmtId="268" fontId="142" fillId="0" borderId="2" xfId="0" applyNumberFormat="1" applyFont="1" applyBorder="1" applyAlignment="1">
      <alignment horizontal="center" vertical="center"/>
    </xf>
    <xf numFmtId="268" fontId="146" fillId="0" borderId="2" xfId="0" applyNumberFormat="1" applyFont="1" applyBorder="1" applyAlignment="1">
      <alignment vertical="center"/>
    </xf>
    <xf numFmtId="0" fontId="166" fillId="0" borderId="6" xfId="0" applyFont="1" applyBorder="1" applyAlignment="1">
      <alignment horizontal="center" vertical="center"/>
    </xf>
    <xf numFmtId="181" fontId="142" fillId="0" borderId="10" xfId="0" applyNumberFormat="1" applyFont="1" applyBorder="1" applyAlignment="1">
      <alignment vertical="center"/>
    </xf>
    <xf numFmtId="268" fontId="146" fillId="0" borderId="0" xfId="0" applyNumberFormat="1" applyFont="1" applyBorder="1" applyAlignment="1">
      <alignment horizontal="left" vertical="center"/>
    </xf>
    <xf numFmtId="181" fontId="142" fillId="0" borderId="2" xfId="0" applyNumberFormat="1" applyFont="1" applyBorder="1" applyAlignment="1">
      <alignment vertical="center"/>
    </xf>
    <xf numFmtId="0" fontId="146" fillId="0" borderId="0" xfId="0" applyFont="1" applyBorder="1">
      <alignment vertical="center"/>
    </xf>
    <xf numFmtId="269" fontId="142" fillId="0" borderId="0" xfId="0" applyNumberFormat="1" applyFont="1" applyBorder="1" applyAlignment="1">
      <alignment horizontal="center" vertical="center"/>
    </xf>
    <xf numFmtId="181" fontId="144" fillId="0" borderId="0" xfId="0" applyNumberFormat="1" applyFont="1" applyBorder="1" applyAlignment="1">
      <alignment horizontal="center" vertical="center"/>
    </xf>
    <xf numFmtId="269" fontId="142" fillId="0" borderId="2" xfId="0" applyNumberFormat="1" applyFont="1" applyBorder="1" applyAlignment="1">
      <alignment horizontal="center" vertical="center"/>
    </xf>
    <xf numFmtId="0" fontId="146" fillId="0" borderId="2" xfId="0" applyFont="1" applyBorder="1">
      <alignment vertical="center"/>
    </xf>
    <xf numFmtId="181" fontId="142" fillId="0" borderId="2" xfId="0" applyNumberFormat="1" applyFont="1" applyBorder="1" applyAlignment="1">
      <alignment vertical="center" wrapText="1"/>
    </xf>
    <xf numFmtId="0" fontId="166" fillId="0" borderId="7" xfId="0" applyFont="1" applyBorder="1" applyAlignment="1">
      <alignment vertical="top" wrapText="1"/>
    </xf>
    <xf numFmtId="184" fontId="150" fillId="0" borderId="0" xfId="0" applyNumberFormat="1" applyFont="1" applyBorder="1" applyAlignment="1">
      <alignment horizontal="center" vertical="center"/>
    </xf>
    <xf numFmtId="184" fontId="142" fillId="0" borderId="16" xfId="0" applyNumberFormat="1" applyFont="1" applyBorder="1" applyAlignment="1">
      <alignment horizontal="center" vertical="center"/>
    </xf>
    <xf numFmtId="0" fontId="141" fillId="0" borderId="16" xfId="0" applyFont="1" applyFill="1" applyBorder="1" applyAlignment="1">
      <alignment vertical="center" textRotation="90" wrapText="1"/>
    </xf>
    <xf numFmtId="272" fontId="142" fillId="0" borderId="0" xfId="0" applyNumberFormat="1" applyFont="1" applyBorder="1" applyAlignment="1">
      <alignment vertical="center"/>
    </xf>
    <xf numFmtId="184" fontId="150" fillId="0" borderId="0" xfId="0" applyNumberFormat="1" applyFont="1" applyFill="1" applyBorder="1" applyAlignment="1">
      <alignment vertical="center" textRotation="90" shrinkToFit="1"/>
    </xf>
    <xf numFmtId="0" fontId="142" fillId="0" borderId="0" xfId="0" applyFont="1" applyFill="1" applyBorder="1" applyAlignment="1">
      <alignment vertical="center" wrapText="1"/>
    </xf>
    <xf numFmtId="273" fontId="142" fillId="0" borderId="0" xfId="0" applyNumberFormat="1" applyFont="1" applyBorder="1" applyAlignment="1">
      <alignment vertical="center"/>
    </xf>
    <xf numFmtId="0" fontId="141" fillId="0" borderId="0" xfId="0" applyFont="1" applyBorder="1" applyAlignment="1">
      <alignment vertical="center"/>
    </xf>
    <xf numFmtId="0" fontId="141" fillId="0" borderId="5" xfId="0" applyFont="1" applyBorder="1" applyAlignment="1">
      <alignment horizontal="right" vertical="center" textRotation="90"/>
    </xf>
    <xf numFmtId="0" fontId="141" fillId="0" borderId="0" xfId="0" applyFont="1" applyBorder="1" applyAlignment="1">
      <alignment horizontal="center" vertical="center" textRotation="90"/>
    </xf>
    <xf numFmtId="0" fontId="141" fillId="0" borderId="0" xfId="0" applyFont="1" applyBorder="1" applyAlignment="1">
      <alignment horizontal="center"/>
    </xf>
    <xf numFmtId="0" fontId="141" fillId="0" borderId="0" xfId="0" applyFont="1" applyBorder="1" applyAlignment="1">
      <alignment horizontal="right"/>
    </xf>
    <xf numFmtId="0" fontId="142" fillId="0" borderId="0" xfId="0" applyNumberFormat="1" applyFont="1" applyBorder="1" applyAlignment="1">
      <alignment horizontal="center" vertical="center"/>
    </xf>
    <xf numFmtId="0" fontId="142" fillId="0" borderId="0" xfId="0" applyNumberFormat="1" applyFont="1" applyFill="1" applyBorder="1" applyAlignment="1">
      <alignment horizontal="center" vertical="center"/>
    </xf>
    <xf numFmtId="0" fontId="141" fillId="0" borderId="16" xfId="0" applyFont="1" applyBorder="1" applyAlignment="1">
      <alignment horizontal="left" vertical="center"/>
    </xf>
    <xf numFmtId="0" fontId="142" fillId="0" borderId="2" xfId="0" applyNumberFormat="1" applyFont="1" applyBorder="1" applyAlignment="1">
      <alignment horizontal="center" vertical="center"/>
    </xf>
    <xf numFmtId="0" fontId="142" fillId="0" borderId="2" xfId="0" applyNumberFormat="1" applyFont="1" applyFill="1" applyBorder="1" applyAlignment="1">
      <alignment horizontal="center" vertical="center"/>
    </xf>
    <xf numFmtId="0" fontId="142" fillId="9" borderId="8" xfId="0" applyFont="1" applyFill="1" applyBorder="1" applyAlignment="1">
      <alignment horizontal="center" vertical="center" wrapText="1"/>
    </xf>
    <xf numFmtId="0" fontId="142" fillId="0" borderId="10" xfId="0" applyFont="1" applyBorder="1" applyAlignment="1">
      <alignment vertical="center"/>
    </xf>
    <xf numFmtId="0" fontId="142" fillId="5" borderId="7" xfId="0" applyFont="1" applyFill="1" applyBorder="1" applyAlignment="1">
      <alignment vertical="center" wrapText="1"/>
    </xf>
    <xf numFmtId="176" fontId="142" fillId="0" borderId="1" xfId="0" applyNumberFormat="1" applyFont="1" applyBorder="1" applyAlignment="1">
      <alignment vertical="center"/>
    </xf>
    <xf numFmtId="0" fontId="149" fillId="2" borderId="0" xfId="0" applyFont="1" applyFill="1">
      <alignment vertical="center"/>
    </xf>
    <xf numFmtId="0" fontId="149" fillId="0" borderId="0" xfId="0" applyFont="1">
      <alignment vertical="center"/>
    </xf>
    <xf numFmtId="0" fontId="168" fillId="2" borderId="0" xfId="0" applyFont="1" applyFill="1">
      <alignment vertical="center"/>
    </xf>
    <xf numFmtId="0" fontId="0" fillId="6" borderId="8" xfId="0" applyFont="1" applyFill="1" applyBorder="1" applyAlignment="1">
      <alignment horizontal="center" vertical="center"/>
    </xf>
    <xf numFmtId="0" fontId="142" fillId="0" borderId="1" xfId="0" applyFont="1" applyFill="1" applyBorder="1" applyAlignment="1">
      <alignment horizontal="left" vertical="center"/>
    </xf>
    <xf numFmtId="0" fontId="142" fillId="0" borderId="19" xfId="0" applyFont="1" applyBorder="1" applyAlignment="1">
      <alignment horizontal="center" vertical="center" wrapText="1"/>
    </xf>
    <xf numFmtId="0" fontId="142" fillId="0" borderId="20" xfId="0" applyFont="1" applyBorder="1" applyAlignment="1">
      <alignment horizontal="center" vertical="center" wrapText="1"/>
    </xf>
    <xf numFmtId="0" fontId="142" fillId="0" borderId="17" xfId="0" applyFont="1" applyBorder="1" applyAlignment="1">
      <alignment horizontal="center" vertical="center" wrapText="1"/>
    </xf>
    <xf numFmtId="0" fontId="142" fillId="5" borderId="18" xfId="0" applyFont="1" applyFill="1" applyBorder="1" applyAlignment="1">
      <alignment horizontal="center" vertical="center" wrapText="1"/>
    </xf>
    <xf numFmtId="0" fontId="142" fillId="5" borderId="17" xfId="0" applyFont="1" applyFill="1" applyBorder="1" applyAlignment="1">
      <alignment horizontal="center" vertical="center" wrapText="1"/>
    </xf>
    <xf numFmtId="180" fontId="142" fillId="4" borderId="1" xfId="0" applyNumberFormat="1" applyFont="1" applyFill="1" applyBorder="1" applyAlignment="1">
      <alignment horizontal="center" vertical="center" wrapText="1"/>
    </xf>
    <xf numFmtId="180" fontId="142" fillId="5" borderId="1" xfId="0" applyNumberFormat="1" applyFont="1" applyFill="1" applyBorder="1" applyAlignment="1">
      <alignment horizontal="center" vertical="center" wrapText="1"/>
    </xf>
    <xf numFmtId="181" fontId="142" fillId="4" borderId="1" xfId="0" applyNumberFormat="1" applyFont="1" applyFill="1" applyBorder="1" applyAlignment="1">
      <alignment horizontal="center" vertical="center" wrapText="1"/>
    </xf>
    <xf numFmtId="181" fontId="142" fillId="0" borderId="1" xfId="0" applyNumberFormat="1" applyFont="1" applyFill="1" applyBorder="1" applyAlignment="1">
      <alignment horizontal="center" vertical="center" wrapText="1"/>
    </xf>
    <xf numFmtId="180" fontId="142" fillId="0" borderId="1" xfId="0" applyNumberFormat="1" applyFont="1" applyFill="1" applyBorder="1" applyAlignment="1">
      <alignment horizontal="center" vertical="center" wrapText="1"/>
    </xf>
    <xf numFmtId="180" fontId="142" fillId="0" borderId="9" xfId="0" applyNumberFormat="1" applyFont="1" applyBorder="1" applyAlignment="1">
      <alignment horizontal="center" vertical="center" wrapText="1"/>
    </xf>
    <xf numFmtId="180" fontId="142" fillId="0" borderId="12" xfId="0" applyNumberFormat="1" applyFont="1" applyBorder="1" applyAlignment="1">
      <alignment horizontal="center" vertical="center" wrapText="1"/>
    </xf>
    <xf numFmtId="0" fontId="150" fillId="0" borderId="10" xfId="0" applyFont="1" applyBorder="1" applyAlignment="1">
      <alignment horizontal="center" vertical="center"/>
    </xf>
    <xf numFmtId="0" fontId="150" fillId="0" borderId="13" xfId="0" applyFont="1" applyFill="1" applyBorder="1" applyAlignment="1">
      <alignment horizontal="center" vertical="center" wrapText="1"/>
    </xf>
    <xf numFmtId="0" fontId="150" fillId="0" borderId="9" xfId="0" applyFont="1" applyFill="1" applyBorder="1" applyAlignment="1">
      <alignment horizontal="center" vertical="center" wrapText="1"/>
    </xf>
    <xf numFmtId="0" fontId="150" fillId="2" borderId="10" xfId="0" applyFont="1" applyFill="1" applyBorder="1" applyAlignment="1">
      <alignment horizontal="center" vertical="center" wrapText="1"/>
    </xf>
    <xf numFmtId="0" fontId="150" fillId="2" borderId="9" xfId="0" applyFont="1" applyFill="1" applyBorder="1" applyAlignment="1">
      <alignment horizontal="center" vertical="center" wrapText="1"/>
    </xf>
    <xf numFmtId="0" fontId="150" fillId="9" borderId="1" xfId="0" applyFont="1" applyFill="1" applyBorder="1" applyAlignment="1">
      <alignment vertical="center" wrapText="1"/>
    </xf>
    <xf numFmtId="176" fontId="150" fillId="4" borderId="7" xfId="0" applyNumberFormat="1" applyFont="1" applyFill="1" applyBorder="1" applyAlignment="1">
      <alignment horizontal="center" vertical="center"/>
    </xf>
    <xf numFmtId="180" fontId="150" fillId="4" borderId="1" xfId="0" applyNumberFormat="1" applyFont="1" applyFill="1" applyBorder="1" applyAlignment="1">
      <alignment horizontal="center" vertical="center"/>
    </xf>
    <xf numFmtId="176" fontId="150" fillId="4" borderId="1" xfId="0" applyNumberFormat="1" applyFont="1" applyFill="1" applyBorder="1" applyAlignment="1">
      <alignment horizontal="center" vertical="center"/>
    </xf>
    <xf numFmtId="0" fontId="150" fillId="4" borderId="4" xfId="0" applyFont="1" applyFill="1" applyBorder="1" applyAlignment="1">
      <alignment horizontal="center" vertical="center"/>
    </xf>
    <xf numFmtId="176" fontId="150" fillId="7" borderId="4" xfId="0" applyNumberFormat="1" applyFont="1" applyFill="1" applyBorder="1" applyAlignment="1">
      <alignment horizontal="center" vertical="center"/>
    </xf>
    <xf numFmtId="181" fontId="150" fillId="7" borderId="1" xfId="0" applyNumberFormat="1" applyFont="1" applyFill="1" applyBorder="1" applyAlignment="1">
      <alignment horizontal="center" vertical="center"/>
    </xf>
    <xf numFmtId="0" fontId="150" fillId="4" borderId="1" xfId="0" applyFont="1" applyFill="1" applyBorder="1" applyAlignment="1">
      <alignment horizontal="center" vertical="center"/>
    </xf>
    <xf numFmtId="0" fontId="150" fillId="4" borderId="7" xfId="0" applyFont="1" applyFill="1" applyBorder="1" applyAlignment="1">
      <alignment horizontal="center" vertical="center"/>
    </xf>
    <xf numFmtId="181" fontId="150" fillId="4" borderId="1" xfId="0" applyNumberFormat="1" applyFont="1" applyFill="1" applyBorder="1" applyAlignment="1">
      <alignment horizontal="center" vertical="center"/>
    </xf>
    <xf numFmtId="0" fontId="150" fillId="0" borderId="1" xfId="0" applyFont="1" applyBorder="1" applyAlignment="1">
      <alignment horizontal="center" vertical="center"/>
    </xf>
    <xf numFmtId="0" fontId="150" fillId="2" borderId="1" xfId="0" applyFont="1" applyFill="1" applyBorder="1" applyAlignment="1">
      <alignment horizontal="center" vertical="center" wrapText="1"/>
    </xf>
    <xf numFmtId="0" fontId="150" fillId="0" borderId="1" xfId="0" applyFont="1" applyFill="1" applyBorder="1" applyAlignment="1">
      <alignment horizontal="center" vertical="center" wrapText="1"/>
    </xf>
    <xf numFmtId="182" fontId="150" fillId="4" borderId="1" xfId="0" applyNumberFormat="1" applyFont="1" applyFill="1" applyBorder="1" applyAlignment="1">
      <alignment horizontal="center" vertical="center"/>
    </xf>
    <xf numFmtId="253" fontId="150" fillId="7" borderId="1" xfId="0" applyNumberFormat="1" applyFont="1" applyFill="1" applyBorder="1" applyAlignment="1">
      <alignment horizontal="center" vertical="center"/>
    </xf>
    <xf numFmtId="0" fontId="141" fillId="5" borderId="1" xfId="0" applyFont="1" applyFill="1" applyBorder="1" applyAlignment="1">
      <alignment horizontal="center" vertical="center"/>
    </xf>
    <xf numFmtId="0" fontId="150" fillId="0" borderId="5" xfId="0" applyFont="1" applyFill="1" applyBorder="1" applyAlignment="1">
      <alignment vertical="center" wrapText="1"/>
    </xf>
    <xf numFmtId="0" fontId="169" fillId="6" borderId="10" xfId="0" applyFont="1" applyFill="1" applyBorder="1">
      <alignment vertical="center"/>
    </xf>
    <xf numFmtId="0" fontId="141" fillId="0" borderId="1" xfId="0" applyFont="1" applyBorder="1" applyAlignment="1">
      <alignment horizontal="center" vertical="center"/>
    </xf>
    <xf numFmtId="10" fontId="141" fillId="4" borderId="1" xfId="0" applyNumberFormat="1" applyFont="1" applyFill="1" applyBorder="1" applyAlignment="1">
      <alignment horizontal="center" vertical="center"/>
    </xf>
    <xf numFmtId="0" fontId="169" fillId="6" borderId="5" xfId="0" applyFont="1" applyFill="1" applyBorder="1">
      <alignment vertical="center"/>
    </xf>
    <xf numFmtId="0" fontId="169" fillId="6" borderId="0" xfId="0" applyFont="1" applyFill="1" applyBorder="1">
      <alignment vertical="center"/>
    </xf>
    <xf numFmtId="0" fontId="169" fillId="6" borderId="11" xfId="0" applyFont="1" applyFill="1" applyBorder="1">
      <alignment vertical="center"/>
    </xf>
    <xf numFmtId="0" fontId="169" fillId="6" borderId="2" xfId="0" applyFont="1" applyFill="1" applyBorder="1">
      <alignment vertical="center"/>
    </xf>
    <xf numFmtId="0" fontId="169" fillId="0" borderId="0" xfId="0" applyFont="1" applyFill="1" applyBorder="1">
      <alignment vertical="center"/>
    </xf>
    <xf numFmtId="0" fontId="141" fillId="0" borderId="0" xfId="0" applyFont="1" applyFill="1" applyBorder="1" applyAlignment="1">
      <alignment horizontal="center" vertical="center"/>
    </xf>
    <xf numFmtId="0" fontId="150" fillId="0" borderId="0" xfId="0" applyFont="1" applyFill="1" applyBorder="1">
      <alignment vertical="center"/>
    </xf>
    <xf numFmtId="0" fontId="144" fillId="0" borderId="0" xfId="0" applyFont="1" applyAlignment="1"/>
    <xf numFmtId="9" fontId="142" fillId="11" borderId="4" xfId="0" applyNumberFormat="1" applyFont="1" applyFill="1" applyBorder="1" applyAlignment="1">
      <alignment horizontal="center"/>
    </xf>
    <xf numFmtId="0" fontId="142" fillId="11" borderId="4" xfId="0" applyFont="1" applyFill="1" applyBorder="1" applyAlignment="1">
      <alignment horizontal="center"/>
    </xf>
    <xf numFmtId="0" fontId="142" fillId="11" borderId="1" xfId="0" applyFont="1" applyFill="1" applyBorder="1" applyAlignment="1">
      <alignment horizontal="center"/>
    </xf>
    <xf numFmtId="0" fontId="144" fillId="0" borderId="0" xfId="0" applyFont="1" applyBorder="1" applyAlignment="1"/>
    <xf numFmtId="0" fontId="142" fillId="0" borderId="4" xfId="0" applyFont="1" applyBorder="1" applyAlignment="1">
      <alignment horizontal="center"/>
    </xf>
    <xf numFmtId="0" fontId="141" fillId="4" borderId="3" xfId="0" applyFont="1" applyFill="1" applyBorder="1" applyAlignment="1">
      <alignment horizontal="left"/>
    </xf>
    <xf numFmtId="0" fontId="142" fillId="4" borderId="1" xfId="0" applyFont="1" applyFill="1" applyBorder="1" applyAlignment="1"/>
    <xf numFmtId="0" fontId="142" fillId="0" borderId="1" xfId="0" applyFont="1" applyBorder="1" applyAlignment="1">
      <alignment horizontal="center"/>
    </xf>
    <xf numFmtId="0" fontId="142" fillId="0" borderId="6" xfId="0" applyFont="1" applyBorder="1" applyAlignment="1">
      <alignment horizontal="center"/>
    </xf>
    <xf numFmtId="0" fontId="171" fillId="0" borderId="1" xfId="0" applyFont="1" applyBorder="1" applyAlignment="1">
      <alignment horizontal="left" vertical="center"/>
    </xf>
    <xf numFmtId="0" fontId="144" fillId="0" borderId="0" xfId="0" applyFont="1" applyFill="1" applyBorder="1" applyAlignment="1"/>
    <xf numFmtId="0" fontId="142" fillId="0" borderId="0" xfId="0" applyFont="1" applyFill="1" applyBorder="1" applyAlignment="1"/>
    <xf numFmtId="0" fontId="142" fillId="4" borderId="3" xfId="0" applyFont="1" applyFill="1" applyBorder="1" applyAlignment="1"/>
    <xf numFmtId="0" fontId="150" fillId="8" borderId="1" xfId="0" applyFont="1" applyFill="1" applyBorder="1" applyAlignment="1">
      <alignment horizontal="right" vertical="center" wrapText="1"/>
    </xf>
    <xf numFmtId="0" fontId="150" fillId="8" borderId="1" xfId="0" applyFont="1" applyFill="1" applyBorder="1" applyAlignment="1">
      <alignment horizontal="left" vertical="center" wrapText="1"/>
    </xf>
    <xf numFmtId="0" fontId="150" fillId="0" borderId="1" xfId="0" applyFont="1" applyFill="1" applyBorder="1" applyAlignment="1">
      <alignment vertical="center"/>
    </xf>
    <xf numFmtId="0" fontId="150" fillId="0" borderId="1" xfId="0" applyFont="1" applyFill="1" applyBorder="1" applyAlignment="1">
      <alignment horizontal="center" vertical="center"/>
    </xf>
    <xf numFmtId="181" fontId="150" fillId="4" borderId="1" xfId="0" applyNumberFormat="1" applyFont="1" applyFill="1" applyBorder="1" applyAlignment="1">
      <alignment horizontal="right" vertical="center" wrapText="1"/>
    </xf>
    <xf numFmtId="179" fontId="142" fillId="4" borderId="1" xfId="0" applyNumberFormat="1" applyFont="1" applyFill="1" applyBorder="1" applyAlignment="1">
      <alignment horizontal="right" vertical="center" wrapText="1"/>
    </xf>
    <xf numFmtId="180" fontId="150" fillId="4" borderId="1" xfId="0" applyNumberFormat="1" applyFont="1" applyFill="1" applyBorder="1" applyAlignment="1">
      <alignment horizontal="right" vertical="center" wrapText="1"/>
    </xf>
    <xf numFmtId="179" fontId="150" fillId="0" borderId="1" xfId="0" applyNumberFormat="1" applyFont="1" applyBorder="1" applyAlignment="1">
      <alignment horizontal="right" vertical="center" wrapText="1"/>
    </xf>
    <xf numFmtId="180" fontId="150" fillId="0" borderId="1" xfId="0" applyNumberFormat="1" applyFont="1" applyBorder="1" applyAlignment="1">
      <alignment horizontal="right" vertical="center" wrapText="1"/>
    </xf>
    <xf numFmtId="178" fontId="150" fillId="0" borderId="1" xfId="0" applyNumberFormat="1" applyFont="1" applyBorder="1" applyAlignment="1">
      <alignment vertical="center" wrapText="1"/>
    </xf>
    <xf numFmtId="0" fontId="150" fillId="5" borderId="8" xfId="0" applyFont="1" applyFill="1" applyBorder="1" applyAlignment="1">
      <alignment horizontal="center" vertical="center" wrapText="1"/>
    </xf>
    <xf numFmtId="179" fontId="150" fillId="4" borderId="1" xfId="0" applyNumberFormat="1" applyFont="1" applyFill="1" applyBorder="1" applyAlignment="1">
      <alignment horizontal="right" vertical="center" wrapText="1"/>
    </xf>
    <xf numFmtId="179" fontId="150" fillId="7" borderId="1" xfId="0" applyNumberFormat="1" applyFont="1" applyFill="1" applyBorder="1" applyAlignment="1">
      <alignment horizontal="right" vertical="center" wrapText="1"/>
    </xf>
    <xf numFmtId="180" fontId="150" fillId="7" borderId="1" xfId="0" applyNumberFormat="1" applyFont="1" applyFill="1" applyBorder="1" applyAlignment="1">
      <alignment horizontal="right" vertical="center" wrapText="1"/>
    </xf>
    <xf numFmtId="176" fontId="150" fillId="4" borderId="1" xfId="0" applyNumberFormat="1" applyFont="1" applyFill="1" applyBorder="1" applyAlignment="1">
      <alignment horizontal="right" vertical="center" wrapText="1"/>
    </xf>
    <xf numFmtId="181" fontId="150" fillId="4" borderId="1" xfId="0" applyNumberFormat="1" applyFont="1" applyFill="1" applyBorder="1" applyAlignment="1">
      <alignment vertical="center" wrapText="1"/>
    </xf>
    <xf numFmtId="0" fontId="163" fillId="5" borderId="9" xfId="0" applyFont="1" applyFill="1" applyBorder="1" applyAlignment="1">
      <alignment vertical="center" wrapText="1"/>
    </xf>
    <xf numFmtId="180" fontId="150" fillId="7" borderId="1" xfId="0" applyNumberFormat="1" applyFont="1" applyFill="1" applyBorder="1" applyAlignment="1">
      <alignment vertical="center" wrapText="1"/>
    </xf>
    <xf numFmtId="0" fontId="163" fillId="5" borderId="8" xfId="0" applyFont="1" applyFill="1" applyBorder="1" applyAlignment="1">
      <alignment vertical="center" wrapText="1"/>
    </xf>
    <xf numFmtId="0" fontId="163" fillId="5" borderId="12" xfId="0" applyFont="1" applyFill="1" applyBorder="1" applyAlignment="1">
      <alignment vertical="center" wrapText="1"/>
    </xf>
    <xf numFmtId="0" fontId="58" fillId="5" borderId="15" xfId="0" applyFont="1" applyFill="1" applyBorder="1" applyAlignment="1">
      <alignment horizontal="center" vertical="center" wrapText="1"/>
    </xf>
    <xf numFmtId="0" fontId="16" fillId="4" borderId="15" xfId="0" applyFont="1" applyFill="1" applyBorder="1" applyAlignment="1">
      <alignment horizontal="center" vertical="center" wrapText="1"/>
    </xf>
    <xf numFmtId="0" fontId="142" fillId="6" borderId="21" xfId="0" applyFont="1" applyFill="1" applyBorder="1" applyAlignment="1">
      <alignment vertical="center" wrapText="1"/>
    </xf>
    <xf numFmtId="0" fontId="142" fillId="6" borderId="0" xfId="0" applyFont="1" applyFill="1" applyBorder="1" applyAlignment="1">
      <alignment vertical="center" wrapText="1"/>
    </xf>
    <xf numFmtId="0" fontId="145" fillId="0" borderId="1" xfId="0" applyFont="1" applyBorder="1" applyAlignment="1">
      <alignment horizontal="center" vertical="center" wrapText="1"/>
    </xf>
    <xf numFmtId="0" fontId="38" fillId="0" borderId="1" xfId="0" applyFont="1" applyBorder="1" applyAlignment="1">
      <alignment horizontal="center" vertical="center" wrapText="1"/>
    </xf>
    <xf numFmtId="0" fontId="145" fillId="4" borderId="1" xfId="0" applyFont="1" applyFill="1" applyBorder="1" applyAlignment="1">
      <alignment horizontal="center" vertical="center" wrapText="1"/>
    </xf>
    <xf numFmtId="180" fontId="145" fillId="4" borderId="1" xfId="0" applyNumberFormat="1" applyFont="1" applyFill="1" applyBorder="1" applyAlignment="1">
      <alignment horizontal="center" vertical="center" wrapText="1"/>
    </xf>
    <xf numFmtId="181" fontId="145" fillId="7" borderId="1" xfId="0" applyNumberFormat="1" applyFont="1" applyFill="1" applyBorder="1" applyAlignment="1">
      <alignment horizontal="center" vertical="center" wrapText="1"/>
    </xf>
    <xf numFmtId="176" fontId="145" fillId="7" borderId="1" xfId="0" applyNumberFormat="1" applyFont="1" applyFill="1" applyBorder="1" applyAlignment="1">
      <alignment horizontal="center" vertical="center" wrapText="1"/>
    </xf>
    <xf numFmtId="180" fontId="145" fillId="0" borderId="1" xfId="0" applyNumberFormat="1" applyFont="1" applyBorder="1" applyAlignment="1">
      <alignment horizontal="center" vertical="center" wrapText="1"/>
    </xf>
    <xf numFmtId="176" fontId="145" fillId="0" borderId="1" xfId="0" applyNumberFormat="1" applyFont="1" applyBorder="1" applyAlignment="1">
      <alignment horizontal="center" vertical="center" wrapText="1"/>
    </xf>
    <xf numFmtId="181" fontId="145" fillId="0" borderId="1" xfId="0" applyNumberFormat="1" applyFont="1" applyBorder="1" applyAlignment="1">
      <alignment horizontal="center" vertical="center" wrapText="1"/>
    </xf>
    <xf numFmtId="0" fontId="145" fillId="4" borderId="8" xfId="0" applyFont="1" applyFill="1" applyBorder="1" applyAlignment="1">
      <alignment vertical="center"/>
    </xf>
    <xf numFmtId="224" fontId="142" fillId="0" borderId="7" xfId="0" applyNumberFormat="1" applyFont="1" applyBorder="1" applyAlignment="1">
      <alignment horizontal="center" vertical="center"/>
    </xf>
    <xf numFmtId="176" fontId="142" fillId="7" borderId="4" xfId="0" applyNumberFormat="1" applyFont="1" applyFill="1" applyBorder="1" applyAlignment="1">
      <alignment horizontal="center" vertical="center"/>
    </xf>
    <xf numFmtId="176" fontId="142" fillId="7" borderId="4" xfId="0" applyNumberFormat="1" applyFont="1" applyFill="1" applyBorder="1" applyAlignment="1">
      <alignment horizontal="center" vertical="center" wrapText="1"/>
    </xf>
    <xf numFmtId="0" fontId="173" fillId="0" borderId="1" xfId="0" applyFont="1" applyBorder="1" applyAlignment="1">
      <alignment vertical="center"/>
    </xf>
    <xf numFmtId="0" fontId="173" fillId="0" borderId="0" xfId="0" applyFont="1">
      <alignment vertical="center"/>
    </xf>
    <xf numFmtId="0" fontId="173" fillId="0" borderId="1" xfId="0" applyFont="1" applyBorder="1" applyAlignment="1">
      <alignment horizontal="center" vertical="center"/>
    </xf>
    <xf numFmtId="0" fontId="173" fillId="0" borderId="1" xfId="0" applyFont="1" applyBorder="1" applyAlignment="1">
      <alignment horizontal="left" vertical="center"/>
    </xf>
    <xf numFmtId="0" fontId="174" fillId="0" borderId="1" xfId="0" applyFont="1" applyBorder="1" applyAlignment="1">
      <alignment horizontal="center" vertical="center"/>
    </xf>
    <xf numFmtId="0" fontId="174" fillId="0" borderId="1" xfId="0" applyFont="1" applyBorder="1" applyAlignment="1">
      <alignment horizontal="center" vertical="center" wrapText="1"/>
    </xf>
    <xf numFmtId="0" fontId="174" fillId="0" borderId="0" xfId="0" applyFont="1">
      <alignment vertical="center"/>
    </xf>
    <xf numFmtId="181" fontId="174" fillId="0" borderId="4" xfId="0" applyNumberFormat="1" applyFont="1" applyBorder="1" applyAlignment="1">
      <alignment vertical="center"/>
    </xf>
    <xf numFmtId="181" fontId="174" fillId="0" borderId="3" xfId="0" applyNumberFormat="1" applyFont="1" applyBorder="1" applyAlignment="1">
      <alignment vertical="center"/>
    </xf>
    <xf numFmtId="0" fontId="174" fillId="0" borderId="3" xfId="0" applyFont="1" applyBorder="1" applyAlignment="1">
      <alignment horizontal="center" vertical="center"/>
    </xf>
    <xf numFmtId="181" fontId="174" fillId="0" borderId="3" xfId="0" applyNumberFormat="1" applyFont="1" applyBorder="1" applyAlignment="1">
      <alignment horizontal="center" vertical="center"/>
    </xf>
    <xf numFmtId="0" fontId="174" fillId="0" borderId="7" xfId="0" applyFont="1" applyBorder="1" applyAlignment="1">
      <alignment horizontal="center" vertical="center"/>
    </xf>
    <xf numFmtId="0" fontId="175" fillId="0" borderId="4" xfId="0" applyFont="1" applyBorder="1">
      <alignment vertical="center"/>
    </xf>
    <xf numFmtId="0" fontId="174" fillId="0" borderId="1" xfId="0" applyFont="1" applyBorder="1">
      <alignment vertical="center"/>
    </xf>
    <xf numFmtId="0" fontId="179" fillId="0" borderId="5" xfId="0" applyFont="1" applyBorder="1" applyAlignment="1">
      <alignment horizontal="right" vertical="center"/>
    </xf>
    <xf numFmtId="0" fontId="178" fillId="0" borderId="0" xfId="0" applyFont="1" applyBorder="1" applyAlignment="1">
      <alignment horizontal="right" vertical="center"/>
    </xf>
    <xf numFmtId="0" fontId="0" fillId="0" borderId="8" xfId="0" applyBorder="1">
      <alignment vertical="center"/>
    </xf>
    <xf numFmtId="176" fontId="0" fillId="0" borderId="0" xfId="0" applyNumberFormat="1" applyBorder="1" applyAlignment="1">
      <alignment horizontal="center" vertical="center"/>
    </xf>
    <xf numFmtId="224" fontId="142" fillId="0" borderId="0" xfId="0" applyNumberFormat="1" applyFont="1" applyBorder="1" applyAlignment="1">
      <alignment horizontal="center" vertical="center"/>
    </xf>
    <xf numFmtId="0" fontId="142" fillId="15" borderId="0" xfId="0" applyFont="1" applyFill="1" applyBorder="1" applyAlignment="1">
      <alignment horizontal="center" vertical="center" wrapText="1"/>
    </xf>
    <xf numFmtId="219" fontId="142" fillId="15" borderId="0" xfId="0" applyNumberFormat="1" applyFont="1" applyFill="1" applyBorder="1" applyAlignment="1">
      <alignment horizontal="center" vertical="center"/>
    </xf>
    <xf numFmtId="0" fontId="178" fillId="0" borderId="1" xfId="0" applyFont="1" applyBorder="1">
      <alignment vertical="center"/>
    </xf>
    <xf numFmtId="180" fontId="180" fillId="0" borderId="4" xfId="0" applyNumberFormat="1" applyFont="1" applyBorder="1" applyAlignment="1">
      <alignment horizontal="center" vertical="center"/>
    </xf>
    <xf numFmtId="0" fontId="174" fillId="0" borderId="4" xfId="0" applyFont="1" applyBorder="1">
      <alignment vertical="center"/>
    </xf>
    <xf numFmtId="0" fontId="0" fillId="0" borderId="1" xfId="0" applyBorder="1" applyAlignment="1">
      <alignment vertical="center" wrapText="1"/>
    </xf>
    <xf numFmtId="237" fontId="0" fillId="0" borderId="8" xfId="0" applyNumberFormat="1" applyBorder="1" applyAlignment="1">
      <alignment horizontal="center" vertical="center"/>
    </xf>
    <xf numFmtId="277" fontId="0" fillId="0" borderId="8" xfId="0" applyNumberFormat="1" applyBorder="1" applyAlignment="1">
      <alignment horizontal="center" vertical="center"/>
    </xf>
    <xf numFmtId="288" fontId="0" fillId="0" borderId="8" xfId="0" applyNumberFormat="1" applyBorder="1" applyAlignment="1">
      <alignment horizontal="center" vertical="center"/>
    </xf>
    <xf numFmtId="0" fontId="0" fillId="0" borderId="8" xfId="0" applyBorder="1" applyAlignment="1">
      <alignment vertical="center" wrapText="1"/>
    </xf>
    <xf numFmtId="0" fontId="0" fillId="0" borderId="0" xfId="0" applyAlignment="1">
      <alignment vertical="center" wrapText="1"/>
    </xf>
    <xf numFmtId="0" fontId="183" fillId="0" borderId="0" xfId="0" applyFont="1">
      <alignment vertical="center"/>
    </xf>
    <xf numFmtId="0" fontId="183" fillId="0" borderId="0" xfId="0" applyFont="1" applyBorder="1" applyAlignment="1">
      <alignment vertical="center"/>
    </xf>
    <xf numFmtId="0" fontId="142" fillId="0" borderId="0" xfId="0" applyFont="1" applyBorder="1" applyAlignment="1">
      <alignment vertical="center"/>
    </xf>
    <xf numFmtId="0" fontId="184" fillId="0" borderId="0" xfId="0" applyFont="1" applyAlignment="1"/>
    <xf numFmtId="0" fontId="183" fillId="0" borderId="0" xfId="13">
      <alignment vertical="center"/>
    </xf>
    <xf numFmtId="0" fontId="183" fillId="0" borderId="1" xfId="13" applyFont="1" applyBorder="1">
      <alignment vertical="center"/>
    </xf>
    <xf numFmtId="0" fontId="187" fillId="0" borderId="1" xfId="13" applyFont="1" applyBorder="1">
      <alignment vertical="center"/>
    </xf>
    <xf numFmtId="0" fontId="183" fillId="0" borderId="1" xfId="13" applyFont="1" applyBorder="1" applyAlignment="1">
      <alignment horizontal="center" vertical="center"/>
    </xf>
    <xf numFmtId="0" fontId="183" fillId="0" borderId="0" xfId="13" applyBorder="1" applyAlignment="1">
      <alignment vertical="center"/>
    </xf>
    <xf numFmtId="0" fontId="183" fillId="0" borderId="0" xfId="13" applyAlignment="1"/>
    <xf numFmtId="0" fontId="183" fillId="0" borderId="3" xfId="13" applyBorder="1" applyAlignment="1">
      <alignment vertical="center"/>
    </xf>
    <xf numFmtId="0" fontId="183" fillId="0" borderId="0" xfId="13" applyFont="1">
      <alignment vertical="center"/>
    </xf>
    <xf numFmtId="0" fontId="183" fillId="0" borderId="2" xfId="13" applyBorder="1" applyAlignment="1">
      <alignment horizontal="center" vertical="center"/>
    </xf>
    <xf numFmtId="0" fontId="183" fillId="0" borderId="4" xfId="13" applyBorder="1" applyAlignment="1">
      <alignment vertical="center"/>
    </xf>
    <xf numFmtId="0" fontId="183" fillId="0" borderId="0" xfId="13" applyBorder="1" applyAlignment="1">
      <alignment horizontal="right" vertical="center"/>
    </xf>
    <xf numFmtId="0" fontId="193" fillId="0" borderId="0" xfId="13" applyFont="1">
      <alignment vertical="center"/>
    </xf>
    <xf numFmtId="0" fontId="183" fillId="0" borderId="0" xfId="13" applyFont="1" applyAlignment="1"/>
    <xf numFmtId="0" fontId="183" fillId="0" borderId="1" xfId="13" applyFont="1" applyFill="1" applyBorder="1" applyAlignment="1">
      <alignment horizontal="center" vertical="center"/>
    </xf>
    <xf numFmtId="0" fontId="183" fillId="0" borderId="0" xfId="13" applyFont="1" applyBorder="1" applyAlignment="1">
      <alignment vertical="center"/>
    </xf>
    <xf numFmtId="0" fontId="184" fillId="0" borderId="0" xfId="13" applyFont="1" applyAlignment="1"/>
    <xf numFmtId="0" fontId="183" fillId="0" borderId="12" xfId="13" applyBorder="1" applyAlignment="1">
      <alignment horizontal="center" vertical="center"/>
    </xf>
    <xf numFmtId="0" fontId="183" fillId="0" borderId="0" xfId="13" applyAlignment="1">
      <alignment horizontal="center"/>
    </xf>
    <xf numFmtId="0" fontId="183" fillId="0" borderId="9" xfId="13" applyBorder="1" applyAlignment="1">
      <alignment horizontal="center" vertical="center"/>
    </xf>
    <xf numFmtId="0" fontId="183" fillId="0" borderId="3" xfId="13" applyFont="1" applyBorder="1" applyAlignment="1">
      <alignment vertical="center"/>
    </xf>
    <xf numFmtId="0" fontId="183" fillId="0" borderId="9" xfId="13" applyBorder="1" applyAlignment="1"/>
    <xf numFmtId="0" fontId="183" fillId="0" borderId="12" xfId="13" applyBorder="1" applyAlignment="1">
      <alignment horizontal="center"/>
    </xf>
    <xf numFmtId="0" fontId="11" fillId="0" borderId="4" xfId="13" applyFont="1" applyBorder="1" applyAlignment="1">
      <alignment vertical="center"/>
    </xf>
    <xf numFmtId="0" fontId="188" fillId="0" borderId="7" xfId="13" applyFont="1" applyBorder="1" applyAlignment="1">
      <alignment vertical="center"/>
    </xf>
    <xf numFmtId="176" fontId="11" fillId="0" borderId="1" xfId="13" applyNumberFormat="1" applyFont="1" applyBorder="1" applyAlignment="1">
      <alignment horizontal="center" vertical="center"/>
    </xf>
    <xf numFmtId="0" fontId="11" fillId="0" borderId="7" xfId="13" applyFont="1" applyBorder="1" applyAlignment="1">
      <alignment vertical="center"/>
    </xf>
    <xf numFmtId="10" fontId="183" fillId="0" borderId="0" xfId="13" applyNumberFormat="1" applyBorder="1" applyAlignment="1">
      <alignment horizontal="left" vertical="center"/>
    </xf>
    <xf numFmtId="10" fontId="189" fillId="0" borderId="0" xfId="13" applyNumberFormat="1" applyFont="1" applyBorder="1" applyAlignment="1">
      <alignment horizontal="left" vertical="center"/>
    </xf>
    <xf numFmtId="0" fontId="189" fillId="0" borderId="0" xfId="13" applyFont="1" applyBorder="1" applyAlignment="1">
      <alignment vertical="center"/>
    </xf>
    <xf numFmtId="10" fontId="189" fillId="0" borderId="0" xfId="13" applyNumberFormat="1" applyFont="1" applyBorder="1" applyAlignment="1">
      <alignment horizontal="center" vertical="center"/>
    </xf>
    <xf numFmtId="0" fontId="189" fillId="0" borderId="0" xfId="13" applyFont="1" applyAlignment="1"/>
    <xf numFmtId="0" fontId="11" fillId="5" borderId="4" xfId="13" applyFont="1" applyFill="1" applyBorder="1" applyAlignment="1">
      <alignment vertical="center"/>
    </xf>
    <xf numFmtId="0" fontId="188" fillId="5" borderId="7" xfId="13" applyFont="1" applyFill="1" applyBorder="1" applyAlignment="1">
      <alignment vertical="center"/>
    </xf>
    <xf numFmtId="0" fontId="11" fillId="5" borderId="7" xfId="13" applyFont="1" applyFill="1" applyBorder="1" applyAlignment="1">
      <alignment vertical="center"/>
    </xf>
    <xf numFmtId="179" fontId="11" fillId="4" borderId="4" xfId="13" applyNumberFormat="1" applyFont="1" applyFill="1" applyBorder="1" applyAlignment="1">
      <alignment horizontal="center" vertical="center"/>
    </xf>
    <xf numFmtId="0" fontId="183" fillId="0" borderId="0" xfId="13" applyFill="1" applyBorder="1" applyAlignment="1">
      <alignment vertical="center"/>
    </xf>
    <xf numFmtId="0" fontId="183" fillId="0" borderId="7" xfId="13" applyBorder="1" applyAlignment="1"/>
    <xf numFmtId="10" fontId="183" fillId="0" borderId="0" xfId="13" applyNumberFormat="1" applyFill="1" applyBorder="1" applyAlignment="1">
      <alignment horizontal="center" vertical="center"/>
    </xf>
    <xf numFmtId="10" fontId="191" fillId="0" borderId="0" xfId="13" applyNumberFormat="1" applyFont="1" applyFill="1" applyBorder="1" applyAlignment="1">
      <alignment horizontal="center" vertical="center"/>
    </xf>
    <xf numFmtId="0" fontId="183" fillId="0" borderId="9" xfId="13" applyFill="1" applyBorder="1" applyAlignment="1">
      <alignment horizontal="center" vertical="center"/>
    </xf>
    <xf numFmtId="0" fontId="183" fillId="0" borderId="12" xfId="13" applyFill="1" applyBorder="1" applyAlignment="1">
      <alignment horizontal="center" vertical="center"/>
    </xf>
    <xf numFmtId="0" fontId="185" fillId="0" borderId="1" xfId="13" applyFont="1" applyBorder="1">
      <alignment vertical="center"/>
    </xf>
    <xf numFmtId="0" fontId="183" fillId="2" borderId="9" xfId="13" applyFill="1" applyBorder="1" applyAlignment="1">
      <alignment horizontal="center" vertical="center"/>
    </xf>
    <xf numFmtId="0" fontId="183" fillId="2" borderId="12" xfId="13" applyFill="1" applyBorder="1" applyAlignment="1">
      <alignment horizontal="center" vertical="center"/>
    </xf>
    <xf numFmtId="177" fontId="16" fillId="0" borderId="0" xfId="13" applyNumberFormat="1" applyFont="1" applyBorder="1" applyAlignment="1">
      <alignment horizontal="left" vertical="center"/>
    </xf>
    <xf numFmtId="176" fontId="11" fillId="7" borderId="1" xfId="13" applyNumberFormat="1" applyFont="1" applyFill="1" applyBorder="1" applyAlignment="1">
      <alignment horizontal="center" vertical="center"/>
    </xf>
    <xf numFmtId="177" fontId="183" fillId="0" borderId="3" xfId="13" applyNumberFormat="1" applyBorder="1" applyAlignment="1">
      <alignment horizontal="left"/>
    </xf>
    <xf numFmtId="177" fontId="183" fillId="0" borderId="7" xfId="13" applyNumberFormat="1" applyBorder="1" applyAlignment="1">
      <alignment horizontal="left"/>
    </xf>
    <xf numFmtId="0" fontId="11" fillId="2" borderId="4" xfId="13" applyFont="1" applyFill="1" applyBorder="1" applyAlignment="1">
      <alignment vertical="center"/>
    </xf>
    <xf numFmtId="0" fontId="188" fillId="2" borderId="7" xfId="13" applyFont="1" applyFill="1" applyBorder="1" applyAlignment="1">
      <alignment vertical="center"/>
    </xf>
    <xf numFmtId="176" fontId="11" fillId="2" borderId="1" xfId="13" applyNumberFormat="1" applyFont="1" applyFill="1" applyBorder="1" applyAlignment="1">
      <alignment horizontal="center" vertical="center"/>
    </xf>
    <xf numFmtId="0" fontId="11" fillId="2" borderId="7" xfId="13" applyFont="1" applyFill="1" applyBorder="1" applyAlignment="1">
      <alignment vertical="center"/>
    </xf>
    <xf numFmtId="0" fontId="183" fillId="0" borderId="3" xfId="13" applyFont="1" applyBorder="1" applyAlignment="1"/>
    <xf numFmtId="0" fontId="184" fillId="0" borderId="0" xfId="13" applyFont="1" applyBorder="1" applyAlignment="1">
      <alignment vertical="center"/>
    </xf>
    <xf numFmtId="0" fontId="184" fillId="0" borderId="0" xfId="13" applyFont="1" applyFill="1" applyBorder="1" applyAlignment="1">
      <alignment horizontal="left" vertical="center"/>
    </xf>
    <xf numFmtId="10" fontId="191" fillId="15" borderId="1" xfId="13" applyNumberFormat="1" applyFont="1" applyFill="1" applyBorder="1" applyAlignment="1">
      <alignment horizontal="center" vertical="center"/>
    </xf>
    <xf numFmtId="10" fontId="183" fillId="3" borderId="1" xfId="13" applyNumberFormat="1" applyFill="1" applyBorder="1" applyAlignment="1">
      <alignment horizontal="center" vertical="center"/>
    </xf>
    <xf numFmtId="0" fontId="183" fillId="15" borderId="1" xfId="13" applyFill="1" applyBorder="1" applyAlignment="1">
      <alignment vertical="center"/>
    </xf>
    <xf numFmtId="0" fontId="183" fillId="3" borderId="1" xfId="13" applyFill="1" applyBorder="1" applyAlignment="1">
      <alignment vertical="center"/>
    </xf>
    <xf numFmtId="10" fontId="191" fillId="0" borderId="1" xfId="13" applyNumberFormat="1" applyFont="1" applyFill="1" applyBorder="1" applyAlignment="1">
      <alignment horizontal="center" vertical="center"/>
    </xf>
    <xf numFmtId="0" fontId="183" fillId="0" borderId="1" xfId="13" applyFill="1" applyBorder="1" applyAlignment="1">
      <alignment vertical="center"/>
    </xf>
    <xf numFmtId="0" fontId="11" fillId="11" borderId="4" xfId="13" applyFont="1" applyFill="1" applyBorder="1" applyAlignment="1">
      <alignment vertical="center"/>
    </xf>
    <xf numFmtId="0" fontId="188" fillId="11" borderId="7" xfId="13" applyFont="1" applyFill="1" applyBorder="1" applyAlignment="1">
      <alignment vertical="center"/>
    </xf>
    <xf numFmtId="0" fontId="11" fillId="11" borderId="7" xfId="13" applyFont="1" applyFill="1" applyBorder="1" applyAlignment="1">
      <alignment vertical="center"/>
    </xf>
    <xf numFmtId="49" fontId="21" fillId="0" borderId="7" xfId="3" applyNumberFormat="1" applyFont="1" applyFill="1" applyBorder="1" applyAlignment="1">
      <alignment horizontal="center" vertical="center"/>
    </xf>
    <xf numFmtId="49" fontId="21" fillId="0" borderId="3" xfId="3" applyNumberFormat="1" applyFont="1" applyFill="1" applyBorder="1" applyAlignment="1">
      <alignment horizontal="center" vertical="center"/>
    </xf>
    <xf numFmtId="49" fontId="21" fillId="0" borderId="4" xfId="3" applyNumberFormat="1" applyFont="1" applyFill="1" applyBorder="1" applyAlignment="1">
      <alignment horizontal="center" vertical="center"/>
    </xf>
    <xf numFmtId="0" fontId="183" fillId="0" borderId="0" xfId="3">
      <alignment vertical="center"/>
    </xf>
    <xf numFmtId="0" fontId="183" fillId="0" borderId="1" xfId="3" applyFont="1" applyBorder="1">
      <alignment vertical="center"/>
    </xf>
    <xf numFmtId="0" fontId="183" fillId="0" borderId="1" xfId="3" applyFont="1" applyFill="1" applyBorder="1">
      <alignment vertical="center"/>
    </xf>
    <xf numFmtId="0" fontId="187" fillId="0" borderId="1" xfId="3" applyFont="1" applyBorder="1">
      <alignment vertical="center"/>
    </xf>
    <xf numFmtId="0" fontId="183" fillId="0" borderId="1" xfId="3" applyFont="1" applyBorder="1" applyAlignment="1">
      <alignment horizontal="center" vertical="center"/>
    </xf>
    <xf numFmtId="0" fontId="183" fillId="0" borderId="0" xfId="3" applyBorder="1" applyAlignment="1">
      <alignment vertical="center"/>
    </xf>
    <xf numFmtId="0" fontId="183" fillId="0" borderId="0" xfId="3" applyFont="1" applyFill="1" applyBorder="1">
      <alignment vertical="center"/>
    </xf>
    <xf numFmtId="0" fontId="3" fillId="0" borderId="0" xfId="3" applyFont="1" applyFill="1" applyBorder="1" applyAlignment="1"/>
    <xf numFmtId="0" fontId="183" fillId="13" borderId="1" xfId="3" applyFont="1" applyFill="1" applyBorder="1" applyAlignment="1">
      <alignment horizontal="center" vertical="center"/>
    </xf>
    <xf numFmtId="0" fontId="183" fillId="13" borderId="1" xfId="3" applyFont="1" applyFill="1" applyBorder="1">
      <alignment vertical="center"/>
    </xf>
    <xf numFmtId="0" fontId="193" fillId="0" borderId="0" xfId="3" applyFont="1">
      <alignment vertical="center"/>
    </xf>
    <xf numFmtId="0" fontId="191" fillId="0" borderId="0" xfId="3" applyFont="1" applyAlignment="1"/>
    <xf numFmtId="182" fontId="21" fillId="5" borderId="8" xfId="3" applyNumberFormat="1" applyFont="1" applyFill="1" applyBorder="1" applyAlignment="1">
      <alignment vertical="center"/>
    </xf>
    <xf numFmtId="49" fontId="21" fillId="5" borderId="4" xfId="3" applyNumberFormat="1" applyFont="1" applyFill="1" applyBorder="1" applyAlignment="1">
      <alignment horizontal="center" vertical="center"/>
    </xf>
    <xf numFmtId="49" fontId="21" fillId="5" borderId="3" xfId="3" applyNumberFormat="1" applyFont="1" applyFill="1" applyBorder="1" applyAlignment="1">
      <alignment horizontal="center" vertical="center"/>
    </xf>
    <xf numFmtId="49" fontId="21" fillId="5" borderId="7" xfId="3" applyNumberFormat="1" applyFont="1" applyFill="1" applyBorder="1" applyAlignment="1">
      <alignment horizontal="center" vertical="center"/>
    </xf>
    <xf numFmtId="49" fontId="21" fillId="4" borderId="4" xfId="3" applyNumberFormat="1" applyFont="1" applyFill="1" applyBorder="1" applyAlignment="1">
      <alignment horizontal="center" vertical="center"/>
    </xf>
    <xf numFmtId="49" fontId="21" fillId="4" borderId="3" xfId="3" applyNumberFormat="1" applyFont="1" applyFill="1" applyBorder="1" applyAlignment="1">
      <alignment horizontal="center" vertical="center"/>
    </xf>
    <xf numFmtId="49" fontId="21" fillId="4" borderId="7" xfId="3" applyNumberFormat="1" applyFont="1" applyFill="1" applyBorder="1" applyAlignment="1">
      <alignment horizontal="center" vertical="center"/>
    </xf>
    <xf numFmtId="0" fontId="191" fillId="0" borderId="0" xfId="3" applyFont="1" applyFill="1" applyBorder="1">
      <alignment vertical="center"/>
    </xf>
    <xf numFmtId="0" fontId="191" fillId="0" borderId="0" xfId="3" applyFont="1" applyBorder="1" applyAlignment="1" applyProtection="1">
      <alignment horizontal="left"/>
      <protection hidden="1"/>
    </xf>
    <xf numFmtId="0" fontId="191" fillId="0" borderId="0" xfId="3" applyFont="1" applyFill="1" applyBorder="1" applyAlignment="1" applyProtection="1">
      <alignment horizontal="left"/>
      <protection hidden="1"/>
    </xf>
    <xf numFmtId="0" fontId="191" fillId="0" borderId="0" xfId="3" applyFont="1" applyFill="1" applyBorder="1" applyAlignment="1">
      <alignment horizontal="left"/>
    </xf>
    <xf numFmtId="0" fontId="21" fillId="0" borderId="0" xfId="3" applyFont="1" applyFill="1" applyBorder="1" applyAlignment="1">
      <alignment horizontal="center"/>
    </xf>
    <xf numFmtId="0" fontId="21" fillId="0" borderId="0" xfId="3" applyFont="1" applyFill="1" applyBorder="1" applyAlignment="1" applyProtection="1">
      <alignment horizontal="center"/>
      <protection hidden="1"/>
    </xf>
    <xf numFmtId="176" fontId="21" fillId="0" borderId="0" xfId="3" applyNumberFormat="1" applyFont="1" applyFill="1" applyBorder="1" applyAlignment="1" applyProtection="1">
      <alignment horizontal="center"/>
      <protection hidden="1"/>
    </xf>
    <xf numFmtId="0" fontId="190" fillId="0" borderId="0" xfId="3" applyFont="1" applyFill="1" applyBorder="1" applyAlignment="1" applyProtection="1">
      <alignment horizontal="center"/>
      <protection hidden="1"/>
    </xf>
    <xf numFmtId="0" fontId="191" fillId="0" borderId="2" xfId="3" applyFont="1" applyBorder="1" applyAlignment="1" applyProtection="1">
      <alignment horizontal="left"/>
      <protection hidden="1"/>
    </xf>
    <xf numFmtId="0" fontId="183" fillId="4" borderId="1" xfId="3" applyFill="1" applyBorder="1" applyAlignment="1">
      <alignment horizontal="center" vertical="center"/>
    </xf>
    <xf numFmtId="0" fontId="183" fillId="7" borderId="1" xfId="3" applyFill="1" applyBorder="1">
      <alignment vertical="center"/>
    </xf>
    <xf numFmtId="177" fontId="21" fillId="17" borderId="1" xfId="3" applyNumberFormat="1" applyFont="1" applyFill="1" applyBorder="1" applyAlignment="1">
      <alignment horizontal="center"/>
    </xf>
    <xf numFmtId="0" fontId="190" fillId="0" borderId="0" xfId="3" applyFont="1" applyFill="1" applyBorder="1" applyAlignment="1">
      <alignment horizontal="left"/>
    </xf>
    <xf numFmtId="0" fontId="183" fillId="4" borderId="1" xfId="3" applyFont="1" applyFill="1" applyBorder="1">
      <alignment vertical="center"/>
    </xf>
    <xf numFmtId="0" fontId="183" fillId="7" borderId="1" xfId="3" applyFont="1" applyFill="1" applyBorder="1">
      <alignment vertical="center"/>
    </xf>
    <xf numFmtId="0" fontId="191" fillId="17" borderId="1" xfId="3" applyFont="1" applyFill="1" applyBorder="1" applyAlignment="1">
      <alignment horizontal="center" vertical="center"/>
    </xf>
    <xf numFmtId="0" fontId="183" fillId="0" borderId="0" xfId="3" applyFill="1" applyBorder="1" applyAlignment="1"/>
    <xf numFmtId="0" fontId="183" fillId="0" borderId="1" xfId="3" applyFill="1" applyBorder="1">
      <alignment vertical="center"/>
    </xf>
    <xf numFmtId="0" fontId="192" fillId="0" borderId="0" xfId="3" applyFont="1" applyFill="1" applyBorder="1" applyAlignment="1">
      <alignment horizontal="center" vertical="center"/>
    </xf>
    <xf numFmtId="0" fontId="191" fillId="0" borderId="0" xfId="3" applyFont="1" applyAlignment="1">
      <alignment horizontal="center"/>
    </xf>
    <xf numFmtId="0" fontId="191" fillId="0" borderId="0" xfId="3" applyFont="1" applyBorder="1" applyAlignment="1">
      <alignment horizontal="left"/>
    </xf>
    <xf numFmtId="0" fontId="191" fillId="0" borderId="0" xfId="3" applyFont="1" applyBorder="1" applyAlignment="1">
      <alignment horizontal="center"/>
    </xf>
    <xf numFmtId="0" fontId="183" fillId="0" borderId="4" xfId="3" applyFill="1" applyBorder="1">
      <alignment vertical="center"/>
    </xf>
    <xf numFmtId="0" fontId="183" fillId="0" borderId="3" xfId="3" applyFill="1" applyBorder="1">
      <alignment vertical="center"/>
    </xf>
    <xf numFmtId="0" fontId="183" fillId="0" borderId="7" xfId="3" applyFill="1" applyBorder="1">
      <alignment vertical="center"/>
    </xf>
    <xf numFmtId="0" fontId="191" fillId="0" borderId="1" xfId="3" applyFont="1" applyFill="1" applyBorder="1" applyAlignment="1">
      <alignment horizontal="center" vertical="center" wrapText="1"/>
    </xf>
    <xf numFmtId="0" fontId="191" fillId="0" borderId="1" xfId="3" applyFont="1" applyFill="1" applyBorder="1" applyAlignment="1">
      <alignment horizontal="center" vertical="center"/>
    </xf>
    <xf numFmtId="0" fontId="192" fillId="0" borderId="1" xfId="3" applyFont="1" applyFill="1" applyBorder="1" applyAlignment="1">
      <alignment horizontal="center" vertical="center"/>
    </xf>
    <xf numFmtId="0" fontId="183" fillId="15" borderId="4" xfId="3" applyFill="1" applyBorder="1">
      <alignment vertical="center"/>
    </xf>
    <xf numFmtId="0" fontId="183" fillId="15" borderId="3" xfId="3" applyFill="1" applyBorder="1">
      <alignment vertical="center"/>
    </xf>
    <xf numFmtId="0" fontId="183" fillId="15" borderId="7" xfId="3" applyFill="1" applyBorder="1">
      <alignment vertical="center"/>
    </xf>
    <xf numFmtId="0" fontId="194" fillId="3" borderId="0" xfId="3" applyFont="1" applyFill="1" applyBorder="1" applyAlignment="1"/>
    <xf numFmtId="176" fontId="11" fillId="3" borderId="9" xfId="3" applyNumberFormat="1" applyFont="1" applyFill="1" applyBorder="1" applyAlignment="1">
      <alignment vertical="center"/>
    </xf>
    <xf numFmtId="0" fontId="183" fillId="3" borderId="1" xfId="3" applyFill="1" applyBorder="1" applyAlignment="1"/>
    <xf numFmtId="0" fontId="183" fillId="3" borderId="1" xfId="3" applyFill="1" applyBorder="1">
      <alignment vertical="center"/>
    </xf>
    <xf numFmtId="182" fontId="21" fillId="0" borderId="8" xfId="3" applyNumberFormat="1" applyFont="1" applyFill="1" applyBorder="1" applyAlignment="1">
      <alignment vertical="center"/>
    </xf>
    <xf numFmtId="177" fontId="21" fillId="0" borderId="1" xfId="3" applyNumberFormat="1" applyFont="1" applyFill="1" applyBorder="1" applyAlignment="1">
      <alignment horizontal="center"/>
    </xf>
    <xf numFmtId="0" fontId="189" fillId="0" borderId="1" xfId="3" applyFont="1" applyFill="1" applyBorder="1" applyAlignment="1">
      <alignment vertical="center" wrapText="1"/>
    </xf>
    <xf numFmtId="0" fontId="194" fillId="3" borderId="1" xfId="3" applyFont="1" applyFill="1" applyBorder="1" applyAlignment="1"/>
    <xf numFmtId="176" fontId="11" fillId="3" borderId="1" xfId="3" applyNumberFormat="1" applyFont="1" applyFill="1" applyBorder="1" applyAlignment="1">
      <alignment vertical="center"/>
    </xf>
    <xf numFmtId="0" fontId="183" fillId="19" borderId="1" xfId="3" applyFill="1" applyBorder="1">
      <alignment vertical="center"/>
    </xf>
    <xf numFmtId="0" fontId="192" fillId="0" borderId="5" xfId="3" applyFont="1" applyFill="1" applyBorder="1" applyAlignment="1">
      <alignment horizontal="center" vertical="center"/>
    </xf>
    <xf numFmtId="0" fontId="194" fillId="0" borderId="5" xfId="3" applyFont="1" applyFill="1" applyBorder="1" applyAlignment="1"/>
    <xf numFmtId="176" fontId="11" fillId="0" borderId="0" xfId="3" applyNumberFormat="1" applyFont="1" applyFill="1" applyBorder="1" applyAlignment="1">
      <alignment vertical="center"/>
    </xf>
    <xf numFmtId="0" fontId="183" fillId="0" borderId="4" xfId="3" applyFont="1" applyFill="1" applyBorder="1" applyAlignment="1">
      <alignment horizontal="center" vertical="center" wrapText="1"/>
    </xf>
    <xf numFmtId="0" fontId="183" fillId="0" borderId="7" xfId="3" applyFill="1" applyBorder="1" applyAlignment="1">
      <alignment horizontal="center" vertical="center" wrapText="1"/>
    </xf>
    <xf numFmtId="180" fontId="11" fillId="3" borderId="1" xfId="3" applyNumberFormat="1" applyFont="1" applyFill="1" applyBorder="1" applyAlignment="1">
      <alignment horizontal="center" vertical="center"/>
    </xf>
    <xf numFmtId="0" fontId="183" fillId="0" borderId="4" xfId="3" applyFont="1" applyFill="1" applyBorder="1" applyAlignment="1">
      <alignment horizontal="center" vertical="center"/>
    </xf>
    <xf numFmtId="0" fontId="11" fillId="0" borderId="1" xfId="3" applyFont="1" applyFill="1" applyBorder="1" applyAlignment="1">
      <alignment horizontal="center" vertical="center"/>
    </xf>
    <xf numFmtId="0" fontId="183" fillId="0" borderId="1" xfId="3" applyBorder="1">
      <alignment vertical="center"/>
    </xf>
    <xf numFmtId="0" fontId="183" fillId="0" borderId="0" xfId="3" applyAlignment="1"/>
    <xf numFmtId="0" fontId="183" fillId="0" borderId="0" xfId="3" applyFont="1">
      <alignment vertical="center"/>
    </xf>
    <xf numFmtId="0" fontId="183" fillId="0" borderId="5" xfId="3" applyBorder="1" applyAlignment="1">
      <alignment vertical="center"/>
    </xf>
    <xf numFmtId="0" fontId="193" fillId="0" borderId="0" xfId="3" applyFont="1" applyAlignment="1">
      <alignment horizontal="left" vertical="center"/>
    </xf>
    <xf numFmtId="0" fontId="11" fillId="0" borderId="6" xfId="3" applyFont="1" applyBorder="1" applyAlignment="1">
      <alignment vertical="center"/>
    </xf>
    <xf numFmtId="0" fontId="183" fillId="0" borderId="0" xfId="3" applyFont="1" applyAlignment="1"/>
    <xf numFmtId="0" fontId="11" fillId="4" borderId="1" xfId="3" applyFont="1" applyFill="1" applyBorder="1" applyAlignment="1">
      <alignment horizontal="center" vertical="center"/>
    </xf>
    <xf numFmtId="0" fontId="183" fillId="4" borderId="1" xfId="3" applyFill="1" applyBorder="1" applyAlignment="1"/>
    <xf numFmtId="0" fontId="183" fillId="0" borderId="0" xfId="3" applyFill="1">
      <alignment vertical="center"/>
    </xf>
    <xf numFmtId="0" fontId="189" fillId="0" borderId="1" xfId="3" applyFont="1" applyFill="1" applyBorder="1" applyAlignment="1">
      <alignment horizontal="center" vertical="center" wrapText="1"/>
    </xf>
    <xf numFmtId="0" fontId="183" fillId="0" borderId="0" xfId="3" applyAlignment="1">
      <alignment horizontal="center"/>
    </xf>
    <xf numFmtId="0" fontId="194" fillId="0" borderId="0" xfId="3" applyFont="1" applyBorder="1" applyAlignment="1"/>
    <xf numFmtId="176" fontId="11" fillId="0" borderId="9" xfId="3" applyNumberFormat="1" applyFont="1" applyBorder="1" applyAlignment="1">
      <alignment vertical="center"/>
    </xf>
    <xf numFmtId="0" fontId="183" fillId="0" borderId="1" xfId="3" applyBorder="1" applyAlignment="1"/>
    <xf numFmtId="0" fontId="183" fillId="0" borderId="0" xfId="3" applyFont="1" applyBorder="1" applyAlignment="1">
      <alignment horizontal="center"/>
    </xf>
    <xf numFmtId="0" fontId="183" fillId="0" borderId="1" xfId="3" applyFill="1" applyBorder="1" applyAlignment="1"/>
    <xf numFmtId="0" fontId="183" fillId="0" borderId="1" xfId="3" applyFont="1" applyFill="1" applyBorder="1" applyAlignment="1">
      <alignment horizontal="center" vertical="center" wrapText="1"/>
    </xf>
    <xf numFmtId="0" fontId="183" fillId="15" borderId="1" xfId="3" applyFill="1" applyBorder="1">
      <alignment vertical="center"/>
    </xf>
    <xf numFmtId="0" fontId="11" fillId="0" borderId="4" xfId="3" applyFont="1" applyFill="1" applyBorder="1" applyAlignment="1">
      <alignment horizontal="center" vertical="center"/>
    </xf>
    <xf numFmtId="176" fontId="11" fillId="0" borderId="4" xfId="3" applyNumberFormat="1" applyFont="1" applyFill="1" applyBorder="1" applyAlignment="1">
      <alignment horizontal="center" vertical="center"/>
    </xf>
    <xf numFmtId="0" fontId="188" fillId="0" borderId="1" xfId="3" applyFont="1" applyFill="1" applyBorder="1" applyAlignment="1">
      <alignment horizontal="center" vertical="center"/>
    </xf>
    <xf numFmtId="0" fontId="11" fillId="0" borderId="0" xfId="3" applyFont="1" applyFill="1" applyBorder="1" applyAlignment="1">
      <alignment horizontal="center" vertical="center"/>
    </xf>
    <xf numFmtId="176" fontId="11" fillId="0" borderId="0" xfId="3" applyNumberFormat="1" applyFont="1" applyFill="1" applyBorder="1" applyAlignment="1">
      <alignment horizontal="center" vertical="center"/>
    </xf>
    <xf numFmtId="49" fontId="11" fillId="0" borderId="0" xfId="3" applyNumberFormat="1" applyFont="1" applyFill="1" applyBorder="1" applyAlignment="1">
      <alignment horizontal="center" vertical="center"/>
    </xf>
    <xf numFmtId="180" fontId="11" fillId="0" borderId="0" xfId="3" applyNumberFormat="1" applyFont="1" applyFill="1" applyBorder="1" applyAlignment="1">
      <alignment horizontal="center" vertical="center"/>
    </xf>
    <xf numFmtId="0" fontId="11" fillId="0" borderId="6" xfId="3" applyFont="1" applyFill="1" applyBorder="1" applyAlignment="1">
      <alignment vertical="center"/>
    </xf>
    <xf numFmtId="0" fontId="11" fillId="0" borderId="1" xfId="3" applyFont="1" applyFill="1" applyBorder="1" applyAlignment="1">
      <alignment vertical="center"/>
    </xf>
    <xf numFmtId="0" fontId="183" fillId="2" borderId="1" xfId="3" applyFont="1" applyFill="1" applyBorder="1" applyAlignment="1">
      <alignment horizontal="center" vertical="center"/>
    </xf>
    <xf numFmtId="0" fontId="183" fillId="0" borderId="0" xfId="3" applyBorder="1" applyAlignment="1">
      <alignment horizontal="center" vertical="center"/>
    </xf>
    <xf numFmtId="0" fontId="183" fillId="0" borderId="0" xfId="3" applyBorder="1">
      <alignment vertical="center"/>
    </xf>
    <xf numFmtId="0" fontId="193" fillId="2" borderId="0" xfId="3" applyFont="1" applyFill="1">
      <alignment vertical="center"/>
    </xf>
    <xf numFmtId="49" fontId="11" fillId="4" borderId="7" xfId="3" applyNumberFormat="1" applyFont="1" applyFill="1" applyBorder="1" applyAlignment="1">
      <alignment vertical="center"/>
    </xf>
    <xf numFmtId="0" fontId="183" fillId="0" borderId="0" xfId="3" applyFont="1" applyBorder="1" applyAlignment="1">
      <alignment horizontal="left" vertical="center"/>
    </xf>
    <xf numFmtId="0" fontId="11" fillId="5" borderId="1" xfId="3" applyFont="1" applyFill="1" applyBorder="1" applyAlignment="1">
      <alignment horizontal="center"/>
    </xf>
    <xf numFmtId="180" fontId="11" fillId="0" borderId="1" xfId="3" applyNumberFormat="1" applyFont="1" applyBorder="1" applyAlignment="1">
      <alignment horizontal="center"/>
    </xf>
    <xf numFmtId="176" fontId="11" fillId="0" borderId="1" xfId="3" applyNumberFormat="1" applyFont="1" applyBorder="1" applyAlignment="1">
      <alignment horizontal="center"/>
    </xf>
    <xf numFmtId="0" fontId="11" fillId="0" borderId="1" xfId="3" applyFont="1" applyBorder="1" applyAlignment="1">
      <alignment horizontal="center"/>
    </xf>
    <xf numFmtId="181" fontId="11" fillId="0" borderId="1" xfId="3" applyNumberFormat="1" applyFont="1" applyBorder="1" applyAlignment="1">
      <alignment horizontal="center"/>
    </xf>
    <xf numFmtId="177" fontId="11" fillId="7" borderId="1" xfId="3" applyNumberFormat="1" applyFont="1" applyFill="1" applyBorder="1" applyAlignment="1">
      <alignment horizontal="center"/>
    </xf>
    <xf numFmtId="0" fontId="183" fillId="0" borderId="0" xfId="3" applyFont="1" applyBorder="1">
      <alignment vertical="center"/>
    </xf>
    <xf numFmtId="0" fontId="183" fillId="0" borderId="0" xfId="3" applyFont="1" applyBorder="1" applyAlignment="1">
      <alignment horizontal="center" vertical="center"/>
    </xf>
    <xf numFmtId="0" fontId="183" fillId="0" borderId="0" xfId="3" applyBorder="1" applyAlignment="1"/>
    <xf numFmtId="0" fontId="82" fillId="0" borderId="0" xfId="3" applyFont="1" applyBorder="1" applyAlignment="1">
      <alignment horizontal="center" wrapText="1"/>
    </xf>
    <xf numFmtId="0" fontId="41" fillId="0" borderId="0" xfId="3" applyFont="1" applyBorder="1" applyAlignment="1">
      <alignment horizontal="center" vertical="center"/>
    </xf>
    <xf numFmtId="0" fontId="183" fillId="0" borderId="0" xfId="3" applyFont="1" applyFill="1" applyBorder="1" applyAlignment="1">
      <alignment horizontal="left"/>
    </xf>
    <xf numFmtId="0" fontId="84" fillId="0" borderId="0" xfId="3" applyFont="1" applyBorder="1" applyAlignment="1">
      <alignment horizontal="center" wrapText="1"/>
    </xf>
    <xf numFmtId="179" fontId="82" fillId="0" borderId="0" xfId="3" applyNumberFormat="1" applyFont="1" applyBorder="1" applyAlignment="1">
      <alignment horizontal="center" wrapText="1"/>
    </xf>
    <xf numFmtId="258" fontId="183" fillId="19" borderId="10" xfId="3" applyNumberFormat="1" applyFont="1" applyFill="1" applyBorder="1" applyAlignment="1">
      <alignment vertical="center"/>
    </xf>
    <xf numFmtId="258" fontId="183" fillId="19" borderId="14" xfId="3" applyNumberFormat="1" applyFont="1" applyFill="1" applyBorder="1" applyAlignment="1">
      <alignment vertical="center"/>
    </xf>
    <xf numFmtId="258" fontId="183" fillId="19" borderId="13" xfId="3" applyNumberFormat="1" applyFont="1" applyFill="1" applyBorder="1" applyAlignment="1">
      <alignment vertical="center"/>
    </xf>
    <xf numFmtId="258" fontId="183" fillId="19" borderId="5" xfId="3" applyNumberFormat="1" applyFont="1" applyFill="1" applyBorder="1" applyAlignment="1">
      <alignment vertical="center"/>
    </xf>
    <xf numFmtId="258" fontId="183" fillId="19" borderId="0" xfId="3" applyNumberFormat="1" applyFont="1" applyFill="1" applyBorder="1" applyAlignment="1">
      <alignment vertical="center"/>
    </xf>
    <xf numFmtId="258" fontId="183" fillId="19" borderId="16" xfId="3" applyNumberFormat="1" applyFont="1" applyFill="1" applyBorder="1" applyAlignment="1">
      <alignment vertical="center"/>
    </xf>
    <xf numFmtId="258" fontId="183" fillId="19" borderId="11" xfId="3" applyNumberFormat="1" applyFont="1" applyFill="1" applyBorder="1" applyAlignment="1">
      <alignment vertical="center"/>
    </xf>
    <xf numFmtId="258" fontId="183" fillId="19" borderId="2" xfId="3" applyNumberFormat="1" applyFont="1" applyFill="1" applyBorder="1" applyAlignment="1">
      <alignment vertical="center"/>
    </xf>
    <xf numFmtId="258" fontId="183" fillId="19" borderId="6" xfId="3" applyNumberFormat="1" applyFont="1" applyFill="1" applyBorder="1" applyAlignment="1">
      <alignment vertical="center"/>
    </xf>
    <xf numFmtId="49" fontId="11" fillId="0" borderId="7" xfId="3" applyNumberFormat="1" applyFont="1" applyFill="1" applyBorder="1" applyAlignment="1">
      <alignment vertical="center"/>
    </xf>
    <xf numFmtId="0" fontId="188" fillId="0" borderId="1" xfId="3" applyFont="1" applyFill="1" applyBorder="1" applyAlignment="1">
      <alignment horizontal="center"/>
    </xf>
    <xf numFmtId="0" fontId="11" fillId="0" borderId="1" xfId="3" applyFont="1" applyFill="1" applyBorder="1" applyAlignment="1">
      <alignment horizontal="center"/>
    </xf>
    <xf numFmtId="177" fontId="11" fillId="0" borderId="1" xfId="3" applyNumberFormat="1" applyFont="1" applyFill="1" applyBorder="1" applyAlignment="1">
      <alignment horizontal="center"/>
    </xf>
    <xf numFmtId="0" fontId="183" fillId="0" borderId="1" xfId="3" applyFont="1" applyFill="1" applyBorder="1" applyAlignment="1">
      <alignment horizontal="left"/>
    </xf>
    <xf numFmtId="0" fontId="183" fillId="0" borderId="6" xfId="3" applyFill="1" applyBorder="1" applyAlignment="1">
      <alignment horizontal="center" vertical="center"/>
    </xf>
    <xf numFmtId="0" fontId="183" fillId="0" borderId="16" xfId="3" applyFill="1" applyBorder="1" applyAlignment="1">
      <alignment horizontal="center" vertical="center"/>
    </xf>
    <xf numFmtId="0" fontId="197" fillId="0" borderId="0" xfId="0" applyFont="1">
      <alignment vertical="center"/>
    </xf>
    <xf numFmtId="0" fontId="198" fillId="0" borderId="0" xfId="0" applyFont="1">
      <alignment vertical="center"/>
    </xf>
    <xf numFmtId="0" fontId="199" fillId="2" borderId="0" xfId="3" applyFont="1" applyFill="1">
      <alignment vertical="center"/>
    </xf>
    <xf numFmtId="0" fontId="54" fillId="0" borderId="0" xfId="0" applyFont="1" applyBorder="1" applyAlignment="1">
      <alignment vertical="center"/>
    </xf>
    <xf numFmtId="0" fontId="9" fillId="0" borderId="1" xfId="0" applyFont="1" applyBorder="1" applyAlignment="1">
      <alignment horizontal="center" vertical="center" wrapText="1"/>
    </xf>
    <xf numFmtId="0" fontId="10" fillId="0" borderId="1" xfId="0" applyFont="1" applyBorder="1" applyAlignment="1">
      <alignment horizontal="center" vertical="center" wrapText="1"/>
    </xf>
    <xf numFmtId="0" fontId="200" fillId="0" borderId="1" xfId="0" applyFont="1" applyBorder="1" applyAlignment="1">
      <alignment vertical="center"/>
    </xf>
    <xf numFmtId="0" fontId="201" fillId="0" borderId="1" xfId="0" applyFont="1" applyBorder="1" applyAlignment="1">
      <alignment vertical="center" wrapText="1"/>
    </xf>
    <xf numFmtId="0" fontId="201" fillId="0" borderId="1" xfId="0" applyFont="1" applyBorder="1" applyAlignment="1">
      <alignment horizontal="center" vertical="center" wrapText="1"/>
    </xf>
    <xf numFmtId="0" fontId="200" fillId="0" borderId="0" xfId="0" applyFont="1">
      <alignment vertical="center"/>
    </xf>
    <xf numFmtId="0" fontId="9" fillId="0" borderId="0" xfId="11" applyFont="1" applyBorder="1">
      <alignment vertical="center"/>
    </xf>
    <xf numFmtId="0" fontId="16" fillId="0" borderId="0" xfId="2" applyFont="1">
      <alignment vertical="center"/>
    </xf>
    <xf numFmtId="0" fontId="16" fillId="0" borderId="0" xfId="2" applyFont="1" applyBorder="1">
      <alignment vertical="center"/>
    </xf>
    <xf numFmtId="0" fontId="1" fillId="0" borderId="1" xfId="2" applyBorder="1">
      <alignment vertical="center"/>
    </xf>
    <xf numFmtId="0" fontId="0" fillId="0" borderId="1" xfId="0" applyBorder="1" applyAlignment="1">
      <alignment horizontal="right" vertical="center"/>
    </xf>
    <xf numFmtId="180" fontId="11" fillId="0" borderId="7" xfId="3" applyNumberFormat="1" applyFont="1" applyBorder="1" applyAlignment="1">
      <alignment horizontal="center"/>
    </xf>
    <xf numFmtId="0" fontId="142" fillId="0" borderId="0" xfId="0" applyFont="1" applyAlignment="1">
      <alignment horizontal="center" vertical="center" wrapText="1"/>
    </xf>
    <xf numFmtId="0" fontId="11" fillId="11" borderId="6" xfId="3" applyFont="1" applyFill="1" applyBorder="1" applyAlignment="1">
      <alignment vertical="center"/>
    </xf>
    <xf numFmtId="0" fontId="1" fillId="2" borderId="4" xfId="0" applyFont="1" applyFill="1" applyBorder="1" applyAlignment="1">
      <alignment vertical="center"/>
    </xf>
    <xf numFmtId="0" fontId="1" fillId="2" borderId="3" xfId="0" applyFont="1" applyFill="1" applyBorder="1" applyAlignment="1">
      <alignment vertical="center"/>
    </xf>
    <xf numFmtId="0" fontId="0" fillId="0" borderId="7" xfId="0" applyBorder="1" applyAlignment="1">
      <alignment horizontal="center" vertical="center"/>
    </xf>
    <xf numFmtId="0" fontId="0" fillId="0" borderId="16" xfId="0" applyBorder="1" applyAlignment="1">
      <alignment horizontal="center" vertical="center"/>
    </xf>
    <xf numFmtId="0" fontId="212" fillId="0" borderId="1" xfId="0" applyFont="1" applyBorder="1" applyAlignment="1">
      <alignment vertical="center" wrapText="1"/>
    </xf>
    <xf numFmtId="0" fontId="212" fillId="0" borderId="2" xfId="14" applyBorder="1">
      <alignment vertical="center"/>
    </xf>
    <xf numFmtId="0" fontId="212" fillId="0" borderId="2" xfId="14" applyBorder="1" applyAlignment="1">
      <alignment horizontal="center" vertical="center"/>
    </xf>
    <xf numFmtId="0" fontId="212" fillId="0" borderId="0" xfId="14" applyBorder="1">
      <alignment vertical="center"/>
    </xf>
    <xf numFmtId="0" fontId="212" fillId="0" borderId="0" xfId="14">
      <alignment vertical="center"/>
    </xf>
    <xf numFmtId="0" fontId="215" fillId="0" borderId="0" xfId="14" applyFont="1" applyBorder="1">
      <alignment vertical="center"/>
    </xf>
    <xf numFmtId="0" fontId="212" fillId="0" borderId="14" xfId="14" applyBorder="1" applyAlignment="1">
      <alignment horizontal="center" vertical="center"/>
    </xf>
    <xf numFmtId="0" fontId="61" fillId="0" borderId="0" xfId="14" applyFont="1" applyBorder="1" applyAlignment="1">
      <alignment horizontal="center" vertical="center"/>
    </xf>
    <xf numFmtId="0" fontId="212" fillId="0" borderId="4" xfId="14" applyBorder="1" applyAlignment="1">
      <alignment horizontal="left" vertical="center"/>
    </xf>
    <xf numFmtId="0" fontId="212" fillId="0" borderId="3" xfId="14" applyBorder="1" applyAlignment="1">
      <alignment horizontal="left" vertical="center"/>
    </xf>
    <xf numFmtId="0" fontId="212" fillId="0" borderId="7" xfId="14" applyBorder="1" applyAlignment="1">
      <alignment horizontal="center" vertical="center"/>
    </xf>
    <xf numFmtId="0" fontId="211" fillId="0" borderId="1" xfId="0" applyFont="1" applyFill="1" applyBorder="1" applyAlignment="1">
      <alignment horizontal="left" vertical="top" wrapText="1"/>
    </xf>
    <xf numFmtId="0" fontId="211" fillId="0" borderId="3" xfId="0" applyFont="1" applyFill="1" applyBorder="1" applyAlignment="1">
      <alignment horizontal="left" vertical="top" wrapText="1"/>
    </xf>
    <xf numFmtId="0" fontId="211" fillId="0" borderId="0" xfId="0" applyFont="1" applyFill="1" applyBorder="1" applyAlignment="1">
      <alignment horizontal="left" vertical="top" wrapText="1"/>
    </xf>
    <xf numFmtId="0" fontId="211" fillId="0" borderId="2" xfId="0" applyFont="1" applyFill="1" applyBorder="1" applyAlignment="1">
      <alignment horizontal="left" vertical="top" wrapText="1"/>
    </xf>
    <xf numFmtId="0" fontId="217" fillId="0" borderId="0" xfId="15">
      <alignment vertical="center"/>
    </xf>
    <xf numFmtId="0" fontId="217" fillId="0" borderId="2" xfId="15" applyBorder="1">
      <alignment vertical="center"/>
    </xf>
    <xf numFmtId="0" fontId="217" fillId="0" borderId="7" xfId="15" applyBorder="1">
      <alignment vertical="center"/>
    </xf>
    <xf numFmtId="191" fontId="217" fillId="0" borderId="4" xfId="15" applyNumberFormat="1" applyBorder="1" applyAlignment="1">
      <alignment horizontal="center" vertical="center"/>
    </xf>
    <xf numFmtId="0" fontId="217" fillId="0" borderId="3" xfId="15" applyBorder="1" applyAlignment="1">
      <alignment horizontal="left" vertical="center"/>
    </xf>
    <xf numFmtId="0" fontId="218" fillId="0" borderId="0" xfId="15" applyFont="1">
      <alignment vertical="center"/>
    </xf>
    <xf numFmtId="0" fontId="68" fillId="10" borderId="4" xfId="0" applyFont="1" applyFill="1" applyBorder="1">
      <alignment vertical="center"/>
    </xf>
    <xf numFmtId="0" fontId="68" fillId="10" borderId="3" xfId="0" applyFont="1" applyFill="1" applyBorder="1">
      <alignment vertical="center"/>
    </xf>
    <xf numFmtId="0" fontId="68" fillId="10" borderId="3" xfId="0" applyFont="1" applyFill="1" applyBorder="1" applyAlignment="1">
      <alignment vertical="center"/>
    </xf>
    <xf numFmtId="0" fontId="68" fillId="10" borderId="7" xfId="0" applyFont="1" applyFill="1" applyBorder="1">
      <alignment vertical="center"/>
    </xf>
    <xf numFmtId="0" fontId="68" fillId="10" borderId="4" xfId="0" applyNumberFormat="1" applyFont="1" applyFill="1" applyBorder="1">
      <alignment vertical="center"/>
    </xf>
    <xf numFmtId="0" fontId="68" fillId="10" borderId="3" xfId="0" applyNumberFormat="1" applyFont="1" applyFill="1" applyBorder="1" applyAlignment="1">
      <alignment vertical="center"/>
    </xf>
    <xf numFmtId="0" fontId="68" fillId="10" borderId="3" xfId="0" applyNumberFormat="1" applyFont="1" applyFill="1" applyBorder="1">
      <alignment vertical="center"/>
    </xf>
    <xf numFmtId="0" fontId="68" fillId="10" borderId="7" xfId="0" applyNumberFormat="1" applyFont="1" applyFill="1" applyBorder="1" applyAlignment="1">
      <alignment vertical="center"/>
    </xf>
    <xf numFmtId="0" fontId="68" fillId="10" borderId="7" xfId="0" applyNumberFormat="1" applyFont="1" applyFill="1" applyBorder="1">
      <alignment vertical="center"/>
    </xf>
    <xf numFmtId="0" fontId="68" fillId="10" borderId="3" xfId="0" applyNumberFormat="1" applyFont="1" applyFill="1" applyBorder="1" applyAlignment="1">
      <alignment horizontal="center" vertical="center"/>
    </xf>
    <xf numFmtId="0" fontId="16" fillId="10" borderId="3" xfId="0" applyNumberFormat="1" applyFont="1" applyFill="1" applyBorder="1" applyAlignment="1">
      <alignment horizontal="center" vertical="center"/>
    </xf>
    <xf numFmtId="0" fontId="226" fillId="0" borderId="3" xfId="0" applyFont="1" applyBorder="1" applyAlignment="1">
      <alignment vertical="center"/>
    </xf>
    <xf numFmtId="0" fontId="228" fillId="0" borderId="1" xfId="0" applyFont="1" applyFill="1" applyBorder="1" applyAlignment="1">
      <alignment horizontal="left" vertical="top" wrapText="1"/>
    </xf>
    <xf numFmtId="0" fontId="228" fillId="0" borderId="0" xfId="0" applyFont="1" applyAlignment="1">
      <alignment vertical="center" wrapText="1"/>
    </xf>
    <xf numFmtId="0" fontId="228" fillId="20" borderId="1" xfId="0" applyFont="1" applyFill="1" applyBorder="1" applyAlignment="1">
      <alignment horizontal="left" vertical="top" wrapText="1"/>
    </xf>
    <xf numFmtId="0" fontId="228" fillId="20" borderId="0" xfId="0" applyFont="1" applyFill="1" applyAlignment="1">
      <alignment horizontal="left" vertical="top" wrapText="1"/>
    </xf>
    <xf numFmtId="0" fontId="228" fillId="0" borderId="1" xfId="0" applyFont="1" applyBorder="1" applyAlignment="1">
      <alignment horizontal="left" vertical="top" wrapText="1"/>
    </xf>
    <xf numFmtId="0" fontId="228" fillId="0" borderId="1" xfId="0" applyFont="1" applyBorder="1" applyAlignment="1">
      <alignment vertical="center" wrapText="1"/>
    </xf>
    <xf numFmtId="0" fontId="228" fillId="0" borderId="0" xfId="0" applyFont="1" applyAlignment="1">
      <alignment horizontal="left" vertical="top" wrapText="1"/>
    </xf>
    <xf numFmtId="0" fontId="228" fillId="0" borderId="0" xfId="0" applyFont="1" applyFill="1" applyAlignment="1">
      <alignment horizontal="left" vertical="top" wrapText="1"/>
    </xf>
    <xf numFmtId="0" fontId="230" fillId="0" borderId="1" xfId="20" applyFont="1" applyFill="1" applyBorder="1" applyAlignment="1">
      <alignment horizontal="left" vertical="top" wrapText="1"/>
    </xf>
    <xf numFmtId="0" fontId="228" fillId="0" borderId="7" xfId="0" applyFont="1" applyBorder="1" applyAlignment="1">
      <alignment horizontal="left" vertical="top" wrapText="1"/>
    </xf>
    <xf numFmtId="0" fontId="228" fillId="0" borderId="7" xfId="0" applyFont="1" applyFill="1" applyBorder="1" applyAlignment="1">
      <alignment horizontal="left" vertical="top" wrapText="1"/>
    </xf>
    <xf numFmtId="0" fontId="228" fillId="0" borderId="0" xfId="0" applyFont="1" applyBorder="1" applyAlignment="1">
      <alignment horizontal="left" vertical="top" wrapText="1"/>
    </xf>
    <xf numFmtId="0" fontId="228" fillId="23" borderId="0" xfId="0" applyFont="1" applyFill="1" applyAlignment="1">
      <alignment vertical="center" wrapText="1"/>
    </xf>
    <xf numFmtId="0" fontId="228" fillId="23" borderId="1" xfId="0" applyFont="1" applyFill="1" applyBorder="1" applyAlignment="1">
      <alignment horizontal="left" vertical="top" wrapText="1"/>
    </xf>
    <xf numFmtId="0" fontId="228" fillId="23" borderId="1" xfId="0" applyFont="1" applyFill="1" applyBorder="1" applyAlignment="1">
      <alignment vertical="center" wrapText="1"/>
    </xf>
    <xf numFmtId="0" fontId="228" fillId="23" borderId="7" xfId="0" applyFont="1" applyFill="1" applyBorder="1" applyAlignment="1">
      <alignment horizontal="left" vertical="top" wrapText="1"/>
    </xf>
    <xf numFmtId="0" fontId="234" fillId="23" borderId="1" xfId="20" applyFont="1" applyFill="1" applyBorder="1" applyAlignment="1">
      <alignment vertical="center" wrapText="1"/>
    </xf>
    <xf numFmtId="0" fontId="231" fillId="23" borderId="1" xfId="0" applyFont="1" applyFill="1" applyBorder="1" applyAlignment="1">
      <alignment horizontal="left" vertical="top" wrapText="1"/>
    </xf>
    <xf numFmtId="0" fontId="235" fillId="0" borderId="0" xfId="0" applyFont="1">
      <alignment vertical="center"/>
    </xf>
    <xf numFmtId="0" fontId="14" fillId="2" borderId="3" xfId="0" applyFont="1" applyFill="1" applyBorder="1" applyAlignment="1">
      <alignment vertical="center"/>
    </xf>
    <xf numFmtId="0" fontId="4" fillId="23" borderId="0" xfId="0" applyFont="1" applyFill="1" applyAlignment="1">
      <alignment vertical="center" wrapText="1"/>
    </xf>
    <xf numFmtId="0" fontId="4" fillId="23" borderId="1" xfId="0" applyFont="1" applyFill="1" applyBorder="1" applyAlignment="1">
      <alignment horizontal="left" vertical="top" wrapText="1"/>
    </xf>
    <xf numFmtId="0" fontId="4" fillId="23" borderId="1" xfId="0" applyFont="1" applyFill="1" applyBorder="1" applyAlignment="1">
      <alignment vertical="center" wrapText="1"/>
    </xf>
    <xf numFmtId="0" fontId="14" fillId="0" borderId="0" xfId="0" applyFont="1">
      <alignment vertical="center"/>
    </xf>
    <xf numFmtId="0" fontId="14" fillId="5" borderId="4" xfId="0" applyFont="1" applyFill="1" applyBorder="1" applyAlignment="1">
      <alignment horizontal="center" vertical="center"/>
    </xf>
    <xf numFmtId="0" fontId="14" fillId="0" borderId="1" xfId="0" applyFont="1" applyBorder="1" applyAlignment="1">
      <alignment horizontal="center" vertical="center"/>
    </xf>
    <xf numFmtId="0" fontId="1" fillId="0" borderId="1" xfId="0" applyFont="1" applyBorder="1" applyAlignment="1">
      <alignment horizontal="center" vertical="center"/>
    </xf>
    <xf numFmtId="0" fontId="1" fillId="0" borderId="1" xfId="9" applyFont="1" applyBorder="1" applyAlignment="1">
      <alignment horizontal="center" vertical="center"/>
    </xf>
    <xf numFmtId="0" fontId="2" fillId="0" borderId="0" xfId="0" applyFont="1" applyAlignment="1">
      <alignment vertical="center" wrapText="1"/>
    </xf>
    <xf numFmtId="0" fontId="2" fillId="0" borderId="1" xfId="0" applyFont="1" applyFill="1" applyBorder="1" applyAlignment="1">
      <alignment horizontal="left" vertical="top" wrapText="1"/>
    </xf>
    <xf numFmtId="0" fontId="2" fillId="23" borderId="1" xfId="0" applyFont="1" applyFill="1" applyBorder="1" applyAlignment="1">
      <alignment horizontal="left" vertical="top" wrapText="1"/>
    </xf>
    <xf numFmtId="0" fontId="1" fillId="0" borderId="0" xfId="0" applyFont="1">
      <alignment vertical="center"/>
    </xf>
    <xf numFmtId="0" fontId="2" fillId="23" borderId="0" xfId="0" applyFont="1" applyFill="1" applyAlignment="1">
      <alignment vertical="center" wrapText="1"/>
    </xf>
    <xf numFmtId="0" fontId="49" fillId="0" borderId="4" xfId="0" applyFont="1" applyFill="1" applyBorder="1" applyAlignment="1">
      <alignment horizontal="center" vertical="center"/>
    </xf>
    <xf numFmtId="0" fontId="49" fillId="0" borderId="3" xfId="0" applyFont="1" applyFill="1" applyBorder="1" applyAlignment="1">
      <alignment horizontal="center" vertical="center"/>
    </xf>
    <xf numFmtId="254" fontId="68" fillId="0" borderId="0" xfId="0" applyNumberFormat="1" applyFont="1" applyFill="1" applyBorder="1" applyAlignment="1">
      <alignment horizontal="center" vertical="center"/>
    </xf>
    <xf numFmtId="254" fontId="68" fillId="0" borderId="3" xfId="0" applyNumberFormat="1" applyFont="1" applyFill="1" applyBorder="1" applyAlignment="1">
      <alignment horizontal="center" vertical="center"/>
    </xf>
    <xf numFmtId="248" fontId="68" fillId="0" borderId="3" xfId="0" applyNumberFormat="1" applyFont="1" applyFill="1" applyBorder="1" applyAlignment="1">
      <alignment horizontal="right" vertical="center"/>
    </xf>
    <xf numFmtId="0" fontId="75" fillId="0" borderId="2" xfId="0" applyFont="1" applyFill="1" applyBorder="1" applyAlignment="1">
      <alignment horizontal="right" vertical="center"/>
    </xf>
    <xf numFmtId="0" fontId="74" fillId="0" borderId="2" xfId="0" applyFont="1" applyFill="1" applyBorder="1" applyAlignment="1">
      <alignment horizontal="left" vertical="center"/>
    </xf>
    <xf numFmtId="252" fontId="68" fillId="0" borderId="4" xfId="0" applyNumberFormat="1" applyFont="1" applyFill="1" applyBorder="1" applyAlignment="1">
      <alignment horizontal="center" vertical="center"/>
    </xf>
    <xf numFmtId="252" fontId="68" fillId="0" borderId="3" xfId="0" applyNumberFormat="1" applyFont="1" applyFill="1" applyBorder="1" applyAlignment="1">
      <alignment horizontal="center" vertical="center"/>
    </xf>
    <xf numFmtId="181" fontId="68" fillId="0" borderId="3" xfId="0" applyNumberFormat="1" applyFont="1" applyFill="1" applyBorder="1" applyAlignment="1">
      <alignment horizontal="center" vertical="center"/>
    </xf>
    <xf numFmtId="179" fontId="68" fillId="0" borderId="3" xfId="0" applyNumberFormat="1" applyFont="1" applyFill="1" applyBorder="1" applyAlignment="1">
      <alignment horizontal="center" vertical="center"/>
    </xf>
    <xf numFmtId="179" fontId="68" fillId="0" borderId="3" xfId="0" applyNumberFormat="1" applyFont="1" applyFill="1" applyBorder="1" applyAlignment="1">
      <alignment horizontal="center" vertical="center" wrapText="1"/>
    </xf>
    <xf numFmtId="181" fontId="68" fillId="0" borderId="3" xfId="0" applyNumberFormat="1" applyFont="1" applyFill="1" applyBorder="1" applyAlignment="1">
      <alignment horizontal="center" vertical="center" wrapText="1"/>
    </xf>
    <xf numFmtId="0" fontId="68" fillId="0" borderId="0" xfId="0" applyFont="1" applyFill="1">
      <alignment vertical="center"/>
    </xf>
    <xf numFmtId="181" fontId="68" fillId="0" borderId="0" xfId="0" applyNumberFormat="1" applyFont="1" applyFill="1" applyAlignment="1">
      <alignment horizontal="center" vertical="center"/>
    </xf>
    <xf numFmtId="0" fontId="237" fillId="5" borderId="7" xfId="0" applyFont="1" applyFill="1" applyBorder="1" applyAlignment="1">
      <alignment horizontal="left" vertical="center"/>
    </xf>
    <xf numFmtId="0" fontId="62" fillId="0" borderId="0" xfId="0" applyFont="1" applyAlignment="1">
      <alignment vertical="center" wrapText="1"/>
    </xf>
    <xf numFmtId="0" fontId="0" fillId="0" borderId="0" xfId="0" applyAlignment="1">
      <alignment vertical="center"/>
    </xf>
    <xf numFmtId="10" fontId="0" fillId="0" borderId="9" xfId="0" applyNumberFormat="1" applyBorder="1" applyAlignment="1">
      <alignment horizontal="center" vertical="center"/>
    </xf>
    <xf numFmtId="10" fontId="0" fillId="0" borderId="12" xfId="0" applyNumberFormat="1" applyBorder="1" applyAlignment="1">
      <alignment horizontal="center" vertical="center"/>
    </xf>
    <xf numFmtId="0" fontId="86" fillId="7" borderId="4" xfId="0" applyFont="1" applyFill="1" applyBorder="1" applyAlignment="1" applyProtection="1">
      <alignment horizontal="right" vertical="center"/>
      <protection hidden="1"/>
    </xf>
    <xf numFmtId="0" fontId="86" fillId="7" borderId="3" xfId="0" applyFont="1" applyFill="1" applyBorder="1" applyAlignment="1" applyProtection="1">
      <alignment horizontal="right" vertical="center"/>
      <protection hidden="1"/>
    </xf>
    <xf numFmtId="10" fontId="86" fillId="7" borderId="4" xfId="0" applyNumberFormat="1" applyFont="1" applyFill="1" applyBorder="1" applyAlignment="1" applyProtection="1">
      <alignment horizontal="center" vertical="center"/>
      <protection hidden="1"/>
    </xf>
    <xf numFmtId="10" fontId="86" fillId="7" borderId="3" xfId="0" applyNumberFormat="1" applyFont="1" applyFill="1" applyBorder="1" applyAlignment="1" applyProtection="1">
      <alignment horizontal="center" vertical="center"/>
      <protection hidden="1"/>
    </xf>
    <xf numFmtId="10" fontId="86" fillId="7" borderId="7" xfId="0" applyNumberFormat="1" applyFont="1" applyFill="1" applyBorder="1" applyAlignment="1" applyProtection="1">
      <alignment horizontal="center" vertical="center"/>
      <protection hidden="1"/>
    </xf>
    <xf numFmtId="0" fontId="11" fillId="5" borderId="7" xfId="0" applyFont="1" applyFill="1" applyBorder="1" applyAlignment="1">
      <alignment horizontal="left" vertical="center"/>
    </xf>
    <xf numFmtId="0" fontId="11" fillId="5" borderId="1" xfId="0" applyFont="1" applyFill="1" applyBorder="1" applyAlignment="1">
      <alignment horizontal="center" vertical="center"/>
    </xf>
    <xf numFmtId="0" fontId="119" fillId="0" borderId="4" xfId="0" applyFont="1" applyBorder="1" applyAlignment="1">
      <alignment horizontal="center" vertical="center"/>
    </xf>
    <xf numFmtId="0" fontId="119" fillId="0" borderId="3" xfId="0" applyFont="1" applyBorder="1" applyAlignment="1">
      <alignment horizontal="center" vertical="center"/>
    </xf>
    <xf numFmtId="0" fontId="119" fillId="0" borderId="7" xfId="0" applyFont="1" applyBorder="1" applyAlignment="1">
      <alignment horizontal="center" vertical="center"/>
    </xf>
    <xf numFmtId="0" fontId="117" fillId="0" borderId="4" xfId="0" applyFont="1" applyBorder="1" applyAlignment="1">
      <alignment horizontal="center" vertical="center"/>
    </xf>
    <xf numFmtId="0" fontId="0" fillId="0" borderId="3" xfId="0" applyBorder="1" applyAlignment="1">
      <alignment horizontal="center" vertical="center"/>
    </xf>
    <xf numFmtId="0" fontId="0" fillId="0" borderId="7" xfId="0" applyBorder="1" applyAlignment="1">
      <alignment horizontal="center" vertical="center"/>
    </xf>
    <xf numFmtId="10" fontId="87" fillId="15" borderId="9" xfId="0" applyNumberFormat="1" applyFont="1" applyFill="1" applyBorder="1" applyAlignment="1">
      <alignment horizontal="center" vertical="center"/>
    </xf>
    <xf numFmtId="10" fontId="87" fillId="15" borderId="12" xfId="0" applyNumberFormat="1" applyFont="1" applyFill="1" applyBorder="1" applyAlignment="1">
      <alignment horizontal="center" vertical="center"/>
    </xf>
    <xf numFmtId="0" fontId="11" fillId="5" borderId="4" xfId="0" applyFont="1" applyFill="1" applyBorder="1" applyAlignment="1">
      <alignment horizontal="right" vertical="center"/>
    </xf>
    <xf numFmtId="0" fontId="11" fillId="5" borderId="5" xfId="0" applyFont="1" applyFill="1" applyBorder="1" applyAlignment="1">
      <alignment horizontal="right" vertical="center"/>
    </xf>
    <xf numFmtId="0" fontId="0" fillId="5" borderId="5" xfId="0" applyFill="1" applyBorder="1" applyAlignment="1">
      <alignment horizontal="right"/>
    </xf>
    <xf numFmtId="0" fontId="11" fillId="5" borderId="13" xfId="0" applyFont="1" applyFill="1" applyBorder="1" applyAlignment="1">
      <alignment horizontal="left" vertical="center"/>
    </xf>
    <xf numFmtId="0" fontId="0" fillId="5" borderId="16" xfId="0" applyFill="1" applyBorder="1" applyAlignment="1">
      <alignment horizontal="left"/>
    </xf>
    <xf numFmtId="0" fontId="0" fillId="5" borderId="6" xfId="0" applyFill="1" applyBorder="1" applyAlignment="1">
      <alignment horizontal="left"/>
    </xf>
    <xf numFmtId="0" fontId="87" fillId="7" borderId="10" xfId="0" applyFont="1" applyFill="1" applyBorder="1" applyAlignment="1">
      <alignment horizontal="center" vertical="center"/>
    </xf>
    <xf numFmtId="0" fontId="87" fillId="7" borderId="14" xfId="0" applyFont="1" applyFill="1" applyBorder="1" applyAlignment="1">
      <alignment horizontal="center" vertical="center"/>
    </xf>
    <xf numFmtId="0" fontId="87" fillId="7" borderId="13" xfId="0" applyFont="1" applyFill="1" applyBorder="1" applyAlignment="1">
      <alignment horizontal="center" vertical="center"/>
    </xf>
    <xf numFmtId="0" fontId="87" fillId="7" borderId="11" xfId="0" applyFont="1" applyFill="1" applyBorder="1" applyAlignment="1">
      <alignment horizontal="center" vertical="center"/>
    </xf>
    <xf numFmtId="0" fontId="87" fillId="7" borderId="2" xfId="0" applyFont="1" applyFill="1" applyBorder="1" applyAlignment="1">
      <alignment horizontal="center" vertical="center"/>
    </xf>
    <xf numFmtId="0" fontId="87" fillId="7" borderId="6" xfId="0" applyFont="1" applyFill="1" applyBorder="1" applyAlignment="1">
      <alignment horizontal="center" vertical="center"/>
    </xf>
    <xf numFmtId="0" fontId="76" fillId="4" borderId="4" xfId="0" applyFont="1" applyFill="1" applyBorder="1" applyAlignment="1">
      <alignment horizontal="center"/>
    </xf>
    <xf numFmtId="0" fontId="76" fillId="4" borderId="7" xfId="0" applyFont="1" applyFill="1" applyBorder="1" applyAlignment="1">
      <alignment horizontal="center"/>
    </xf>
    <xf numFmtId="0" fontId="76" fillId="5" borderId="1" xfId="0" applyFont="1" applyFill="1" applyBorder="1" applyAlignment="1">
      <alignment horizontal="center" vertical="center" wrapText="1"/>
    </xf>
    <xf numFmtId="0" fontId="76" fillId="5" borderId="9" xfId="0" applyFont="1" applyFill="1" applyBorder="1" applyAlignment="1">
      <alignment horizontal="center" vertical="center"/>
    </xf>
    <xf numFmtId="0" fontId="76" fillId="5" borderId="12" xfId="0" applyFont="1" applyFill="1" applyBorder="1" applyAlignment="1">
      <alignment horizontal="center" vertical="center"/>
    </xf>
    <xf numFmtId="0" fontId="76" fillId="4" borderId="3" xfId="0" applyFont="1" applyFill="1" applyBorder="1" applyAlignment="1">
      <alignment horizontal="center"/>
    </xf>
    <xf numFmtId="0" fontId="0" fillId="0" borderId="8" xfId="0" applyBorder="1" applyAlignment="1">
      <alignment vertical="center"/>
    </xf>
    <xf numFmtId="0" fontId="0" fillId="0" borderId="12" xfId="0" applyBorder="1" applyAlignment="1">
      <alignment vertical="center"/>
    </xf>
    <xf numFmtId="0" fontId="122" fillId="0" borderId="4" xfId="0" applyFont="1" applyBorder="1" applyAlignment="1">
      <alignment horizontal="center" vertical="center"/>
    </xf>
    <xf numFmtId="10" fontId="87" fillId="15" borderId="10" xfId="0" applyNumberFormat="1" applyFont="1" applyFill="1" applyBorder="1" applyAlignment="1">
      <alignment horizontal="center" vertical="center"/>
    </xf>
    <xf numFmtId="0" fontId="0" fillId="0" borderId="5" xfId="0" applyBorder="1" applyAlignment="1">
      <alignment vertical="center"/>
    </xf>
    <xf numFmtId="0" fontId="0" fillId="0" borderId="11" xfId="0" applyBorder="1" applyAlignment="1">
      <alignment vertical="center"/>
    </xf>
    <xf numFmtId="10" fontId="0" fillId="0" borderId="13" xfId="0" applyNumberFormat="1" applyBorder="1" applyAlignment="1">
      <alignment horizontal="center" vertical="center"/>
    </xf>
    <xf numFmtId="0" fontId="0" fillId="0" borderId="16" xfId="0" applyBorder="1" applyAlignment="1">
      <alignment vertical="center"/>
    </xf>
    <xf numFmtId="0" fontId="0" fillId="0" borderId="6" xfId="0" applyBorder="1" applyAlignment="1">
      <alignment vertical="center"/>
    </xf>
    <xf numFmtId="0" fontId="27" fillId="10" borderId="9" xfId="0" applyFont="1" applyFill="1" applyBorder="1" applyAlignment="1">
      <alignment horizontal="center" vertical="center"/>
    </xf>
    <xf numFmtId="0" fontId="78" fillId="10" borderId="12" xfId="0" applyFont="1" applyFill="1" applyBorder="1" applyAlignment="1">
      <alignment horizontal="center" vertical="center"/>
    </xf>
    <xf numFmtId="0" fontId="87" fillId="7" borderId="1" xfId="0" applyFont="1" applyFill="1" applyBorder="1" applyAlignment="1">
      <alignment horizontal="center" vertical="center"/>
    </xf>
    <xf numFmtId="0" fontId="26" fillId="15" borderId="1" xfId="0" applyFont="1" applyFill="1" applyBorder="1" applyAlignment="1">
      <alignment horizontal="center" vertical="center" wrapText="1"/>
    </xf>
    <xf numFmtId="0" fontId="87" fillId="15" borderId="1" xfId="0" applyFont="1" applyFill="1" applyBorder="1" applyAlignment="1">
      <alignment horizontal="center" vertical="center" wrapText="1"/>
    </xf>
    <xf numFmtId="0" fontId="0" fillId="0" borderId="0" xfId="0">
      <alignment vertical="center"/>
    </xf>
    <xf numFmtId="0" fontId="1" fillId="10" borderId="9" xfId="0" applyFont="1" applyFill="1" applyBorder="1" applyAlignment="1">
      <alignment horizontal="center" vertical="center"/>
    </xf>
    <xf numFmtId="0" fontId="11" fillId="0" borderId="13" xfId="0" applyFont="1" applyFill="1" applyBorder="1" applyAlignment="1">
      <alignment horizontal="left" vertical="center"/>
    </xf>
    <xf numFmtId="0" fontId="11" fillId="0" borderId="16" xfId="0" applyFont="1" applyFill="1" applyBorder="1" applyAlignment="1">
      <alignment horizontal="left" vertical="center"/>
    </xf>
    <xf numFmtId="0" fontId="11" fillId="0" borderId="6" xfId="0" applyFont="1" applyFill="1" applyBorder="1" applyAlignment="1">
      <alignment horizontal="left" vertical="center"/>
    </xf>
    <xf numFmtId="10" fontId="0" fillId="3" borderId="9" xfId="0" applyNumberFormat="1" applyFill="1" applyBorder="1" applyAlignment="1">
      <alignment horizontal="center" vertical="center"/>
    </xf>
    <xf numFmtId="10" fontId="0" fillId="3" borderId="12" xfId="0" applyNumberFormat="1" applyFill="1" applyBorder="1" applyAlignment="1">
      <alignment horizontal="center" vertical="center"/>
    </xf>
    <xf numFmtId="0" fontId="122" fillId="0" borderId="9" xfId="0" applyFont="1" applyFill="1" applyBorder="1" applyAlignment="1">
      <alignment horizontal="center" vertical="center" wrapText="1"/>
    </xf>
    <xf numFmtId="0" fontId="122" fillId="0" borderId="12" xfId="0" applyFont="1" applyFill="1" applyBorder="1" applyAlignment="1">
      <alignment horizontal="center" vertical="center" wrapText="1"/>
    </xf>
    <xf numFmtId="0" fontId="87" fillId="0" borderId="1" xfId="0" applyFont="1" applyFill="1" applyBorder="1" applyAlignment="1">
      <alignment horizontal="center" vertical="center"/>
    </xf>
    <xf numFmtId="10" fontId="86" fillId="0" borderId="4" xfId="0" applyNumberFormat="1" applyFont="1" applyFill="1" applyBorder="1" applyAlignment="1" applyProtection="1">
      <alignment horizontal="center" vertical="center"/>
      <protection hidden="1"/>
    </xf>
    <xf numFmtId="10" fontId="86" fillId="0" borderId="3" xfId="0" applyNumberFormat="1" applyFont="1" applyFill="1" applyBorder="1" applyAlignment="1" applyProtection="1">
      <alignment horizontal="center" vertical="center"/>
      <protection hidden="1"/>
    </xf>
    <xf numFmtId="10" fontId="86" fillId="0" borderId="7" xfId="0" applyNumberFormat="1" applyFont="1" applyFill="1" applyBorder="1" applyAlignment="1" applyProtection="1">
      <alignment horizontal="center" vertical="center"/>
      <protection hidden="1"/>
    </xf>
    <xf numFmtId="0" fontId="78" fillId="2" borderId="9" xfId="0" applyFont="1" applyFill="1" applyBorder="1" applyAlignment="1">
      <alignment horizontal="center" vertical="center"/>
    </xf>
    <xf numFmtId="0" fontId="78" fillId="2" borderId="12" xfId="0" applyFont="1" applyFill="1" applyBorder="1" applyAlignment="1">
      <alignment horizontal="center" vertical="center"/>
    </xf>
    <xf numFmtId="0" fontId="116" fillId="2" borderId="9" xfId="0" applyFont="1" applyFill="1" applyBorder="1" applyAlignment="1">
      <alignment horizontal="center" vertical="center"/>
    </xf>
    <xf numFmtId="10" fontId="0" fillId="3" borderId="13" xfId="0" applyNumberFormat="1" applyFill="1" applyBorder="1" applyAlignment="1">
      <alignment horizontal="center" vertical="center"/>
    </xf>
    <xf numFmtId="0" fontId="0" fillId="3" borderId="16" xfId="0" applyFill="1" applyBorder="1" applyAlignment="1">
      <alignment vertical="center"/>
    </xf>
    <xf numFmtId="0" fontId="0" fillId="3" borderId="6" xfId="0" applyFill="1" applyBorder="1" applyAlignment="1">
      <alignment vertical="center"/>
    </xf>
    <xf numFmtId="0" fontId="0" fillId="3" borderId="8" xfId="0" applyFill="1" applyBorder="1" applyAlignment="1">
      <alignment vertical="center"/>
    </xf>
    <xf numFmtId="0" fontId="0" fillId="3" borderId="12" xfId="0" applyFill="1" applyBorder="1" applyAlignment="1">
      <alignment vertical="center"/>
    </xf>
    <xf numFmtId="0" fontId="76" fillId="0" borderId="9" xfId="0" applyFont="1" applyFill="1" applyBorder="1" applyAlignment="1">
      <alignment horizontal="center" vertical="center"/>
    </xf>
    <xf numFmtId="0" fontId="76" fillId="0" borderId="12" xfId="0" applyFont="1" applyFill="1" applyBorder="1" applyAlignment="1">
      <alignment horizontal="center" vertical="center"/>
    </xf>
    <xf numFmtId="0" fontId="11" fillId="0" borderId="10" xfId="0" applyFont="1" applyFill="1" applyBorder="1" applyAlignment="1">
      <alignment horizontal="right" vertical="center"/>
    </xf>
    <xf numFmtId="0" fontId="11" fillId="0" borderId="11" xfId="0" applyFont="1" applyFill="1" applyBorder="1" applyAlignment="1">
      <alignment horizontal="right" vertical="center"/>
    </xf>
    <xf numFmtId="0" fontId="11" fillId="0" borderId="9" xfId="0" applyFont="1" applyFill="1" applyBorder="1" applyAlignment="1">
      <alignment horizontal="center" vertical="center"/>
    </xf>
    <xf numFmtId="0" fontId="0" fillId="0" borderId="12" xfId="0" applyFill="1" applyBorder="1" applyAlignment="1">
      <alignment vertical="center"/>
    </xf>
    <xf numFmtId="0" fontId="87" fillId="0" borderId="10" xfId="0" applyFont="1" applyFill="1" applyBorder="1" applyAlignment="1">
      <alignment horizontal="center" vertical="center"/>
    </xf>
    <xf numFmtId="0" fontId="87" fillId="0" borderId="14" xfId="0" applyFont="1" applyFill="1" applyBorder="1" applyAlignment="1">
      <alignment horizontal="center" vertical="center"/>
    </xf>
    <xf numFmtId="0" fontId="87" fillId="0" borderId="13" xfId="0" applyFont="1" applyFill="1" applyBorder="1" applyAlignment="1">
      <alignment horizontal="center" vertical="center"/>
    </xf>
    <xf numFmtId="0" fontId="87" fillId="0" borderId="11" xfId="0" applyFont="1" applyFill="1" applyBorder="1" applyAlignment="1">
      <alignment horizontal="center" vertical="center"/>
    </xf>
    <xf numFmtId="0" fontId="87" fillId="0" borderId="2" xfId="0" applyFont="1" applyFill="1" applyBorder="1" applyAlignment="1">
      <alignment horizontal="center" vertical="center"/>
    </xf>
    <xf numFmtId="0" fontId="87" fillId="0" borderId="6" xfId="0" applyFont="1" applyFill="1" applyBorder="1" applyAlignment="1">
      <alignment horizontal="center" vertical="center"/>
    </xf>
    <xf numFmtId="0" fontId="1" fillId="0" borderId="10" xfId="0" applyFont="1" applyFill="1" applyBorder="1" applyAlignment="1">
      <alignment horizontal="center" vertical="center" wrapText="1"/>
    </xf>
    <xf numFmtId="0" fontId="1" fillId="0" borderId="13" xfId="0" applyFont="1" applyFill="1" applyBorder="1" applyAlignment="1">
      <alignment horizontal="center" vertical="center" wrapText="1"/>
    </xf>
    <xf numFmtId="0" fontId="1" fillId="0" borderId="11" xfId="0" applyFont="1" applyFill="1" applyBorder="1" applyAlignment="1">
      <alignment horizontal="center" vertical="center" wrapText="1"/>
    </xf>
    <xf numFmtId="0" fontId="1" fillId="0" borderId="6" xfId="0" applyFont="1" applyFill="1" applyBorder="1" applyAlignment="1">
      <alignment horizontal="center" vertical="center" wrapText="1"/>
    </xf>
    <xf numFmtId="0" fontId="0" fillId="0" borderId="3" xfId="0" applyFill="1" applyBorder="1" applyAlignment="1">
      <alignment horizontal="center" vertical="center"/>
    </xf>
    <xf numFmtId="0" fontId="0" fillId="0" borderId="7" xfId="0" applyFill="1" applyBorder="1" applyAlignment="1">
      <alignment horizontal="center" vertical="center"/>
    </xf>
    <xf numFmtId="0" fontId="11" fillId="0" borderId="5" xfId="0" applyFont="1" applyFill="1" applyBorder="1" applyAlignment="1">
      <alignment horizontal="right" vertical="center"/>
    </xf>
    <xf numFmtId="0" fontId="0" fillId="0" borderId="12" xfId="0" applyFill="1" applyBorder="1" applyAlignment="1">
      <alignment horizontal="center" vertical="center" wrapText="1"/>
    </xf>
    <xf numFmtId="177" fontId="86" fillId="0" borderId="4" xfId="0" applyNumberFormat="1" applyFont="1" applyFill="1" applyBorder="1" applyAlignment="1" applyProtection="1">
      <alignment horizontal="center" vertical="center"/>
      <protection hidden="1"/>
    </xf>
    <xf numFmtId="0" fontId="125" fillId="2" borderId="1" xfId="0" applyFont="1" applyFill="1" applyBorder="1" applyAlignment="1">
      <alignment horizontal="center" vertical="center" wrapText="1"/>
    </xf>
    <xf numFmtId="0" fontId="87" fillId="2" borderId="1" xfId="0" applyFont="1" applyFill="1" applyBorder="1" applyAlignment="1">
      <alignment horizontal="center" vertical="center" wrapText="1"/>
    </xf>
    <xf numFmtId="10" fontId="87" fillId="15" borderId="8" xfId="0" applyNumberFormat="1" applyFont="1" applyFill="1" applyBorder="1" applyAlignment="1">
      <alignment horizontal="center" vertical="center"/>
    </xf>
    <xf numFmtId="0" fontId="0" fillId="0" borderId="8" xfId="0" applyFill="1" applyBorder="1" applyAlignment="1">
      <alignment vertical="center"/>
    </xf>
    <xf numFmtId="0" fontId="11" fillId="5" borderId="9" xfId="0" applyFont="1" applyFill="1" applyBorder="1" applyAlignment="1">
      <alignment horizontal="center" vertical="center"/>
    </xf>
    <xf numFmtId="0" fontId="11" fillId="5" borderId="12" xfId="0" applyFont="1" applyFill="1" applyBorder="1" applyAlignment="1">
      <alignment horizontal="center" vertical="center"/>
    </xf>
    <xf numFmtId="177" fontId="9" fillId="0" borderId="4" xfId="0" applyNumberFormat="1" applyFont="1" applyBorder="1" applyAlignment="1">
      <alignment horizontal="right" vertical="center"/>
    </xf>
    <xf numFmtId="0" fontId="0" fillId="0" borderId="3" xfId="0" applyBorder="1" applyAlignment="1">
      <alignment horizontal="right" vertical="center"/>
    </xf>
    <xf numFmtId="0" fontId="87" fillId="2" borderId="1" xfId="0" applyFont="1" applyFill="1" applyBorder="1" applyAlignment="1">
      <alignment horizontal="center" vertical="center"/>
    </xf>
    <xf numFmtId="0" fontId="26" fillId="2" borderId="1" xfId="0" applyFont="1" applyFill="1" applyBorder="1" applyAlignment="1">
      <alignment horizontal="center" vertical="center" wrapText="1"/>
    </xf>
    <xf numFmtId="0" fontId="87" fillId="2" borderId="10" xfId="0" applyFont="1" applyFill="1" applyBorder="1" applyAlignment="1">
      <alignment horizontal="center" vertical="center"/>
    </xf>
    <xf numFmtId="0" fontId="87" fillId="2" borderId="14" xfId="0" applyFont="1" applyFill="1" applyBorder="1" applyAlignment="1">
      <alignment horizontal="center" vertical="center"/>
    </xf>
    <xf numFmtId="0" fontId="87" fillId="2" borderId="13" xfId="0" applyFont="1" applyFill="1" applyBorder="1" applyAlignment="1">
      <alignment horizontal="center" vertical="center"/>
    </xf>
    <xf numFmtId="0" fontId="87" fillId="2" borderId="11" xfId="0" applyFont="1" applyFill="1" applyBorder="1" applyAlignment="1">
      <alignment horizontal="center" vertical="center"/>
    </xf>
    <xf numFmtId="0" fontId="87" fillId="2" borderId="2" xfId="0" applyFont="1" applyFill="1" applyBorder="1" applyAlignment="1">
      <alignment horizontal="center" vertical="center"/>
    </xf>
    <xf numFmtId="0" fontId="87" fillId="2" borderId="6" xfId="0" applyFont="1" applyFill="1" applyBorder="1" applyAlignment="1">
      <alignment horizontal="center" vertical="center"/>
    </xf>
    <xf numFmtId="0" fontId="76" fillId="2" borderId="9" xfId="0" applyFont="1" applyFill="1" applyBorder="1" applyAlignment="1">
      <alignment horizontal="center" vertical="center"/>
    </xf>
    <xf numFmtId="0" fontId="76" fillId="2" borderId="12" xfId="0" applyFont="1" applyFill="1" applyBorder="1" applyAlignment="1">
      <alignment horizontal="center" vertical="center"/>
    </xf>
    <xf numFmtId="0" fontId="76" fillId="2" borderId="4" xfId="0" applyFont="1" applyFill="1" applyBorder="1" applyAlignment="1">
      <alignment horizontal="center"/>
    </xf>
    <xf numFmtId="0" fontId="76" fillId="2" borderId="3" xfId="0" applyFont="1" applyFill="1" applyBorder="1" applyAlignment="1">
      <alignment horizontal="center"/>
    </xf>
    <xf numFmtId="0" fontId="76" fillId="2" borderId="7" xfId="0" applyFont="1" applyFill="1" applyBorder="1" applyAlignment="1">
      <alignment horizontal="center"/>
    </xf>
    <xf numFmtId="0" fontId="0" fillId="15" borderId="8" xfId="0" applyFill="1" applyBorder="1" applyAlignment="1">
      <alignment vertical="center"/>
    </xf>
    <xf numFmtId="0" fontId="0" fillId="15" borderId="12" xfId="0" applyFill="1" applyBorder="1" applyAlignment="1">
      <alignment vertical="center"/>
    </xf>
    <xf numFmtId="0" fontId="0" fillId="0" borderId="4" xfId="0" applyBorder="1" applyAlignment="1">
      <alignment horizontal="center" vertical="center"/>
    </xf>
    <xf numFmtId="0" fontId="122" fillId="2" borderId="9" xfId="0" applyFont="1" applyFill="1" applyBorder="1" applyAlignment="1">
      <alignment horizontal="center" vertical="center" wrapText="1"/>
    </xf>
    <xf numFmtId="0" fontId="122" fillId="2" borderId="12" xfId="0" applyFont="1" applyFill="1" applyBorder="1" applyAlignment="1">
      <alignment horizontal="center" vertical="center" wrapText="1"/>
    </xf>
    <xf numFmtId="0" fontId="1" fillId="2" borderId="1" xfId="0" applyFont="1" applyFill="1" applyBorder="1" applyAlignment="1">
      <alignment horizontal="center" vertical="center" wrapText="1"/>
    </xf>
    <xf numFmtId="0" fontId="76" fillId="2" borderId="1" xfId="0" applyFont="1" applyFill="1" applyBorder="1" applyAlignment="1">
      <alignment horizontal="center" vertical="center" wrapText="1"/>
    </xf>
    <xf numFmtId="177" fontId="86" fillId="7" borderId="4" xfId="0" applyNumberFormat="1" applyFont="1" applyFill="1" applyBorder="1" applyAlignment="1" applyProtection="1">
      <alignment horizontal="center" vertical="center"/>
      <protection hidden="1"/>
    </xf>
    <xf numFmtId="0" fontId="1" fillId="0" borderId="9" xfId="0" applyFont="1" applyBorder="1" applyAlignment="1">
      <alignment horizontal="center" vertical="center"/>
    </xf>
    <xf numFmtId="0" fontId="0" fillId="0" borderId="12" xfId="0" applyFont="1" applyBorder="1" applyAlignment="1">
      <alignment horizontal="center" vertical="center"/>
    </xf>
    <xf numFmtId="0" fontId="122" fillId="0" borderId="9" xfId="0" applyFont="1" applyBorder="1" applyAlignment="1">
      <alignment horizontal="left" vertical="center" wrapText="1"/>
    </xf>
    <xf numFmtId="0" fontId="76" fillId="0" borderId="12" xfId="0" applyFont="1" applyBorder="1" applyAlignment="1">
      <alignment horizontal="left" vertical="center" wrapText="1"/>
    </xf>
    <xf numFmtId="0" fontId="1" fillId="0" borderId="3" xfId="0" applyFont="1" applyBorder="1" applyAlignment="1">
      <alignment horizontal="right" vertical="center"/>
    </xf>
    <xf numFmtId="0" fontId="1" fillId="0" borderId="4" xfId="0" applyFont="1" applyBorder="1" applyAlignment="1">
      <alignment horizontal="right" vertical="center"/>
    </xf>
    <xf numFmtId="0" fontId="87" fillId="15" borderId="9" xfId="0" applyFont="1" applyFill="1" applyBorder="1" applyAlignment="1"/>
    <xf numFmtId="0" fontId="0" fillId="15" borderId="12" xfId="0" applyFill="1" applyBorder="1" applyAlignment="1"/>
    <xf numFmtId="0" fontId="1" fillId="0" borderId="4" xfId="0" applyFont="1" applyFill="1" applyBorder="1" applyAlignment="1">
      <alignment horizontal="right" vertical="center"/>
    </xf>
    <xf numFmtId="0" fontId="1" fillId="0" borderId="3" xfId="0" applyFont="1" applyFill="1" applyBorder="1" applyAlignment="1">
      <alignment horizontal="right" vertical="center"/>
    </xf>
    <xf numFmtId="177" fontId="9" fillId="0" borderId="3" xfId="0" applyNumberFormat="1" applyFont="1" applyFill="1" applyBorder="1" applyAlignment="1">
      <alignment horizontal="left" vertical="center"/>
    </xf>
    <xf numFmtId="177" fontId="9" fillId="0" borderId="3" xfId="0" applyNumberFormat="1" applyFont="1" applyBorder="1" applyAlignment="1">
      <alignment horizontal="left" vertical="center"/>
    </xf>
    <xf numFmtId="0" fontId="0" fillId="0" borderId="7" xfId="0" applyBorder="1" applyAlignment="1">
      <alignment vertical="center"/>
    </xf>
    <xf numFmtId="0" fontId="11" fillId="2" borderId="9" xfId="13" applyFont="1" applyFill="1" applyBorder="1" applyAlignment="1">
      <alignment horizontal="center" vertical="center"/>
    </xf>
    <xf numFmtId="0" fontId="11" fillId="2" borderId="8" xfId="13" applyFont="1" applyFill="1" applyBorder="1" applyAlignment="1">
      <alignment horizontal="center" vertical="center"/>
    </xf>
    <xf numFmtId="0" fontId="11" fillId="2" borderId="12" xfId="13" applyFont="1" applyFill="1" applyBorder="1" applyAlignment="1">
      <alignment horizontal="center" vertical="center"/>
    </xf>
    <xf numFmtId="176" fontId="11" fillId="2" borderId="9" xfId="13" applyNumberFormat="1" applyFont="1" applyFill="1" applyBorder="1" applyAlignment="1">
      <alignment horizontal="center" vertical="center"/>
    </xf>
    <xf numFmtId="176" fontId="11" fillId="2" borderId="8" xfId="13" applyNumberFormat="1" applyFont="1" applyFill="1" applyBorder="1" applyAlignment="1">
      <alignment horizontal="center" vertical="center"/>
    </xf>
    <xf numFmtId="176" fontId="11" fillId="2" borderId="12" xfId="13" applyNumberFormat="1" applyFont="1" applyFill="1" applyBorder="1" applyAlignment="1">
      <alignment horizontal="center" vertical="center"/>
    </xf>
    <xf numFmtId="0" fontId="183" fillId="0" borderId="4" xfId="13" applyBorder="1" applyAlignment="1">
      <alignment horizontal="center" vertical="center"/>
    </xf>
    <xf numFmtId="0" fontId="183" fillId="0" borderId="7" xfId="13" applyBorder="1" applyAlignment="1">
      <alignment horizontal="center" vertical="center"/>
    </xf>
    <xf numFmtId="0" fontId="183" fillId="0" borderId="0" xfId="13" applyFont="1" applyAlignment="1">
      <alignment horizontal="left"/>
    </xf>
    <xf numFmtId="0" fontId="183" fillId="0" borderId="0" xfId="13" applyAlignment="1">
      <alignment horizontal="left"/>
    </xf>
    <xf numFmtId="0" fontId="11" fillId="5" borderId="9" xfId="13" applyFont="1" applyFill="1" applyBorder="1" applyAlignment="1">
      <alignment horizontal="center" vertical="center"/>
    </xf>
    <xf numFmtId="0" fontId="11" fillId="5" borderId="8" xfId="13" applyFont="1" applyFill="1" applyBorder="1" applyAlignment="1">
      <alignment horizontal="center" vertical="center"/>
    </xf>
    <xf numFmtId="0" fontId="11" fillId="5" borderId="12" xfId="13" applyFont="1" applyFill="1" applyBorder="1" applyAlignment="1">
      <alignment horizontal="center" vertical="center"/>
    </xf>
    <xf numFmtId="0" fontId="183" fillId="2" borderId="9" xfId="13" applyFill="1" applyBorder="1" applyAlignment="1">
      <alignment horizontal="center" vertical="center" wrapText="1"/>
    </xf>
    <xf numFmtId="0" fontId="183" fillId="2" borderId="12" xfId="13" applyFill="1" applyBorder="1" applyAlignment="1">
      <alignment horizontal="center" vertical="center" wrapText="1"/>
    </xf>
    <xf numFmtId="0" fontId="183" fillId="2" borderId="10" xfId="13" applyFont="1" applyFill="1" applyBorder="1" applyAlignment="1">
      <alignment horizontal="center" vertical="center"/>
    </xf>
    <xf numFmtId="0" fontId="183" fillId="2" borderId="13" xfId="13" applyFill="1" applyBorder="1" applyAlignment="1">
      <alignment horizontal="center" vertical="center"/>
    </xf>
    <xf numFmtId="0" fontId="183" fillId="2" borderId="11" xfId="13" applyFill="1" applyBorder="1" applyAlignment="1">
      <alignment horizontal="center" vertical="center"/>
    </xf>
    <xf numFmtId="0" fontId="183" fillId="2" borderId="6" xfId="13" applyFill="1" applyBorder="1" applyAlignment="1">
      <alignment horizontal="center" vertical="center"/>
    </xf>
    <xf numFmtId="0" fontId="183" fillId="0" borderId="10" xfId="13" applyBorder="1" applyAlignment="1">
      <alignment horizontal="center" vertical="center"/>
    </xf>
    <xf numFmtId="0" fontId="183" fillId="0" borderId="14" xfId="13" applyBorder="1" applyAlignment="1">
      <alignment horizontal="center" vertical="center"/>
    </xf>
    <xf numFmtId="0" fontId="183" fillId="0" borderId="13" xfId="13" applyBorder="1" applyAlignment="1">
      <alignment horizontal="center" vertical="center"/>
    </xf>
    <xf numFmtId="0" fontId="183" fillId="0" borderId="11" xfId="13" applyBorder="1" applyAlignment="1">
      <alignment horizontal="center" vertical="center"/>
    </xf>
    <xf numFmtId="0" fontId="183" fillId="0" borderId="2" xfId="13" applyBorder="1" applyAlignment="1">
      <alignment horizontal="center" vertical="center"/>
    </xf>
    <xf numFmtId="0" fontId="183" fillId="0" borderId="6" xfId="13" applyBorder="1" applyAlignment="1">
      <alignment horizontal="center" vertical="center"/>
    </xf>
    <xf numFmtId="179" fontId="11" fillId="4" borderId="4" xfId="13" applyNumberFormat="1" applyFont="1" applyFill="1" applyBorder="1" applyAlignment="1">
      <alignment horizontal="center" vertical="center"/>
    </xf>
    <xf numFmtId="179" fontId="11" fillId="4" borderId="7" xfId="13" applyNumberFormat="1" applyFont="1" applyFill="1" applyBorder="1" applyAlignment="1">
      <alignment horizontal="center" vertical="center"/>
    </xf>
    <xf numFmtId="178" fontId="11" fillId="7" borderId="4" xfId="13" applyNumberFormat="1" applyFont="1" applyFill="1" applyBorder="1" applyAlignment="1">
      <alignment horizontal="center" vertical="center"/>
    </xf>
    <xf numFmtId="178" fontId="11" fillId="7" borderId="3" xfId="13" applyNumberFormat="1" applyFont="1" applyFill="1" applyBorder="1" applyAlignment="1">
      <alignment horizontal="center" vertical="center"/>
    </xf>
    <xf numFmtId="176" fontId="11" fillId="7" borderId="4" xfId="13" applyNumberFormat="1" applyFont="1" applyFill="1" applyBorder="1" applyAlignment="1">
      <alignment horizontal="center" vertical="center"/>
    </xf>
    <xf numFmtId="176" fontId="11" fillId="7" borderId="7" xfId="13" applyNumberFormat="1" applyFont="1" applyFill="1" applyBorder="1" applyAlignment="1">
      <alignment horizontal="center" vertical="center"/>
    </xf>
    <xf numFmtId="176" fontId="11" fillId="5" borderId="9" xfId="13" applyNumberFormat="1" applyFont="1" applyFill="1" applyBorder="1" applyAlignment="1">
      <alignment horizontal="center" vertical="center"/>
    </xf>
    <xf numFmtId="176" fontId="11" fillId="5" borderId="8" xfId="13" applyNumberFormat="1" applyFont="1" applyFill="1" applyBorder="1" applyAlignment="1">
      <alignment horizontal="center" vertical="center"/>
    </xf>
    <xf numFmtId="176" fontId="11" fillId="5" borderId="12" xfId="13" applyNumberFormat="1" applyFont="1" applyFill="1" applyBorder="1" applyAlignment="1">
      <alignment horizontal="center" vertical="center"/>
    </xf>
    <xf numFmtId="0" fontId="11" fillId="11" borderId="9" xfId="13" applyFont="1" applyFill="1" applyBorder="1" applyAlignment="1">
      <alignment horizontal="center" vertical="center"/>
    </xf>
    <xf numFmtId="0" fontId="11" fillId="11" borderId="8" xfId="13" applyFont="1" applyFill="1" applyBorder="1" applyAlignment="1">
      <alignment horizontal="center" vertical="center"/>
    </xf>
    <xf numFmtId="0" fontId="11" fillId="11" borderId="12" xfId="13" applyFont="1" applyFill="1" applyBorder="1" applyAlignment="1">
      <alignment horizontal="center" vertical="center"/>
    </xf>
    <xf numFmtId="176" fontId="11" fillId="11" borderId="9" xfId="13" applyNumberFormat="1" applyFont="1" applyFill="1" applyBorder="1" applyAlignment="1">
      <alignment horizontal="center" vertical="center"/>
    </xf>
    <xf numFmtId="176" fontId="11" fillId="11" borderId="8" xfId="13" applyNumberFormat="1" applyFont="1" applyFill="1" applyBorder="1" applyAlignment="1">
      <alignment horizontal="center" vertical="center"/>
    </xf>
    <xf numFmtId="176" fontId="11" fillId="11" borderId="12" xfId="13" applyNumberFormat="1" applyFont="1" applyFill="1" applyBorder="1" applyAlignment="1">
      <alignment horizontal="center" vertical="center"/>
    </xf>
    <xf numFmtId="0" fontId="183" fillId="0" borderId="9" xfId="13" applyFill="1" applyBorder="1" applyAlignment="1">
      <alignment horizontal="center" vertical="center" wrapText="1"/>
    </xf>
    <xf numFmtId="0" fontId="183" fillId="0" borderId="12" xfId="13" applyFill="1" applyBorder="1" applyAlignment="1">
      <alignment horizontal="center" vertical="center" wrapText="1"/>
    </xf>
    <xf numFmtId="0" fontId="183" fillId="0" borderId="10" xfId="13" applyFont="1" applyFill="1" applyBorder="1" applyAlignment="1">
      <alignment horizontal="center" vertical="center"/>
    </xf>
    <xf numFmtId="0" fontId="183" fillId="0" borderId="13" xfId="13" applyFill="1" applyBorder="1" applyAlignment="1">
      <alignment horizontal="center" vertical="center"/>
    </xf>
    <xf numFmtId="0" fontId="183" fillId="0" borderId="11" xfId="13" applyFill="1" applyBorder="1" applyAlignment="1">
      <alignment horizontal="center" vertical="center"/>
    </xf>
    <xf numFmtId="0" fontId="183" fillId="0" borderId="6" xfId="13" applyFill="1" applyBorder="1" applyAlignment="1">
      <alignment horizontal="center" vertical="center"/>
    </xf>
    <xf numFmtId="0" fontId="183" fillId="0" borderId="4" xfId="13" applyFont="1" applyBorder="1" applyAlignment="1">
      <alignment horizontal="right" vertical="center"/>
    </xf>
    <xf numFmtId="0" fontId="183" fillId="0" borderId="3" xfId="13" applyBorder="1" applyAlignment="1">
      <alignment horizontal="right" vertical="center"/>
    </xf>
    <xf numFmtId="177" fontId="16" fillId="0" borderId="3" xfId="13" applyNumberFormat="1" applyFont="1" applyBorder="1" applyAlignment="1">
      <alignment horizontal="left" vertical="center"/>
    </xf>
    <xf numFmtId="0" fontId="183" fillId="0" borderId="10" xfId="13" applyFont="1" applyBorder="1" applyAlignment="1">
      <alignment horizontal="center" vertical="center"/>
    </xf>
    <xf numFmtId="0" fontId="183" fillId="0" borderId="13" xfId="13" applyFont="1" applyBorder="1" applyAlignment="1">
      <alignment horizontal="center" vertical="center"/>
    </xf>
    <xf numFmtId="0" fontId="183" fillId="0" borderId="11" xfId="13" applyFont="1" applyBorder="1" applyAlignment="1">
      <alignment horizontal="center" vertical="center"/>
    </xf>
    <xf numFmtId="0" fontId="183" fillId="0" borderId="6" xfId="13" applyFont="1" applyBorder="1" applyAlignment="1">
      <alignment horizontal="center" vertical="center"/>
    </xf>
    <xf numFmtId="176" fontId="11" fillId="2" borderId="4" xfId="13" applyNumberFormat="1" applyFont="1" applyFill="1" applyBorder="1" applyAlignment="1">
      <alignment horizontal="center" vertical="center"/>
    </xf>
    <xf numFmtId="176" fontId="11" fillId="2" borderId="7" xfId="13" applyNumberFormat="1" applyFont="1" applyFill="1" applyBorder="1" applyAlignment="1">
      <alignment horizontal="center" vertical="center"/>
    </xf>
    <xf numFmtId="0" fontId="183" fillId="2" borderId="9" xfId="13" applyFont="1" applyFill="1" applyBorder="1" applyAlignment="1">
      <alignment horizontal="center" vertical="center"/>
    </xf>
    <xf numFmtId="0" fontId="183" fillId="2" borderId="12" xfId="13" applyFill="1" applyBorder="1" applyAlignment="1">
      <alignment horizontal="center" vertical="center"/>
    </xf>
    <xf numFmtId="0" fontId="192" fillId="2" borderId="9" xfId="13" applyFont="1" applyFill="1" applyBorder="1" applyAlignment="1">
      <alignment horizontal="center" vertical="center"/>
    </xf>
    <xf numFmtId="0" fontId="192" fillId="2" borderId="12" xfId="13" applyFont="1" applyFill="1" applyBorder="1" applyAlignment="1">
      <alignment horizontal="center" vertical="center"/>
    </xf>
    <xf numFmtId="0" fontId="191" fillId="2" borderId="1" xfId="13" applyFont="1" applyFill="1" applyBorder="1" applyAlignment="1">
      <alignment horizontal="center" vertical="center" wrapText="1"/>
    </xf>
    <xf numFmtId="0" fontId="183" fillId="2" borderId="13" xfId="13" applyFont="1" applyFill="1" applyBorder="1" applyAlignment="1">
      <alignment horizontal="center" vertical="center"/>
    </xf>
    <xf numFmtId="0" fontId="183" fillId="2" borderId="11" xfId="13" applyFont="1" applyFill="1" applyBorder="1" applyAlignment="1">
      <alignment horizontal="center" vertical="center"/>
    </xf>
    <xf numFmtId="0" fontId="183" fillId="2" borderId="6" xfId="13" applyFont="1" applyFill="1" applyBorder="1" applyAlignment="1">
      <alignment horizontal="center" vertical="center"/>
    </xf>
    <xf numFmtId="0" fontId="11" fillId="0" borderId="9" xfId="13" applyFont="1" applyBorder="1" applyAlignment="1">
      <alignment horizontal="center" vertical="center"/>
    </xf>
    <xf numFmtId="0" fontId="11" fillId="0" borderId="8" xfId="13" applyFont="1" applyBorder="1" applyAlignment="1">
      <alignment horizontal="center" vertical="center"/>
    </xf>
    <xf numFmtId="0" fontId="11" fillId="0" borderId="12" xfId="13" applyFont="1" applyBorder="1" applyAlignment="1">
      <alignment horizontal="center" vertical="center"/>
    </xf>
    <xf numFmtId="176" fontId="11" fillId="0" borderId="9" xfId="13" applyNumberFormat="1" applyFont="1" applyBorder="1" applyAlignment="1">
      <alignment horizontal="center" vertical="center"/>
    </xf>
    <xf numFmtId="176" fontId="11" fillId="0" borderId="8" xfId="13" applyNumberFormat="1" applyFont="1" applyBorder="1" applyAlignment="1">
      <alignment horizontal="center" vertical="center"/>
    </xf>
    <xf numFmtId="176" fontId="11" fillId="0" borderId="12" xfId="13" applyNumberFormat="1" applyFont="1" applyBorder="1" applyAlignment="1">
      <alignment horizontal="center" vertical="center"/>
    </xf>
    <xf numFmtId="176" fontId="11" fillId="0" borderId="4" xfId="13" applyNumberFormat="1" applyFont="1" applyBorder="1" applyAlignment="1">
      <alignment horizontal="center" vertical="center"/>
    </xf>
    <xf numFmtId="176" fontId="11" fillId="0" borderId="7" xfId="13" applyNumberFormat="1" applyFont="1" applyBorder="1" applyAlignment="1">
      <alignment horizontal="center" vertical="center"/>
    </xf>
    <xf numFmtId="0" fontId="183" fillId="0" borderId="3" xfId="13" applyFont="1" applyBorder="1" applyAlignment="1"/>
    <xf numFmtId="0" fontId="183" fillId="0" borderId="3" xfId="13" applyBorder="1" applyAlignment="1"/>
    <xf numFmtId="0" fontId="183" fillId="0" borderId="9" xfId="13" applyFont="1" applyBorder="1" applyAlignment="1">
      <alignment horizontal="center" vertical="center"/>
    </xf>
    <xf numFmtId="0" fontId="183" fillId="0" borderId="12" xfId="13" applyBorder="1" applyAlignment="1">
      <alignment horizontal="center" vertical="center"/>
    </xf>
    <xf numFmtId="0" fontId="183" fillId="0" borderId="9" xfId="13" applyBorder="1" applyAlignment="1">
      <alignment horizontal="center" vertical="center" wrapText="1"/>
    </xf>
    <xf numFmtId="0" fontId="183" fillId="0" borderId="12" xfId="13" applyBorder="1" applyAlignment="1">
      <alignment horizontal="center" vertical="center" wrapText="1"/>
    </xf>
    <xf numFmtId="0" fontId="183" fillId="0" borderId="3" xfId="13" applyBorder="1" applyAlignment="1">
      <alignment vertical="center"/>
    </xf>
    <xf numFmtId="0" fontId="183" fillId="0" borderId="7" xfId="13" applyBorder="1" applyAlignment="1">
      <alignment vertical="center"/>
    </xf>
    <xf numFmtId="0" fontId="9" fillId="0" borderId="9" xfId="0" applyFont="1" applyBorder="1" applyAlignment="1">
      <alignment horizontal="center" vertical="center" wrapText="1"/>
    </xf>
    <xf numFmtId="0" fontId="79" fillId="0" borderId="12" xfId="0" applyFont="1" applyBorder="1" applyAlignment="1">
      <alignment horizontal="center" vertical="center" wrapText="1"/>
    </xf>
    <xf numFmtId="0" fontId="76" fillId="0" borderId="9" xfId="0" applyFont="1" applyBorder="1" applyAlignment="1"/>
    <xf numFmtId="0" fontId="0" fillId="0" borderId="8" xfId="0" applyBorder="1" applyAlignment="1"/>
    <xf numFmtId="0" fontId="0" fillId="0" borderId="12" xfId="0" applyBorder="1" applyAlignment="1"/>
    <xf numFmtId="0" fontId="76" fillId="0" borderId="10" xfId="0" applyFont="1" applyFill="1" applyBorder="1" applyAlignment="1">
      <alignment horizontal="right" vertical="center"/>
    </xf>
    <xf numFmtId="0" fontId="76" fillId="0" borderId="11" xfId="0" applyFont="1" applyFill="1" applyBorder="1" applyAlignment="1">
      <alignment horizontal="right" vertical="center"/>
    </xf>
    <xf numFmtId="181" fontId="11" fillId="0" borderId="4" xfId="0" applyNumberFormat="1" applyFont="1" applyFill="1" applyBorder="1" applyAlignment="1">
      <alignment horizontal="center" vertical="center"/>
    </xf>
    <xf numFmtId="181" fontId="11" fillId="0" borderId="7" xfId="0" applyNumberFormat="1" applyFont="1" applyFill="1" applyBorder="1" applyAlignment="1">
      <alignment horizontal="center" vertical="center"/>
    </xf>
    <xf numFmtId="0" fontId="79" fillId="0" borderId="9" xfId="0" applyFont="1" applyBorder="1" applyAlignment="1">
      <alignment horizontal="center" vertical="center" wrapText="1"/>
    </xf>
    <xf numFmtId="0" fontId="79" fillId="0" borderId="4" xfId="0" applyFont="1" applyBorder="1" applyAlignment="1">
      <alignment horizontal="center"/>
    </xf>
    <xf numFmtId="0" fontId="79" fillId="0" borderId="7" xfId="0" applyFont="1" applyBorder="1" applyAlignment="1">
      <alignment horizontal="center"/>
    </xf>
    <xf numFmtId="0" fontId="79" fillId="0" borderId="1" xfId="0" applyFont="1" applyFill="1" applyBorder="1" applyAlignment="1">
      <alignment horizontal="center" vertical="center" wrapText="1"/>
    </xf>
    <xf numFmtId="0" fontId="9" fillId="0" borderId="9" xfId="0" applyFont="1" applyFill="1" applyBorder="1" applyAlignment="1">
      <alignment horizontal="center" vertical="center"/>
    </xf>
    <xf numFmtId="0" fontId="79" fillId="0" borderId="12" xfId="0" applyFont="1" applyFill="1" applyBorder="1" applyAlignment="1">
      <alignment horizontal="center" vertical="center"/>
    </xf>
    <xf numFmtId="0" fontId="79" fillId="0" borderId="9" xfId="0" applyFont="1" applyBorder="1" applyAlignment="1">
      <alignment horizontal="center" vertical="center"/>
    </xf>
    <xf numFmtId="0" fontId="79" fillId="0" borderId="12" xfId="0" applyFont="1" applyBorder="1" applyAlignment="1">
      <alignment horizontal="center" vertical="center"/>
    </xf>
    <xf numFmtId="0" fontId="79" fillId="0" borderId="3" xfId="0" applyFont="1" applyBorder="1" applyAlignment="1">
      <alignment horizontal="center"/>
    </xf>
    <xf numFmtId="0" fontId="9" fillId="0" borderId="10" xfId="0" applyFont="1" applyBorder="1" applyAlignment="1">
      <alignment horizontal="center" vertical="center"/>
    </xf>
    <xf numFmtId="0" fontId="79" fillId="0" borderId="13" xfId="0" applyFont="1" applyBorder="1" applyAlignment="1">
      <alignment horizontal="center" vertical="center"/>
    </xf>
    <xf numFmtId="0" fontId="79" fillId="0" borderId="11" xfId="0" applyFont="1" applyBorder="1" applyAlignment="1">
      <alignment horizontal="center" vertical="center"/>
    </xf>
    <xf numFmtId="0" fontId="79" fillId="0" borderId="6" xfId="0" applyFont="1" applyBorder="1" applyAlignment="1">
      <alignment horizontal="center" vertical="center"/>
    </xf>
    <xf numFmtId="0" fontId="76" fillId="0" borderId="5" xfId="0" applyFont="1" applyFill="1" applyBorder="1" applyAlignment="1">
      <alignment horizontal="right"/>
    </xf>
    <xf numFmtId="0" fontId="76" fillId="0" borderId="11" xfId="0" applyFont="1" applyFill="1" applyBorder="1" applyAlignment="1">
      <alignment horizontal="right"/>
    </xf>
    <xf numFmtId="0" fontId="76" fillId="0" borderId="16" xfId="0" applyFont="1" applyFill="1" applyBorder="1" applyAlignment="1">
      <alignment horizontal="left"/>
    </xf>
    <xf numFmtId="0" fontId="76" fillId="0" borderId="6" xfId="0" applyFont="1" applyFill="1" applyBorder="1" applyAlignment="1">
      <alignment horizontal="left"/>
    </xf>
    <xf numFmtId="0" fontId="0" fillId="0" borderId="4" xfId="0" applyBorder="1" applyAlignment="1">
      <alignment horizontal="right" vertical="center"/>
    </xf>
    <xf numFmtId="10" fontId="1" fillId="0" borderId="3" xfId="0" applyNumberFormat="1" applyFont="1" applyBorder="1" applyAlignment="1" applyProtection="1">
      <alignment horizontal="center" vertical="center"/>
      <protection hidden="1"/>
    </xf>
    <xf numFmtId="0" fontId="11" fillId="0" borderId="10" xfId="0" applyFont="1" applyFill="1" applyBorder="1" applyAlignment="1">
      <alignment horizontal="center" vertical="center"/>
    </xf>
    <xf numFmtId="0" fontId="11" fillId="0" borderId="11" xfId="0" applyFont="1" applyFill="1" applyBorder="1" applyAlignment="1">
      <alignment horizontal="center" vertical="center"/>
    </xf>
    <xf numFmtId="219" fontId="76" fillId="3" borderId="9" xfId="0" applyNumberFormat="1" applyFont="1" applyFill="1" applyBorder="1" applyAlignment="1">
      <alignment horizontal="center" vertical="center"/>
    </xf>
    <xf numFmtId="219" fontId="76" fillId="3" borderId="8" xfId="0" applyNumberFormat="1" applyFont="1" applyFill="1" applyBorder="1" applyAlignment="1">
      <alignment horizontal="center" vertical="center"/>
    </xf>
    <xf numFmtId="219" fontId="76" fillId="3" borderId="12" xfId="0" applyNumberFormat="1" applyFont="1" applyFill="1" applyBorder="1" applyAlignment="1">
      <alignment horizontal="center" vertical="center"/>
    </xf>
    <xf numFmtId="181" fontId="11" fillId="7" borderId="4" xfId="0" applyNumberFormat="1" applyFont="1" applyFill="1" applyBorder="1" applyAlignment="1">
      <alignment horizontal="center" vertical="center"/>
    </xf>
    <xf numFmtId="181" fontId="11" fillId="7" borderId="7" xfId="0" applyNumberFormat="1" applyFont="1" applyFill="1" applyBorder="1" applyAlignment="1">
      <alignment horizontal="center" vertical="center"/>
    </xf>
    <xf numFmtId="219" fontId="76" fillId="15" borderId="9" xfId="0" applyNumberFormat="1" applyFont="1" applyFill="1" applyBorder="1" applyAlignment="1">
      <alignment horizontal="center" vertical="center"/>
    </xf>
    <xf numFmtId="219" fontId="76" fillId="15" borderId="12" xfId="0" applyNumberFormat="1" applyFont="1" applyFill="1" applyBorder="1" applyAlignment="1">
      <alignment horizontal="center" vertical="center"/>
    </xf>
    <xf numFmtId="0" fontId="76" fillId="0" borderId="4" xfId="0" applyFont="1" applyBorder="1" applyAlignment="1">
      <alignment horizontal="right" vertical="center"/>
    </xf>
    <xf numFmtId="0" fontId="76" fillId="0" borderId="3" xfId="0" applyFont="1" applyBorder="1" applyAlignment="1">
      <alignment horizontal="right" vertical="center"/>
    </xf>
    <xf numFmtId="181" fontId="76" fillId="0" borderId="3" xfId="0" applyNumberFormat="1" applyFont="1" applyBorder="1" applyAlignment="1" applyProtection="1">
      <alignment horizontal="center" vertical="center"/>
      <protection hidden="1"/>
    </xf>
    <xf numFmtId="181" fontId="76" fillId="0" borderId="3" xfId="0" applyNumberFormat="1" applyFont="1" applyBorder="1" applyAlignment="1" applyProtection="1">
      <alignment horizontal="left" vertical="center" readingOrder="1"/>
      <protection hidden="1"/>
    </xf>
    <xf numFmtId="0" fontId="11" fillId="5" borderId="6" xfId="0" applyFont="1" applyFill="1" applyBorder="1" applyAlignment="1">
      <alignment horizontal="left" vertical="center"/>
    </xf>
    <xf numFmtId="0" fontId="11" fillId="5" borderId="8" xfId="0" applyFont="1" applyFill="1" applyBorder="1" applyAlignment="1">
      <alignment horizontal="center" vertical="center"/>
    </xf>
    <xf numFmtId="0" fontId="11" fillId="5" borderId="10" xfId="0" applyFont="1" applyFill="1" applyBorder="1" applyAlignment="1">
      <alignment horizontal="center" vertical="center"/>
    </xf>
    <xf numFmtId="0" fontId="11" fillId="5" borderId="11" xfId="0" applyFont="1" applyFill="1" applyBorder="1" applyAlignment="1">
      <alignment horizontal="center" vertical="center"/>
    </xf>
    <xf numFmtId="0" fontId="76" fillId="5" borderId="10" xfId="0" applyFont="1" applyFill="1" applyBorder="1" applyAlignment="1">
      <alignment horizontal="right" vertical="center"/>
    </xf>
    <xf numFmtId="0" fontId="76" fillId="5" borderId="11" xfId="0" applyFont="1" applyFill="1" applyBorder="1" applyAlignment="1">
      <alignment horizontal="right" vertical="center"/>
    </xf>
    <xf numFmtId="0" fontId="76" fillId="5" borderId="16" xfId="0" applyFont="1" applyFill="1" applyBorder="1" applyAlignment="1">
      <alignment horizontal="left"/>
    </xf>
    <xf numFmtId="0" fontId="76" fillId="5" borderId="6" xfId="0" applyFont="1" applyFill="1" applyBorder="1" applyAlignment="1">
      <alignment horizontal="left"/>
    </xf>
    <xf numFmtId="219" fontId="11" fillId="15" borderId="9" xfId="0" applyNumberFormat="1" applyFont="1" applyFill="1" applyBorder="1" applyAlignment="1" applyProtection="1">
      <alignment horizontal="center" vertical="center"/>
      <protection hidden="1"/>
    </xf>
    <xf numFmtId="219" fontId="11" fillId="15" borderId="8" xfId="0" applyNumberFormat="1" applyFont="1" applyFill="1" applyBorder="1" applyAlignment="1" applyProtection="1">
      <alignment horizontal="center" vertical="center"/>
      <protection hidden="1"/>
    </xf>
    <xf numFmtId="219" fontId="11" fillId="15" borderId="12" xfId="0" applyNumberFormat="1" applyFont="1" applyFill="1" applyBorder="1" applyAlignment="1" applyProtection="1">
      <alignment horizontal="center" vertical="center"/>
      <protection hidden="1"/>
    </xf>
    <xf numFmtId="0" fontId="11" fillId="5" borderId="10" xfId="0" applyFont="1" applyFill="1" applyBorder="1" applyAlignment="1">
      <alignment horizontal="right" vertical="center"/>
    </xf>
    <xf numFmtId="0" fontId="76" fillId="5" borderId="5" xfId="0" applyFont="1" applyFill="1" applyBorder="1" applyAlignment="1">
      <alignment horizontal="right"/>
    </xf>
    <xf numFmtId="0" fontId="76" fillId="5" borderId="11" xfId="0" applyFont="1" applyFill="1" applyBorder="1" applyAlignment="1">
      <alignment horizontal="right"/>
    </xf>
    <xf numFmtId="0" fontId="78" fillId="0" borderId="1" xfId="0" applyFont="1" applyBorder="1" applyAlignment="1">
      <alignment horizontal="center"/>
    </xf>
    <xf numFmtId="0" fontId="76" fillId="0" borderId="1" xfId="0" applyFont="1" applyBorder="1" applyAlignment="1">
      <alignment horizontal="center"/>
    </xf>
    <xf numFmtId="0" fontId="0" fillId="0" borderId="4" xfId="0" applyBorder="1" applyAlignment="1">
      <alignment vertical="center"/>
    </xf>
    <xf numFmtId="0" fontId="0" fillId="0" borderId="3" xfId="0" applyBorder="1" applyAlignment="1">
      <alignment vertical="center"/>
    </xf>
    <xf numFmtId="0" fontId="21" fillId="0" borderId="1" xfId="3" applyFont="1" applyFill="1" applyBorder="1" applyAlignment="1" applyProtection="1">
      <alignment horizontal="center"/>
      <protection hidden="1"/>
    </xf>
    <xf numFmtId="180" fontId="11" fillId="3" borderId="9" xfId="3" applyNumberFormat="1" applyFont="1" applyFill="1" applyBorder="1" applyAlignment="1">
      <alignment horizontal="center" vertical="center"/>
    </xf>
    <xf numFmtId="180" fontId="11" fillId="3" borderId="8" xfId="3" applyNumberFormat="1" applyFont="1" applyFill="1" applyBorder="1" applyAlignment="1">
      <alignment horizontal="center" vertical="center"/>
    </xf>
    <xf numFmtId="180" fontId="11" fillId="3" borderId="12" xfId="3" applyNumberFormat="1" applyFont="1" applyFill="1" applyBorder="1" applyAlignment="1">
      <alignment horizontal="center" vertical="center"/>
    </xf>
    <xf numFmtId="180" fontId="11" fillId="3" borderId="1" xfId="3" applyNumberFormat="1" applyFont="1" applyFill="1" applyBorder="1" applyAlignment="1">
      <alignment horizontal="center" vertical="center"/>
    </xf>
    <xf numFmtId="0" fontId="191" fillId="0" borderId="1" xfId="3" applyFont="1" applyFill="1" applyBorder="1" applyAlignment="1">
      <alignment horizontal="center" vertical="center"/>
    </xf>
    <xf numFmtId="0" fontId="21" fillId="0" borderId="1" xfId="3" applyFont="1" applyFill="1" applyBorder="1" applyAlignment="1">
      <alignment horizontal="center"/>
    </xf>
    <xf numFmtId="176" fontId="21" fillId="5" borderId="8" xfId="3" applyNumberFormat="1" applyFont="1" applyFill="1" applyBorder="1" applyAlignment="1">
      <alignment horizontal="center" vertical="center"/>
    </xf>
    <xf numFmtId="176" fontId="21" fillId="5" borderId="12" xfId="3" applyNumberFormat="1" applyFont="1" applyFill="1" applyBorder="1" applyAlignment="1">
      <alignment horizontal="center" vertical="center"/>
    </xf>
    <xf numFmtId="0" fontId="191" fillId="0" borderId="0" xfId="3" applyFont="1" applyBorder="1" applyAlignment="1">
      <alignment horizontal="center"/>
    </xf>
    <xf numFmtId="177" fontId="21" fillId="17" borderId="4" xfId="3" applyNumberFormat="1" applyFont="1" applyFill="1" applyBorder="1" applyAlignment="1" applyProtection="1">
      <alignment horizontal="center" vertical="center"/>
      <protection hidden="1"/>
    </xf>
    <xf numFmtId="177" fontId="21" fillId="17" borderId="3" xfId="3" applyNumberFormat="1" applyFont="1" applyFill="1" applyBorder="1" applyAlignment="1" applyProtection="1">
      <alignment horizontal="center" vertical="center"/>
      <protection hidden="1"/>
    </xf>
    <xf numFmtId="177" fontId="21" fillId="17" borderId="7" xfId="3" applyNumberFormat="1" applyFont="1" applyFill="1" applyBorder="1" applyAlignment="1" applyProtection="1">
      <alignment horizontal="center" vertical="center"/>
      <protection hidden="1"/>
    </xf>
    <xf numFmtId="0" fontId="191" fillId="0" borderId="4" xfId="3" applyFont="1" applyFill="1" applyBorder="1" applyAlignment="1">
      <alignment horizontal="center" vertical="center"/>
    </xf>
    <xf numFmtId="0" fontId="191" fillId="0" borderId="3" xfId="3" applyFont="1" applyFill="1" applyBorder="1" applyAlignment="1">
      <alignment horizontal="center" vertical="center"/>
    </xf>
    <xf numFmtId="0" fontId="191" fillId="0" borderId="7" xfId="3" applyFont="1" applyFill="1" applyBorder="1" applyAlignment="1">
      <alignment horizontal="center" vertical="center"/>
    </xf>
    <xf numFmtId="177" fontId="21" fillId="0" borderId="4" xfId="3" applyNumberFormat="1" applyFont="1" applyFill="1" applyBorder="1" applyAlignment="1" applyProtection="1">
      <alignment horizontal="center" vertical="center"/>
      <protection hidden="1"/>
    </xf>
    <xf numFmtId="177" fontId="21" fillId="0" borderId="3" xfId="3" applyNumberFormat="1" applyFont="1" applyFill="1" applyBorder="1" applyAlignment="1" applyProtection="1">
      <alignment horizontal="center" vertical="center"/>
      <protection hidden="1"/>
    </xf>
    <xf numFmtId="177" fontId="21" fillId="0" borderId="7" xfId="3" applyNumberFormat="1" applyFont="1" applyFill="1" applyBorder="1" applyAlignment="1" applyProtection="1">
      <alignment horizontal="center" vertical="center"/>
      <protection hidden="1"/>
    </xf>
    <xf numFmtId="176" fontId="21" fillId="0" borderId="8" xfId="3" applyNumberFormat="1" applyFont="1" applyFill="1" applyBorder="1" applyAlignment="1">
      <alignment horizontal="center" vertical="center"/>
    </xf>
    <xf numFmtId="176" fontId="21" fillId="0" borderId="12" xfId="3" applyNumberFormat="1" applyFont="1" applyFill="1" applyBorder="1" applyAlignment="1">
      <alignment horizontal="center" vertical="center"/>
    </xf>
    <xf numFmtId="181" fontId="186" fillId="0" borderId="10" xfId="3" applyNumberFormat="1" applyFont="1" applyFill="1" applyBorder="1" applyAlignment="1" applyProtection="1">
      <alignment horizontal="center" vertical="center"/>
      <protection hidden="1"/>
    </xf>
    <xf numFmtId="181" fontId="186" fillId="0" borderId="14" xfId="3" applyNumberFormat="1" applyFont="1" applyFill="1" applyBorder="1" applyAlignment="1" applyProtection="1">
      <alignment horizontal="center" vertical="center"/>
      <protection hidden="1"/>
    </xf>
    <xf numFmtId="181" fontId="186" fillId="0" borderId="13" xfId="3" applyNumberFormat="1" applyFont="1" applyFill="1" applyBorder="1" applyAlignment="1" applyProtection="1">
      <alignment horizontal="center" vertical="center"/>
      <protection hidden="1"/>
    </xf>
    <xf numFmtId="181" fontId="186" fillId="0" borderId="5" xfId="3" applyNumberFormat="1" applyFont="1" applyFill="1" applyBorder="1" applyAlignment="1" applyProtection="1">
      <alignment horizontal="center" vertical="center"/>
      <protection hidden="1"/>
    </xf>
    <xf numFmtId="181" fontId="186" fillId="0" borderId="0" xfId="3" applyNumberFormat="1" applyFont="1" applyFill="1" applyBorder="1" applyAlignment="1" applyProtection="1">
      <alignment horizontal="center" vertical="center"/>
      <protection hidden="1"/>
    </xf>
    <xf numFmtId="181" fontId="186" fillId="0" borderId="16" xfId="3" applyNumberFormat="1" applyFont="1" applyFill="1" applyBorder="1" applyAlignment="1" applyProtection="1">
      <alignment horizontal="center" vertical="center"/>
      <protection hidden="1"/>
    </xf>
    <xf numFmtId="181" fontId="186" fillId="0" borderId="11" xfId="3" applyNumberFormat="1" applyFont="1" applyFill="1" applyBorder="1" applyAlignment="1" applyProtection="1">
      <alignment horizontal="center" vertical="center"/>
      <protection hidden="1"/>
    </xf>
    <xf numFmtId="181" fontId="186" fillId="0" borderId="2" xfId="3" applyNumberFormat="1" applyFont="1" applyFill="1" applyBorder="1" applyAlignment="1" applyProtection="1">
      <alignment horizontal="center" vertical="center"/>
      <protection hidden="1"/>
    </xf>
    <xf numFmtId="181" fontId="186" fillId="0" borderId="6" xfId="3" applyNumberFormat="1" applyFont="1" applyFill="1" applyBorder="1" applyAlignment="1" applyProtection="1">
      <alignment horizontal="center" vertical="center"/>
      <protection hidden="1"/>
    </xf>
    <xf numFmtId="181" fontId="186" fillId="0" borderId="1" xfId="3" applyNumberFormat="1" applyFont="1" applyFill="1" applyBorder="1" applyAlignment="1" applyProtection="1">
      <alignment horizontal="center" vertical="center"/>
      <protection hidden="1"/>
    </xf>
    <xf numFmtId="0" fontId="196" fillId="0" borderId="9" xfId="3" applyFont="1" applyFill="1" applyBorder="1" applyAlignment="1">
      <alignment vertical="center" wrapText="1"/>
    </xf>
    <xf numFmtId="0" fontId="196" fillId="0" borderId="8" xfId="3" applyFont="1" applyFill="1" applyBorder="1" applyAlignment="1">
      <alignment vertical="center" wrapText="1"/>
    </xf>
    <xf numFmtId="0" fontId="196" fillId="0" borderId="12" xfId="3" applyFont="1" applyFill="1" applyBorder="1" applyAlignment="1">
      <alignment vertical="center" wrapText="1"/>
    </xf>
    <xf numFmtId="0" fontId="21" fillId="0" borderId="9" xfId="3" applyFont="1" applyFill="1" applyBorder="1" applyAlignment="1">
      <alignment horizontal="center" vertical="center"/>
    </xf>
    <xf numFmtId="0" fontId="21" fillId="0" borderId="8" xfId="3" applyFont="1" applyFill="1" applyBorder="1" applyAlignment="1">
      <alignment horizontal="center"/>
    </xf>
    <xf numFmtId="0" fontId="21" fillId="0" borderId="12" xfId="3" applyFont="1" applyFill="1" applyBorder="1" applyAlignment="1">
      <alignment horizontal="center"/>
    </xf>
    <xf numFmtId="0" fontId="21" fillId="0" borderId="9" xfId="3" applyFont="1" applyFill="1" applyBorder="1" applyAlignment="1">
      <alignment horizontal="center" vertical="center" wrapText="1"/>
    </xf>
    <xf numFmtId="0" fontId="21" fillId="0" borderId="8" xfId="3" applyFont="1" applyFill="1" applyBorder="1" applyAlignment="1">
      <alignment horizontal="center" vertical="center" wrapText="1"/>
    </xf>
    <xf numFmtId="0" fontId="21" fillId="0" borderId="12" xfId="3" applyFont="1" applyFill="1" applyBorder="1" applyAlignment="1">
      <alignment horizontal="center" vertical="center" wrapText="1"/>
    </xf>
    <xf numFmtId="0" fontId="183" fillId="0" borderId="4" xfId="3" applyFont="1" applyFill="1" applyBorder="1" applyAlignment="1">
      <alignment horizontal="center" vertical="center" wrapText="1"/>
    </xf>
    <xf numFmtId="0" fontId="183" fillId="0" borderId="3" xfId="3" applyFill="1" applyBorder="1" applyAlignment="1">
      <alignment horizontal="center" vertical="center" wrapText="1"/>
    </xf>
    <xf numFmtId="0" fontId="183" fillId="0" borderId="7" xfId="3" applyFill="1" applyBorder="1" applyAlignment="1">
      <alignment horizontal="center" vertical="center" wrapText="1"/>
    </xf>
    <xf numFmtId="0" fontId="186" fillId="0" borderId="4" xfId="3" applyFont="1" applyFill="1" applyBorder="1" applyAlignment="1" applyProtection="1">
      <alignment horizontal="center" vertical="center"/>
      <protection hidden="1"/>
    </xf>
    <xf numFmtId="0" fontId="186" fillId="0" borderId="3" xfId="3" applyFont="1" applyFill="1" applyBorder="1" applyAlignment="1" applyProtection="1">
      <alignment horizontal="center" vertical="center"/>
      <protection hidden="1"/>
    </xf>
    <xf numFmtId="0" fontId="186" fillId="0" borderId="7" xfId="3" applyFont="1" applyFill="1" applyBorder="1" applyAlignment="1" applyProtection="1">
      <alignment horizontal="center" vertical="center"/>
      <protection hidden="1"/>
    </xf>
    <xf numFmtId="176" fontId="21" fillId="0" borderId="9" xfId="3" applyNumberFormat="1" applyFont="1" applyFill="1" applyBorder="1" applyAlignment="1">
      <alignment horizontal="center" vertical="center"/>
    </xf>
    <xf numFmtId="0" fontId="183" fillId="0" borderId="4" xfId="3" applyBorder="1" applyAlignment="1">
      <alignment horizontal="center" vertical="center"/>
    </xf>
    <xf numFmtId="0" fontId="183" fillId="0" borderId="3" xfId="3" applyBorder="1" applyAlignment="1">
      <alignment horizontal="center" vertical="center"/>
    </xf>
    <xf numFmtId="0" fontId="183" fillId="0" borderId="7" xfId="3" applyBorder="1" applyAlignment="1">
      <alignment horizontal="center" vertical="center"/>
    </xf>
    <xf numFmtId="0" fontId="190" fillId="0" borderId="1" xfId="3" applyFont="1" applyFill="1" applyBorder="1" applyAlignment="1">
      <alignment horizontal="center" vertical="center"/>
    </xf>
    <xf numFmtId="0" fontId="21" fillId="0" borderId="4" xfId="3" applyFont="1" applyFill="1" applyBorder="1" applyAlignment="1">
      <alignment horizontal="center" vertical="center"/>
    </xf>
    <xf numFmtId="0" fontId="21" fillId="0" borderId="3" xfId="3" applyFont="1" applyFill="1" applyBorder="1" applyAlignment="1">
      <alignment horizontal="center" vertical="center"/>
    </xf>
    <xf numFmtId="0" fontId="21" fillId="0" borderId="7" xfId="3" applyFont="1" applyFill="1" applyBorder="1" applyAlignment="1">
      <alignment horizontal="center" vertical="center"/>
    </xf>
    <xf numFmtId="176" fontId="21" fillId="0" borderId="4" xfId="3" applyNumberFormat="1" applyFont="1" applyFill="1" applyBorder="1" applyAlignment="1">
      <alignment horizontal="center" vertical="center"/>
    </xf>
    <xf numFmtId="176" fontId="21" fillId="0" borderId="3" xfId="3" applyNumberFormat="1" applyFont="1" applyFill="1" applyBorder="1" applyAlignment="1">
      <alignment horizontal="center" vertical="center"/>
    </xf>
    <xf numFmtId="49" fontId="21" fillId="0" borderId="4" xfId="3" applyNumberFormat="1" applyFont="1" applyFill="1" applyBorder="1" applyAlignment="1">
      <alignment horizontal="center" vertical="center"/>
    </xf>
    <xf numFmtId="49" fontId="21" fillId="0" borderId="3" xfId="3" applyNumberFormat="1" applyFont="1" applyFill="1" applyBorder="1" applyAlignment="1">
      <alignment horizontal="center" vertical="center"/>
    </xf>
    <xf numFmtId="49" fontId="21" fillId="0" borderId="7" xfId="3" applyNumberFormat="1" applyFont="1" applyFill="1" applyBorder="1" applyAlignment="1">
      <alignment horizontal="center" vertical="center"/>
    </xf>
    <xf numFmtId="176" fontId="21" fillId="0" borderId="7" xfId="3" applyNumberFormat="1" applyFont="1" applyFill="1" applyBorder="1" applyAlignment="1">
      <alignment horizontal="center" vertical="center"/>
    </xf>
    <xf numFmtId="0" fontId="21" fillId="0" borderId="1" xfId="3" applyFont="1" applyFill="1" applyBorder="1" applyAlignment="1">
      <alignment horizontal="center" vertical="center"/>
    </xf>
    <xf numFmtId="49" fontId="21" fillId="0" borderId="4" xfId="3" applyNumberFormat="1" applyFont="1" applyFill="1" applyBorder="1" applyAlignment="1">
      <alignment horizontal="center"/>
    </xf>
    <xf numFmtId="49" fontId="21" fillId="0" borderId="3" xfId="3" applyNumberFormat="1" applyFont="1" applyFill="1" applyBorder="1" applyAlignment="1">
      <alignment horizontal="center"/>
    </xf>
    <xf numFmtId="49" fontId="21" fillId="0" borderId="7" xfId="3" applyNumberFormat="1" applyFont="1" applyFill="1" applyBorder="1" applyAlignment="1">
      <alignment horizontal="center"/>
    </xf>
    <xf numFmtId="176" fontId="21" fillId="0" borderId="1" xfId="3" applyNumberFormat="1" applyFont="1" applyFill="1" applyBorder="1" applyAlignment="1" applyProtection="1">
      <alignment horizontal="center"/>
      <protection hidden="1"/>
    </xf>
    <xf numFmtId="177" fontId="21" fillId="0" borderId="4" xfId="3" applyNumberFormat="1" applyFont="1" applyFill="1" applyBorder="1" applyAlignment="1">
      <alignment horizontal="center"/>
    </xf>
    <xf numFmtId="177" fontId="21" fillId="0" borderId="3" xfId="3" applyNumberFormat="1" applyFont="1" applyFill="1" applyBorder="1" applyAlignment="1">
      <alignment horizontal="center"/>
    </xf>
    <xf numFmtId="177" fontId="21" fillId="0" borderId="7" xfId="3" applyNumberFormat="1" applyFont="1" applyFill="1" applyBorder="1" applyAlignment="1">
      <alignment horizontal="center"/>
    </xf>
    <xf numFmtId="0" fontId="190" fillId="0" borderId="1" xfId="3" applyFont="1" applyFill="1" applyBorder="1" applyAlignment="1" applyProtection="1">
      <alignment horizontal="center"/>
      <protection hidden="1"/>
    </xf>
    <xf numFmtId="0" fontId="191" fillId="0" borderId="0" xfId="3" applyFont="1" applyAlignment="1">
      <alignment horizontal="center"/>
    </xf>
    <xf numFmtId="176" fontId="21" fillId="5" borderId="9" xfId="3" applyNumberFormat="1" applyFont="1" applyFill="1" applyBorder="1" applyAlignment="1">
      <alignment horizontal="center" vertical="center"/>
    </xf>
    <xf numFmtId="0" fontId="21" fillId="5" borderId="4" xfId="3" applyFont="1" applyFill="1" applyBorder="1" applyAlignment="1">
      <alignment horizontal="center" vertical="center"/>
    </xf>
    <xf numFmtId="0" fontId="21" fillId="5" borderId="3" xfId="3" applyFont="1" applyFill="1" applyBorder="1" applyAlignment="1">
      <alignment horizontal="center" vertical="center"/>
    </xf>
    <xf numFmtId="0" fontId="186" fillId="15" borderId="4" xfId="3" applyFont="1" applyFill="1" applyBorder="1" applyAlignment="1" applyProtection="1">
      <alignment horizontal="center" vertical="center"/>
      <protection hidden="1"/>
    </xf>
    <xf numFmtId="0" fontId="186" fillId="15" borderId="3" xfId="3" applyFont="1" applyFill="1" applyBorder="1" applyAlignment="1" applyProtection="1">
      <alignment horizontal="center" vertical="center"/>
      <protection hidden="1"/>
    </xf>
    <xf numFmtId="0" fontId="186" fillId="15" borderId="7" xfId="3" applyFont="1" applyFill="1" applyBorder="1" applyAlignment="1" applyProtection="1">
      <alignment horizontal="center" vertical="center"/>
      <protection hidden="1"/>
    </xf>
    <xf numFmtId="181" fontId="186" fillId="15" borderId="10" xfId="3" applyNumberFormat="1" applyFont="1" applyFill="1" applyBorder="1" applyAlignment="1" applyProtection="1">
      <alignment horizontal="center" vertical="center"/>
      <protection hidden="1"/>
    </xf>
    <xf numFmtId="181" fontId="186" fillId="15" borderId="14" xfId="3" applyNumberFormat="1" applyFont="1" applyFill="1" applyBorder="1" applyAlignment="1" applyProtection="1">
      <alignment horizontal="center" vertical="center"/>
      <protection hidden="1"/>
    </xf>
    <xf numFmtId="181" fontId="186" fillId="15" borderId="13" xfId="3" applyNumberFormat="1" applyFont="1" applyFill="1" applyBorder="1" applyAlignment="1" applyProtection="1">
      <alignment horizontal="center" vertical="center"/>
      <protection hidden="1"/>
    </xf>
    <xf numFmtId="181" fontId="186" fillId="15" borderId="5" xfId="3" applyNumberFormat="1" applyFont="1" applyFill="1" applyBorder="1" applyAlignment="1" applyProtection="1">
      <alignment horizontal="center" vertical="center"/>
      <protection hidden="1"/>
    </xf>
    <xf numFmtId="181" fontId="186" fillId="15" borderId="0" xfId="3" applyNumberFormat="1" applyFont="1" applyFill="1" applyBorder="1" applyAlignment="1" applyProtection="1">
      <alignment horizontal="center" vertical="center"/>
      <protection hidden="1"/>
    </xf>
    <xf numFmtId="181" fontId="186" fillId="15" borderId="16" xfId="3" applyNumberFormat="1" applyFont="1" applyFill="1" applyBorder="1" applyAlignment="1" applyProtection="1">
      <alignment horizontal="center" vertical="center"/>
      <protection hidden="1"/>
    </xf>
    <xf numFmtId="181" fontId="186" fillId="15" borderId="11" xfId="3" applyNumberFormat="1" applyFont="1" applyFill="1" applyBorder="1" applyAlignment="1" applyProtection="1">
      <alignment horizontal="center" vertical="center"/>
      <protection hidden="1"/>
    </xf>
    <xf numFmtId="181" fontId="186" fillId="15" borderId="2" xfId="3" applyNumberFormat="1" applyFont="1" applyFill="1" applyBorder="1" applyAlignment="1" applyProtection="1">
      <alignment horizontal="center" vertical="center"/>
      <protection hidden="1"/>
    </xf>
    <xf numFmtId="181" fontId="186" fillId="15" borderId="6" xfId="3" applyNumberFormat="1" applyFont="1" applyFill="1" applyBorder="1" applyAlignment="1" applyProtection="1">
      <alignment horizontal="center" vertical="center"/>
      <protection hidden="1"/>
    </xf>
    <xf numFmtId="0" fontId="21" fillId="5" borderId="9" xfId="3" applyFont="1" applyFill="1" applyBorder="1" applyAlignment="1">
      <alignment horizontal="center" vertical="center"/>
    </xf>
    <xf numFmtId="0" fontId="21" fillId="5" borderId="8" xfId="3" applyFont="1" applyFill="1" applyBorder="1" applyAlignment="1">
      <alignment horizontal="center"/>
    </xf>
    <xf numFmtId="0" fontId="21" fillId="5" borderId="12" xfId="3" applyFont="1" applyFill="1" applyBorder="1" applyAlignment="1">
      <alignment horizontal="center"/>
    </xf>
    <xf numFmtId="0" fontId="21" fillId="4" borderId="4" xfId="3" applyFont="1" applyFill="1" applyBorder="1" applyAlignment="1">
      <alignment horizontal="center" vertical="center"/>
    </xf>
    <xf numFmtId="0" fontId="21" fillId="4" borderId="7" xfId="3" applyFont="1" applyFill="1" applyBorder="1" applyAlignment="1">
      <alignment horizontal="center" vertical="center"/>
    </xf>
    <xf numFmtId="176" fontId="21" fillId="17" borderId="4" xfId="3" applyNumberFormat="1" applyFont="1" applyFill="1" applyBorder="1" applyAlignment="1">
      <alignment horizontal="center" vertical="center"/>
    </xf>
    <xf numFmtId="176" fontId="21" fillId="17" borderId="3" xfId="3" applyNumberFormat="1" applyFont="1" applyFill="1" applyBorder="1" applyAlignment="1">
      <alignment horizontal="center" vertical="center"/>
    </xf>
    <xf numFmtId="49" fontId="21" fillId="5" borderId="4" xfId="3" applyNumberFormat="1" applyFont="1" applyFill="1" applyBorder="1" applyAlignment="1">
      <alignment horizontal="center" vertical="center"/>
    </xf>
    <xf numFmtId="49" fontId="21" fillId="5" borderId="3" xfId="3" applyNumberFormat="1" applyFont="1" applyFill="1" applyBorder="1" applyAlignment="1">
      <alignment horizontal="center" vertical="center"/>
    </xf>
    <xf numFmtId="49" fontId="21" fillId="5" borderId="7" xfId="3" applyNumberFormat="1" applyFont="1" applyFill="1" applyBorder="1" applyAlignment="1">
      <alignment horizontal="center" vertical="center"/>
    </xf>
    <xf numFmtId="176" fontId="21" fillId="17" borderId="7" xfId="3" applyNumberFormat="1" applyFont="1" applyFill="1" applyBorder="1" applyAlignment="1">
      <alignment horizontal="center" vertical="center"/>
    </xf>
    <xf numFmtId="0" fontId="21" fillId="5" borderId="9" xfId="3" applyFont="1" applyFill="1" applyBorder="1" applyAlignment="1">
      <alignment horizontal="center" vertical="center" wrapText="1"/>
    </xf>
    <xf numFmtId="0" fontId="21" fillId="5" borderId="8" xfId="3" applyFont="1" applyFill="1" applyBorder="1" applyAlignment="1">
      <alignment horizontal="center" vertical="center" wrapText="1"/>
    </xf>
    <xf numFmtId="0" fontId="21" fillId="5" borderId="12" xfId="3" applyFont="1" applyFill="1" applyBorder="1" applyAlignment="1">
      <alignment horizontal="center" vertical="center" wrapText="1"/>
    </xf>
    <xf numFmtId="177" fontId="21" fillId="17" borderId="4" xfId="3" applyNumberFormat="1" applyFont="1" applyFill="1" applyBorder="1" applyAlignment="1">
      <alignment horizontal="center"/>
    </xf>
    <xf numFmtId="177" fontId="21" fillId="17" borderId="3" xfId="3" applyNumberFormat="1" applyFont="1" applyFill="1" applyBorder="1" applyAlignment="1">
      <alignment horizontal="center"/>
    </xf>
    <xf numFmtId="177" fontId="21" fillId="17" borderId="7" xfId="3" applyNumberFormat="1" applyFont="1" applyFill="1" applyBorder="1" applyAlignment="1">
      <alignment horizontal="center"/>
    </xf>
    <xf numFmtId="49" fontId="21" fillId="4" borderId="4" xfId="3" applyNumberFormat="1" applyFont="1" applyFill="1" applyBorder="1" applyAlignment="1">
      <alignment horizontal="center"/>
    </xf>
    <xf numFmtId="49" fontId="21" fillId="4" borderId="7" xfId="3" applyNumberFormat="1" applyFont="1" applyFill="1" applyBorder="1" applyAlignment="1">
      <alignment horizontal="center"/>
    </xf>
    <xf numFmtId="49" fontId="21" fillId="4" borderId="3" xfId="3" applyNumberFormat="1" applyFont="1" applyFill="1" applyBorder="1" applyAlignment="1">
      <alignment horizontal="center"/>
    </xf>
    <xf numFmtId="0" fontId="191" fillId="0" borderId="0" xfId="3" applyFont="1" applyBorder="1" applyAlignment="1">
      <alignment horizontal="left"/>
    </xf>
    <xf numFmtId="181" fontId="186" fillId="15" borderId="1" xfId="3" applyNumberFormat="1" applyFont="1" applyFill="1" applyBorder="1" applyAlignment="1" applyProtection="1">
      <alignment horizontal="center" vertical="center"/>
      <protection hidden="1"/>
    </xf>
    <xf numFmtId="0" fontId="190" fillId="5" borderId="1" xfId="3" applyFont="1" applyFill="1" applyBorder="1" applyAlignment="1">
      <alignment horizontal="center" vertical="center"/>
    </xf>
    <xf numFmtId="0" fontId="21" fillId="5" borderId="1" xfId="3" applyFont="1" applyFill="1" applyBorder="1" applyAlignment="1">
      <alignment horizontal="center" vertical="center"/>
    </xf>
    <xf numFmtId="0" fontId="183" fillId="7" borderId="4" xfId="3" applyFont="1" applyFill="1" applyBorder="1" applyAlignment="1">
      <alignment vertical="center"/>
    </xf>
    <xf numFmtId="0" fontId="183" fillId="0" borderId="3" xfId="3" applyBorder="1" applyAlignment="1">
      <alignment vertical="center"/>
    </xf>
    <xf numFmtId="0" fontId="183" fillId="0" borderId="7" xfId="3" applyBorder="1" applyAlignment="1">
      <alignment vertical="center"/>
    </xf>
    <xf numFmtId="0" fontId="183" fillId="11" borderId="4" xfId="3" applyFont="1" applyFill="1" applyBorder="1" applyAlignment="1">
      <alignment horizontal="center" vertical="center"/>
    </xf>
    <xf numFmtId="0" fontId="191" fillId="5" borderId="4" xfId="3" applyFont="1" applyFill="1" applyBorder="1" applyAlignment="1">
      <alignment horizontal="center" vertical="center"/>
    </xf>
    <xf numFmtId="0" fontId="191" fillId="5" borderId="7" xfId="3" applyFont="1" applyFill="1" applyBorder="1" applyAlignment="1">
      <alignment horizontal="center" vertical="center"/>
    </xf>
    <xf numFmtId="0" fontId="191" fillId="4" borderId="4" xfId="3" applyFont="1" applyFill="1" applyBorder="1" applyAlignment="1">
      <alignment horizontal="center" vertical="center"/>
    </xf>
    <xf numFmtId="0" fontId="191" fillId="4" borderId="7" xfId="3" applyFont="1" applyFill="1" applyBorder="1" applyAlignment="1">
      <alignment horizontal="center" vertical="center"/>
    </xf>
    <xf numFmtId="0" fontId="191" fillId="17" borderId="4" xfId="3" applyFont="1" applyFill="1" applyBorder="1" applyAlignment="1">
      <alignment horizontal="center" vertical="center"/>
    </xf>
    <xf numFmtId="0" fontId="191" fillId="17" borderId="3" xfId="3" applyFont="1" applyFill="1" applyBorder="1" applyAlignment="1">
      <alignment horizontal="center" vertical="center"/>
    </xf>
    <xf numFmtId="0" fontId="191" fillId="17" borderId="7" xfId="3" applyFont="1" applyFill="1" applyBorder="1" applyAlignment="1">
      <alignment horizontal="center" vertical="center"/>
    </xf>
    <xf numFmtId="0" fontId="191" fillId="4" borderId="3" xfId="3" applyFont="1" applyFill="1" applyBorder="1" applyAlignment="1">
      <alignment horizontal="center" vertical="center"/>
    </xf>
    <xf numFmtId="0" fontId="183" fillId="7" borderId="9" xfId="3" applyFill="1" applyBorder="1" applyAlignment="1">
      <alignment horizontal="center" vertical="center"/>
    </xf>
    <xf numFmtId="0" fontId="183" fillId="7" borderId="8" xfId="3" applyFill="1" applyBorder="1" applyAlignment="1">
      <alignment horizontal="center" vertical="center"/>
    </xf>
    <xf numFmtId="0" fontId="183" fillId="7" borderId="12" xfId="3" applyFill="1" applyBorder="1" applyAlignment="1">
      <alignment horizontal="center" vertical="center"/>
    </xf>
    <xf numFmtId="0" fontId="191" fillId="0" borderId="4" xfId="3" applyFont="1" applyFill="1" applyBorder="1" applyAlignment="1">
      <alignment horizontal="center"/>
    </xf>
    <xf numFmtId="0" fontId="191" fillId="0" borderId="7" xfId="3" applyFont="1" applyFill="1" applyBorder="1" applyAlignment="1">
      <alignment horizontal="center"/>
    </xf>
    <xf numFmtId="0" fontId="183" fillId="7" borderId="10" xfId="3" applyFill="1" applyBorder="1" applyAlignment="1">
      <alignment horizontal="center" vertical="center"/>
    </xf>
    <xf numFmtId="0" fontId="183" fillId="7" borderId="14" xfId="3" applyFill="1" applyBorder="1" applyAlignment="1">
      <alignment horizontal="center" vertical="center"/>
    </xf>
    <xf numFmtId="0" fontId="183" fillId="7" borderId="13" xfId="3" applyFill="1" applyBorder="1" applyAlignment="1">
      <alignment horizontal="center" vertical="center"/>
    </xf>
    <xf numFmtId="0" fontId="183" fillId="7" borderId="5" xfId="3" applyFill="1" applyBorder="1" applyAlignment="1">
      <alignment horizontal="center" vertical="center"/>
    </xf>
    <xf numFmtId="0" fontId="183" fillId="7" borderId="0" xfId="3" applyFill="1" applyBorder="1" applyAlignment="1">
      <alignment horizontal="center" vertical="center"/>
    </xf>
    <xf numFmtId="0" fontId="183" fillId="7" borderId="16" xfId="3" applyFill="1" applyBorder="1" applyAlignment="1">
      <alignment horizontal="center" vertical="center"/>
    </xf>
    <xf numFmtId="0" fontId="183" fillId="7" borderId="11" xfId="3" applyFill="1" applyBorder="1" applyAlignment="1">
      <alignment horizontal="center" vertical="center"/>
    </xf>
    <xf numFmtId="0" fontId="183" fillId="7" borderId="2" xfId="3" applyFill="1" applyBorder="1" applyAlignment="1">
      <alignment horizontal="center" vertical="center"/>
    </xf>
    <xf numFmtId="0" fontId="183" fillId="7" borderId="6" xfId="3" applyFill="1" applyBorder="1" applyAlignment="1">
      <alignment horizontal="center" vertical="center"/>
    </xf>
    <xf numFmtId="0" fontId="183" fillId="11" borderId="10" xfId="3" applyFont="1" applyFill="1" applyBorder="1" applyAlignment="1">
      <alignment horizontal="center" vertical="center"/>
    </xf>
    <xf numFmtId="0" fontId="183" fillId="11" borderId="14" xfId="3" applyFill="1" applyBorder="1" applyAlignment="1">
      <alignment horizontal="center" vertical="center"/>
    </xf>
    <xf numFmtId="0" fontId="183" fillId="11" borderId="13" xfId="3" applyFill="1" applyBorder="1" applyAlignment="1">
      <alignment horizontal="center" vertical="center"/>
    </xf>
    <xf numFmtId="0" fontId="183" fillId="11" borderId="5" xfId="3" applyFill="1" applyBorder="1" applyAlignment="1">
      <alignment horizontal="center" vertical="center"/>
    </xf>
    <xf numFmtId="0" fontId="183" fillId="11" borderId="0" xfId="3" applyFill="1" applyAlignment="1">
      <alignment horizontal="center" vertical="center"/>
    </xf>
    <xf numFmtId="0" fontId="183" fillId="11" borderId="16" xfId="3" applyFill="1" applyBorder="1" applyAlignment="1">
      <alignment horizontal="center" vertical="center"/>
    </xf>
    <xf numFmtId="0" fontId="183" fillId="11" borderId="11" xfId="3" applyFill="1" applyBorder="1" applyAlignment="1">
      <alignment horizontal="center" vertical="center"/>
    </xf>
    <xf numFmtId="0" fontId="183" fillId="11" borderId="2" xfId="3" applyFill="1" applyBorder="1" applyAlignment="1">
      <alignment horizontal="center" vertical="center"/>
    </xf>
    <xf numFmtId="0" fontId="183" fillId="11" borderId="6" xfId="3" applyFill="1" applyBorder="1" applyAlignment="1">
      <alignment horizontal="center" vertical="center"/>
    </xf>
    <xf numFmtId="0" fontId="183" fillId="7" borderId="0" xfId="3" applyFill="1" applyAlignment="1">
      <alignment horizontal="center" vertical="center"/>
    </xf>
    <xf numFmtId="0" fontId="191" fillId="5" borderId="4" xfId="3" applyFont="1" applyFill="1" applyBorder="1" applyAlignment="1">
      <alignment horizontal="center"/>
    </xf>
    <xf numFmtId="0" fontId="191" fillId="5" borderId="7" xfId="3" applyFont="1" applyFill="1" applyBorder="1" applyAlignment="1">
      <alignment horizontal="center"/>
    </xf>
    <xf numFmtId="0" fontId="99" fillId="0" borderId="0" xfId="0" applyFont="1" applyBorder="1" applyAlignment="1">
      <alignment horizontal="center" vertical="center" wrapText="1"/>
    </xf>
    <xf numFmtId="10" fontId="82" fillId="0" borderId="3" xfId="0" applyNumberFormat="1" applyFont="1" applyBorder="1" applyAlignment="1">
      <alignment horizontal="left" vertical="center" wrapText="1"/>
    </xf>
    <xf numFmtId="0" fontId="0" fillId="0" borderId="3" xfId="0" applyBorder="1" applyAlignment="1">
      <alignment horizontal="left" vertical="center"/>
    </xf>
    <xf numFmtId="0" fontId="0" fillId="0" borderId="2" xfId="0" applyBorder="1" applyAlignment="1">
      <alignment horizontal="left" vertical="center"/>
    </xf>
    <xf numFmtId="0" fontId="0" fillId="0" borderId="6" xfId="0" applyBorder="1" applyAlignment="1">
      <alignment horizontal="left" vertical="center"/>
    </xf>
    <xf numFmtId="0" fontId="11" fillId="5" borderId="4" xfId="3" applyFont="1" applyFill="1" applyBorder="1" applyAlignment="1">
      <alignment horizontal="center" vertical="center"/>
    </xf>
    <xf numFmtId="0" fontId="11" fillId="5" borderId="7" xfId="3" applyFont="1" applyFill="1" applyBorder="1" applyAlignment="1">
      <alignment horizontal="center" vertical="center"/>
    </xf>
    <xf numFmtId="0" fontId="11" fillId="4" borderId="4" xfId="3" applyFont="1" applyFill="1" applyBorder="1" applyAlignment="1">
      <alignment horizontal="center" vertical="center"/>
    </xf>
    <xf numFmtId="0" fontId="11" fillId="4" borderId="3" xfId="3" applyFont="1" applyFill="1" applyBorder="1" applyAlignment="1">
      <alignment horizontal="center" vertical="center"/>
    </xf>
    <xf numFmtId="0" fontId="11" fillId="4" borderId="7" xfId="3" applyFont="1" applyFill="1" applyBorder="1" applyAlignment="1">
      <alignment horizontal="center" vertical="center"/>
    </xf>
    <xf numFmtId="176" fontId="11" fillId="7" borderId="4" xfId="3" applyNumberFormat="1" applyFont="1" applyFill="1" applyBorder="1" applyAlignment="1">
      <alignment horizontal="center" vertical="center"/>
    </xf>
    <xf numFmtId="176" fontId="11" fillId="7" borderId="3" xfId="3" applyNumberFormat="1" applyFont="1" applyFill="1" applyBorder="1" applyAlignment="1">
      <alignment horizontal="center" vertical="center"/>
    </xf>
    <xf numFmtId="176" fontId="11" fillId="7" borderId="7" xfId="3" applyNumberFormat="1" applyFont="1" applyFill="1" applyBorder="1" applyAlignment="1">
      <alignment horizontal="center" vertical="center"/>
    </xf>
    <xf numFmtId="49" fontId="11" fillId="5" borderId="4" xfId="3" applyNumberFormat="1" applyFont="1" applyFill="1" applyBorder="1" applyAlignment="1">
      <alignment horizontal="center" vertical="center"/>
    </xf>
    <xf numFmtId="49" fontId="11" fillId="5" borderId="7" xfId="3" applyNumberFormat="1" applyFont="1" applyFill="1" applyBorder="1" applyAlignment="1">
      <alignment horizontal="center" vertical="center"/>
    </xf>
    <xf numFmtId="0" fontId="188" fillId="0" borderId="4" xfId="3" applyFont="1" applyFill="1" applyBorder="1" applyAlignment="1">
      <alignment horizontal="center" vertical="center" wrapText="1"/>
    </xf>
    <xf numFmtId="0" fontId="188" fillId="0" borderId="7" xfId="3" applyFont="1" applyFill="1" applyBorder="1" applyAlignment="1">
      <alignment horizontal="center" vertical="center" wrapText="1"/>
    </xf>
    <xf numFmtId="0" fontId="183" fillId="0" borderId="4" xfId="3" applyFont="1" applyFill="1" applyBorder="1" applyAlignment="1">
      <alignment horizontal="center" vertical="center"/>
    </xf>
    <xf numFmtId="0" fontId="183" fillId="0" borderId="7" xfId="3" applyFill="1" applyBorder="1" applyAlignment="1">
      <alignment horizontal="center" vertical="center"/>
    </xf>
    <xf numFmtId="0" fontId="183" fillId="0" borderId="1" xfId="3" applyFont="1" applyFill="1" applyBorder="1" applyAlignment="1">
      <alignment horizontal="center" vertical="center" wrapText="1"/>
    </xf>
    <xf numFmtId="0" fontId="183" fillId="0" borderId="1" xfId="3" applyFill="1" applyBorder="1" applyAlignment="1">
      <alignment horizontal="center" vertical="center" wrapText="1"/>
    </xf>
    <xf numFmtId="0" fontId="183" fillId="0" borderId="1" xfId="3" applyFont="1" applyFill="1" applyBorder="1" applyAlignment="1">
      <alignment horizontal="center" vertical="center"/>
    </xf>
    <xf numFmtId="0" fontId="183" fillId="0" borderId="1" xfId="3" applyFill="1" applyBorder="1" applyAlignment="1">
      <alignment horizontal="center" vertical="center"/>
    </xf>
    <xf numFmtId="0" fontId="11" fillId="4" borderId="1" xfId="3" applyFont="1" applyFill="1" applyBorder="1" applyAlignment="1">
      <alignment horizontal="center" vertical="center"/>
    </xf>
    <xf numFmtId="176" fontId="11" fillId="7" borderId="1" xfId="3" applyNumberFormat="1" applyFont="1" applyFill="1" applyBorder="1" applyAlignment="1">
      <alignment horizontal="center" vertical="center"/>
    </xf>
    <xf numFmtId="0" fontId="188" fillId="5" borderId="1" xfId="3" applyFont="1" applyFill="1" applyBorder="1" applyAlignment="1">
      <alignment horizontal="center" vertical="center"/>
    </xf>
    <xf numFmtId="0" fontId="11" fillId="5" borderId="1" xfId="3" applyFont="1" applyFill="1" applyBorder="1" applyAlignment="1">
      <alignment horizontal="center" vertical="center"/>
    </xf>
    <xf numFmtId="176" fontId="11" fillId="0" borderId="4" xfId="3" applyNumberFormat="1" applyFont="1" applyBorder="1" applyAlignment="1" applyProtection="1">
      <alignment horizontal="center" vertical="center"/>
      <protection hidden="1"/>
    </xf>
    <xf numFmtId="176" fontId="11" fillId="0" borderId="3" xfId="3" applyNumberFormat="1" applyFont="1" applyBorder="1" applyAlignment="1" applyProtection="1">
      <alignment horizontal="center" vertical="center"/>
      <protection hidden="1"/>
    </xf>
    <xf numFmtId="176" fontId="11" fillId="0" borderId="7" xfId="3" applyNumberFormat="1" applyFont="1" applyBorder="1" applyAlignment="1" applyProtection="1">
      <alignment horizontal="center" vertical="center"/>
      <protection hidden="1"/>
    </xf>
    <xf numFmtId="0" fontId="186" fillId="0" borderId="1" xfId="3" applyFont="1" applyBorder="1" applyAlignment="1" applyProtection="1">
      <alignment horizontal="center" vertical="center"/>
      <protection hidden="1"/>
    </xf>
    <xf numFmtId="0" fontId="183" fillId="0" borderId="0" xfId="3" applyFont="1" applyBorder="1" applyAlignment="1">
      <alignment horizontal="center"/>
    </xf>
    <xf numFmtId="0" fontId="183" fillId="0" borderId="3" xfId="3" applyFill="1" applyBorder="1" applyAlignment="1">
      <alignment horizontal="center" vertical="center"/>
    </xf>
    <xf numFmtId="49" fontId="11" fillId="0" borderId="4" xfId="3" applyNumberFormat="1" applyFont="1" applyBorder="1" applyAlignment="1">
      <alignment horizontal="right" vertical="center"/>
    </xf>
    <xf numFmtId="49" fontId="11" fillId="0" borderId="3" xfId="3" applyNumberFormat="1" applyFont="1" applyBorder="1" applyAlignment="1">
      <alignment horizontal="right" vertical="center"/>
    </xf>
    <xf numFmtId="0" fontId="11" fillId="0" borderId="3" xfId="3" applyFont="1" applyBorder="1" applyAlignment="1">
      <alignment horizontal="left" vertical="center"/>
    </xf>
    <xf numFmtId="0" fontId="11" fillId="0" borderId="7" xfId="3" applyFont="1" applyBorder="1" applyAlignment="1">
      <alignment horizontal="left" vertical="center"/>
    </xf>
    <xf numFmtId="0" fontId="11" fillId="5" borderId="9" xfId="3" applyFont="1" applyFill="1" applyBorder="1" applyAlignment="1">
      <alignment horizontal="center" vertical="center"/>
    </xf>
    <xf numFmtId="0" fontId="11" fillId="5" borderId="8" xfId="3" applyFont="1" applyFill="1" applyBorder="1" applyAlignment="1">
      <alignment horizontal="center" vertical="center"/>
    </xf>
    <xf numFmtId="0" fontId="11" fillId="5" borderId="12" xfId="3" applyFont="1" applyFill="1" applyBorder="1" applyAlignment="1">
      <alignment horizontal="center" vertical="center"/>
    </xf>
    <xf numFmtId="0" fontId="11" fillId="0" borderId="9" xfId="3" applyFont="1" applyBorder="1" applyAlignment="1">
      <alignment horizontal="center" vertical="center" wrapText="1"/>
    </xf>
    <xf numFmtId="0" fontId="11" fillId="0" borderId="8" xfId="3" applyFont="1" applyBorder="1" applyAlignment="1">
      <alignment horizontal="center" vertical="center" wrapText="1"/>
    </xf>
    <xf numFmtId="0" fontId="11" fillId="0" borderId="12" xfId="3" applyFont="1" applyBorder="1" applyAlignment="1">
      <alignment horizontal="center" vertical="center" wrapText="1"/>
    </xf>
    <xf numFmtId="176" fontId="11" fillId="0" borderId="9" xfId="3" applyNumberFormat="1" applyFont="1" applyBorder="1" applyAlignment="1">
      <alignment horizontal="center" vertical="center"/>
    </xf>
    <xf numFmtId="176" fontId="11" fillId="0" borderId="8" xfId="3" applyNumberFormat="1" applyFont="1" applyBorder="1" applyAlignment="1">
      <alignment horizontal="center" vertical="center"/>
    </xf>
    <xf numFmtId="176" fontId="11" fillId="0" borderId="12" xfId="3" applyNumberFormat="1" applyFont="1" applyBorder="1" applyAlignment="1">
      <alignment horizontal="center" vertical="center"/>
    </xf>
    <xf numFmtId="0" fontId="11" fillId="0" borderId="9" xfId="3" applyFont="1" applyFill="1" applyBorder="1" applyAlignment="1">
      <alignment horizontal="center" vertical="center" wrapText="1"/>
    </xf>
    <xf numFmtId="0" fontId="11" fillId="0" borderId="8" xfId="3" applyFont="1" applyFill="1" applyBorder="1" applyAlignment="1">
      <alignment horizontal="center" vertical="center" wrapText="1"/>
    </xf>
    <xf numFmtId="0" fontId="11" fillId="0" borderId="12" xfId="3" applyFont="1" applyFill="1" applyBorder="1" applyAlignment="1">
      <alignment horizontal="center" vertical="center" wrapText="1"/>
    </xf>
    <xf numFmtId="176" fontId="11" fillId="0" borderId="9" xfId="3" applyNumberFormat="1" applyFont="1" applyFill="1" applyBorder="1" applyAlignment="1">
      <alignment horizontal="center" vertical="center"/>
    </xf>
    <xf numFmtId="176" fontId="11" fillId="0" borderId="8" xfId="3" applyNumberFormat="1" applyFont="1" applyFill="1" applyBorder="1" applyAlignment="1">
      <alignment horizontal="center" vertical="center"/>
    </xf>
    <xf numFmtId="176" fontId="11" fillId="0" borderId="12" xfId="3" applyNumberFormat="1" applyFont="1" applyFill="1" applyBorder="1" applyAlignment="1">
      <alignment horizontal="center" vertical="center"/>
    </xf>
    <xf numFmtId="180" fontId="11" fillId="0" borderId="0" xfId="3" applyNumberFormat="1" applyFont="1" applyBorder="1" applyAlignment="1">
      <alignment horizontal="center" vertical="center"/>
    </xf>
    <xf numFmtId="180" fontId="11" fillId="0" borderId="9" xfId="3" applyNumberFormat="1" applyFont="1" applyBorder="1" applyAlignment="1">
      <alignment horizontal="center" vertical="center"/>
    </xf>
    <xf numFmtId="180" fontId="11" fillId="0" borderId="8" xfId="3" applyNumberFormat="1" applyFont="1" applyBorder="1" applyAlignment="1">
      <alignment horizontal="center" vertical="center"/>
    </xf>
    <xf numFmtId="180" fontId="11" fillId="0" borderId="12" xfId="3" applyNumberFormat="1" applyFont="1" applyBorder="1" applyAlignment="1">
      <alignment horizontal="center" vertical="center"/>
    </xf>
    <xf numFmtId="0" fontId="11" fillId="5" borderId="3" xfId="3" applyFont="1" applyFill="1" applyBorder="1" applyAlignment="1">
      <alignment horizontal="left" vertical="center"/>
    </xf>
    <xf numFmtId="0" fontId="11" fillId="5" borderId="7" xfId="3" applyFont="1" applyFill="1" applyBorder="1" applyAlignment="1">
      <alignment horizontal="left" vertical="center"/>
    </xf>
    <xf numFmtId="49" fontId="11" fillId="4" borderId="4" xfId="3" applyNumberFormat="1" applyFont="1" applyFill="1" applyBorder="1" applyAlignment="1">
      <alignment horizontal="right" vertical="center"/>
    </xf>
    <xf numFmtId="49" fontId="11" fillId="4" borderId="3" xfId="3" applyNumberFormat="1" applyFont="1" applyFill="1" applyBorder="1" applyAlignment="1">
      <alignment horizontal="right" vertical="center"/>
    </xf>
    <xf numFmtId="176" fontId="11" fillId="7" borderId="4" xfId="3" applyNumberFormat="1" applyFont="1" applyFill="1" applyBorder="1" applyAlignment="1" applyProtection="1">
      <alignment horizontal="center" vertical="center"/>
      <protection hidden="1"/>
    </xf>
    <xf numFmtId="176" fontId="11" fillId="7" borderId="3" xfId="3" applyNumberFormat="1" applyFont="1" applyFill="1" applyBorder="1" applyAlignment="1" applyProtection="1">
      <alignment horizontal="center" vertical="center"/>
      <protection hidden="1"/>
    </xf>
    <xf numFmtId="176" fontId="11" fillId="7" borderId="7" xfId="3" applyNumberFormat="1" applyFont="1" applyFill="1" applyBorder="1" applyAlignment="1" applyProtection="1">
      <alignment horizontal="center" vertical="center"/>
      <protection hidden="1"/>
    </xf>
    <xf numFmtId="0" fontId="11" fillId="0" borderId="4" xfId="3" applyFont="1" applyFill="1" applyBorder="1" applyAlignment="1">
      <alignment horizontal="center" vertical="center"/>
    </xf>
    <xf numFmtId="0" fontId="11" fillId="0" borderId="7" xfId="3" applyFont="1" applyFill="1" applyBorder="1" applyAlignment="1">
      <alignment horizontal="center" vertical="center"/>
    </xf>
    <xf numFmtId="0" fontId="11" fillId="0" borderId="9" xfId="3" applyFont="1" applyFill="1" applyBorder="1" applyAlignment="1">
      <alignment horizontal="center" vertical="center"/>
    </xf>
    <xf numFmtId="0" fontId="11" fillId="0" borderId="8" xfId="3" applyFont="1" applyFill="1" applyBorder="1" applyAlignment="1">
      <alignment horizontal="center" vertical="center"/>
    </xf>
    <xf numFmtId="0" fontId="11" fillId="0" borderId="12" xfId="3" applyFont="1" applyFill="1" applyBorder="1" applyAlignment="1">
      <alignment horizontal="center" vertical="center"/>
    </xf>
    <xf numFmtId="49" fontId="11" fillId="0" borderId="4" xfId="3" applyNumberFormat="1" applyFont="1" applyFill="1" applyBorder="1" applyAlignment="1">
      <alignment horizontal="right" vertical="center"/>
    </xf>
    <xf numFmtId="49" fontId="11" fillId="0" borderId="3" xfId="3" applyNumberFormat="1" applyFont="1" applyFill="1" applyBorder="1" applyAlignment="1">
      <alignment horizontal="right" vertical="center"/>
    </xf>
    <xf numFmtId="0" fontId="11" fillId="0" borderId="3" xfId="3" applyFont="1" applyFill="1" applyBorder="1" applyAlignment="1">
      <alignment horizontal="center" vertical="center"/>
    </xf>
    <xf numFmtId="49" fontId="11" fillId="0" borderId="4" xfId="3" applyNumberFormat="1" applyFont="1" applyFill="1" applyBorder="1" applyAlignment="1">
      <alignment horizontal="center" vertical="center"/>
    </xf>
    <xf numFmtId="49" fontId="11" fillId="0" borderId="7" xfId="3" applyNumberFormat="1" applyFont="1" applyFill="1" applyBorder="1" applyAlignment="1">
      <alignment horizontal="center" vertical="center"/>
    </xf>
    <xf numFmtId="0" fontId="11" fillId="0" borderId="3" xfId="3" applyFont="1" applyFill="1" applyBorder="1" applyAlignment="1">
      <alignment horizontal="left" vertical="center"/>
    </xf>
    <xf numFmtId="0" fontId="11" fillId="0" borderId="7" xfId="3" applyFont="1" applyFill="1" applyBorder="1" applyAlignment="1">
      <alignment horizontal="left" vertical="center"/>
    </xf>
    <xf numFmtId="176" fontId="11" fillId="0" borderId="4" xfId="3" applyNumberFormat="1" applyFont="1" applyFill="1" applyBorder="1" applyAlignment="1" applyProtection="1">
      <alignment horizontal="center" vertical="center"/>
      <protection hidden="1"/>
    </xf>
    <xf numFmtId="176" fontId="11" fillId="0" borderId="3" xfId="3" applyNumberFormat="1" applyFont="1" applyFill="1" applyBorder="1" applyAlignment="1" applyProtection="1">
      <alignment horizontal="center" vertical="center"/>
      <protection hidden="1"/>
    </xf>
    <xf numFmtId="176" fontId="11" fillId="0" borderId="7" xfId="3" applyNumberFormat="1" applyFont="1" applyFill="1" applyBorder="1" applyAlignment="1" applyProtection="1">
      <alignment horizontal="center" vertical="center"/>
      <protection hidden="1"/>
    </xf>
    <xf numFmtId="49" fontId="11" fillId="0" borderId="1" xfId="3" applyNumberFormat="1" applyFont="1" applyFill="1" applyBorder="1" applyAlignment="1">
      <alignment horizontal="right" vertical="center"/>
    </xf>
    <xf numFmtId="176" fontId="11" fillId="0" borderId="1" xfId="3" applyNumberFormat="1" applyFont="1" applyFill="1" applyBorder="1" applyAlignment="1" applyProtection="1">
      <alignment horizontal="center" vertical="center"/>
      <protection hidden="1"/>
    </xf>
    <xf numFmtId="0" fontId="11" fillId="0" borderId="1" xfId="3" applyFont="1" applyFill="1" applyBorder="1" applyAlignment="1">
      <alignment horizontal="left" vertical="center"/>
    </xf>
    <xf numFmtId="0" fontId="186" fillId="0" borderId="1" xfId="3" applyFont="1" applyFill="1" applyBorder="1" applyAlignment="1" applyProtection="1">
      <alignment horizontal="center" vertical="center"/>
      <protection hidden="1"/>
    </xf>
    <xf numFmtId="176" fontId="11" fillId="0" borderId="4" xfId="3" applyNumberFormat="1" applyFont="1" applyFill="1" applyBorder="1" applyAlignment="1">
      <alignment horizontal="center" vertical="center"/>
    </xf>
    <xf numFmtId="176" fontId="11" fillId="0" borderId="3" xfId="3" applyNumberFormat="1" applyFont="1" applyFill="1" applyBorder="1" applyAlignment="1">
      <alignment horizontal="center" vertical="center"/>
    </xf>
    <xf numFmtId="176" fontId="11" fillId="0" borderId="7" xfId="3" applyNumberFormat="1" applyFont="1" applyFill="1" applyBorder="1" applyAlignment="1">
      <alignment horizontal="center" vertical="center"/>
    </xf>
    <xf numFmtId="0" fontId="11" fillId="0" borderId="1" xfId="3" applyFont="1" applyFill="1" applyBorder="1" applyAlignment="1">
      <alignment horizontal="center" vertical="center"/>
    </xf>
    <xf numFmtId="176" fontId="11" fillId="0" borderId="1" xfId="3" applyNumberFormat="1" applyFont="1" applyFill="1" applyBorder="1" applyAlignment="1">
      <alignment horizontal="center" vertical="center"/>
    </xf>
    <xf numFmtId="0" fontId="188" fillId="0" borderId="1" xfId="3" applyFont="1" applyFill="1" applyBorder="1" applyAlignment="1">
      <alignment horizontal="center" vertical="center"/>
    </xf>
    <xf numFmtId="49" fontId="11" fillId="5" borderId="4" xfId="3" applyNumberFormat="1" applyFont="1" applyFill="1" applyBorder="1" applyAlignment="1">
      <alignment horizontal="right" vertical="center"/>
    </xf>
    <xf numFmtId="49" fontId="11" fillId="5" borderId="3" xfId="3" applyNumberFormat="1" applyFont="1" applyFill="1" applyBorder="1" applyAlignment="1">
      <alignment horizontal="right" vertical="center"/>
    </xf>
    <xf numFmtId="181" fontId="186" fillId="19" borderId="10" xfId="3" applyNumberFormat="1" applyFont="1" applyFill="1" applyBorder="1" applyAlignment="1" applyProtection="1">
      <alignment horizontal="center" vertical="center"/>
      <protection hidden="1"/>
    </xf>
    <xf numFmtId="181" fontId="186" fillId="19" borderId="14" xfId="3" applyNumberFormat="1" applyFont="1" applyFill="1" applyBorder="1" applyAlignment="1" applyProtection="1">
      <alignment horizontal="center" vertical="center"/>
      <protection hidden="1"/>
    </xf>
    <xf numFmtId="181" fontId="186" fillId="19" borderId="13" xfId="3" applyNumberFormat="1" applyFont="1" applyFill="1" applyBorder="1" applyAlignment="1" applyProtection="1">
      <alignment horizontal="center" vertical="center"/>
      <protection hidden="1"/>
    </xf>
    <xf numFmtId="181" fontId="186" fillId="19" borderId="11" xfId="3" applyNumberFormat="1" applyFont="1" applyFill="1" applyBorder="1" applyAlignment="1" applyProtection="1">
      <alignment horizontal="center" vertical="center"/>
      <protection hidden="1"/>
    </xf>
    <xf numFmtId="181" fontId="186" fillId="19" borderId="2" xfId="3" applyNumberFormat="1" applyFont="1" applyFill="1" applyBorder="1" applyAlignment="1" applyProtection="1">
      <alignment horizontal="center" vertical="center"/>
      <protection hidden="1"/>
    </xf>
    <xf numFmtId="181" fontId="186" fillId="19" borderId="6" xfId="3" applyNumberFormat="1" applyFont="1" applyFill="1" applyBorder="1" applyAlignment="1" applyProtection="1">
      <alignment horizontal="center" vertical="center"/>
      <protection hidden="1"/>
    </xf>
    <xf numFmtId="0" fontId="11" fillId="0" borderId="1" xfId="3" applyFont="1" applyFill="1" applyBorder="1" applyAlignment="1">
      <alignment horizontal="center" vertical="center" wrapText="1"/>
    </xf>
    <xf numFmtId="0" fontId="11" fillId="0" borderId="14" xfId="3" applyFont="1" applyFill="1" applyBorder="1" applyAlignment="1">
      <alignment horizontal="center" vertical="center"/>
    </xf>
    <xf numFmtId="0" fontId="11" fillId="0" borderId="0" xfId="3" applyFont="1" applyFill="1" applyBorder="1" applyAlignment="1">
      <alignment horizontal="center" vertical="center"/>
    </xf>
    <xf numFmtId="181" fontId="186" fillId="19" borderId="5" xfId="3" applyNumberFormat="1" applyFont="1" applyFill="1" applyBorder="1" applyAlignment="1" applyProtection="1">
      <alignment horizontal="center" vertical="center"/>
      <protection hidden="1"/>
    </xf>
    <xf numFmtId="181" fontId="186" fillId="19" borderId="0" xfId="3" applyNumberFormat="1" applyFont="1" applyFill="1" applyBorder="1" applyAlignment="1" applyProtection="1">
      <alignment horizontal="center" vertical="center"/>
      <protection hidden="1"/>
    </xf>
    <xf numFmtId="181" fontId="186" fillId="19" borderId="16" xfId="3" applyNumberFormat="1" applyFont="1" applyFill="1" applyBorder="1" applyAlignment="1" applyProtection="1">
      <alignment horizontal="center" vertical="center"/>
      <protection hidden="1"/>
    </xf>
    <xf numFmtId="0" fontId="186" fillId="19" borderId="4" xfId="3" applyFont="1" applyFill="1" applyBorder="1" applyAlignment="1" applyProtection="1">
      <alignment horizontal="center" vertical="center"/>
      <protection hidden="1"/>
    </xf>
    <xf numFmtId="0" fontId="186" fillId="19" borderId="3" xfId="3" applyFont="1" applyFill="1" applyBorder="1" applyAlignment="1" applyProtection="1">
      <alignment horizontal="center" vertical="center"/>
      <protection hidden="1"/>
    </xf>
    <xf numFmtId="0" fontId="186" fillId="19" borderId="7" xfId="3" applyFont="1" applyFill="1" applyBorder="1" applyAlignment="1" applyProtection="1">
      <alignment horizontal="center" vertical="center"/>
      <protection hidden="1"/>
    </xf>
    <xf numFmtId="0" fontId="193" fillId="0" borderId="0" xfId="3" applyFont="1" applyAlignment="1">
      <alignment horizontal="left" vertical="center" wrapText="1"/>
    </xf>
    <xf numFmtId="0" fontId="183" fillId="0" borderId="4" xfId="3" applyFont="1" applyBorder="1" applyAlignment="1">
      <alignment vertical="center"/>
    </xf>
    <xf numFmtId="0" fontId="183" fillId="2" borderId="4" xfId="3" applyFont="1" applyFill="1" applyBorder="1" applyAlignment="1">
      <alignment vertical="center"/>
    </xf>
    <xf numFmtId="0" fontId="183" fillId="2" borderId="7" xfId="3" applyFill="1" applyBorder="1" applyAlignment="1">
      <alignment vertical="center"/>
    </xf>
    <xf numFmtId="0" fontId="183" fillId="0" borderId="0" xfId="3" applyAlignment="1">
      <alignment horizontal="center"/>
    </xf>
    <xf numFmtId="0" fontId="11" fillId="5" borderId="9" xfId="3" applyFont="1" applyFill="1" applyBorder="1" applyAlignment="1">
      <alignment horizontal="center" vertical="center" wrapText="1"/>
    </xf>
    <xf numFmtId="0" fontId="11" fillId="5" borderId="8" xfId="3" applyFont="1" applyFill="1" applyBorder="1" applyAlignment="1">
      <alignment horizontal="center" vertical="center" wrapText="1"/>
    </xf>
    <xf numFmtId="0" fontId="11" fillId="5" borderId="12" xfId="3" applyFont="1" applyFill="1" applyBorder="1" applyAlignment="1">
      <alignment horizontal="center" vertical="center" wrapText="1"/>
    </xf>
    <xf numFmtId="176" fontId="11" fillId="5" borderId="9" xfId="3" applyNumberFormat="1" applyFont="1" applyFill="1" applyBorder="1" applyAlignment="1">
      <alignment horizontal="center" vertical="center"/>
    </xf>
    <xf numFmtId="176" fontId="11" fillId="5" borderId="8" xfId="3" applyNumberFormat="1" applyFont="1" applyFill="1" applyBorder="1" applyAlignment="1">
      <alignment horizontal="center" vertical="center"/>
    </xf>
    <xf numFmtId="176" fontId="11" fillId="5" borderId="12" xfId="3" applyNumberFormat="1" applyFont="1" applyFill="1" applyBorder="1" applyAlignment="1">
      <alignment horizontal="center" vertical="center"/>
    </xf>
    <xf numFmtId="0" fontId="0" fillId="0" borderId="1" xfId="0" applyBorder="1">
      <alignment vertical="center"/>
    </xf>
    <xf numFmtId="176" fontId="11" fillId="0" borderId="4" xfId="3" applyNumberFormat="1" applyFont="1" applyFill="1" applyBorder="1" applyAlignment="1">
      <alignment horizontal="center"/>
    </xf>
    <xf numFmtId="176" fontId="11" fillId="0" borderId="7" xfId="3" applyNumberFormat="1" applyFont="1" applyFill="1" applyBorder="1" applyAlignment="1">
      <alignment horizontal="center"/>
    </xf>
    <xf numFmtId="0" fontId="183" fillId="0" borderId="11" xfId="3" applyFill="1" applyBorder="1" applyAlignment="1">
      <alignment horizontal="center" vertical="center"/>
    </xf>
    <xf numFmtId="0" fontId="183" fillId="0" borderId="6" xfId="3" applyFill="1" applyBorder="1" applyAlignment="1">
      <alignment horizontal="center" vertical="center"/>
    </xf>
    <xf numFmtId="0" fontId="188" fillId="0" borderId="10" xfId="3" applyFont="1" applyBorder="1" applyAlignment="1">
      <alignment horizontal="center" vertical="center"/>
    </xf>
    <xf numFmtId="0" fontId="183" fillId="0" borderId="13" xfId="3" applyBorder="1" applyAlignment="1">
      <alignment horizontal="center" vertical="center"/>
    </xf>
    <xf numFmtId="0" fontId="183" fillId="0" borderId="5" xfId="3" applyBorder="1" applyAlignment="1">
      <alignment horizontal="center" vertical="center"/>
    </xf>
    <xf numFmtId="0" fontId="183" fillId="0" borderId="16" xfId="3" applyBorder="1" applyAlignment="1">
      <alignment horizontal="center" vertical="center"/>
    </xf>
    <xf numFmtId="0" fontId="183" fillId="0" borderId="11" xfId="3" applyBorder="1" applyAlignment="1">
      <alignment horizontal="center" vertical="center"/>
    </xf>
    <xf numFmtId="0" fontId="183" fillId="0" borderId="6" xfId="3" applyBorder="1" applyAlignment="1">
      <alignment horizontal="center" vertical="center"/>
    </xf>
    <xf numFmtId="180" fontId="11" fillId="0" borderId="4" xfId="3" applyNumberFormat="1" applyFont="1" applyBorder="1" applyAlignment="1">
      <alignment horizontal="center"/>
    </xf>
    <xf numFmtId="180" fontId="11" fillId="0" borderId="7" xfId="3" applyNumberFormat="1" applyFont="1" applyBorder="1" applyAlignment="1">
      <alignment horizontal="center"/>
    </xf>
    <xf numFmtId="0" fontId="188" fillId="0" borderId="9" xfId="3" applyFont="1" applyBorder="1" applyAlignment="1">
      <alignment horizontal="left" vertical="center"/>
    </xf>
    <xf numFmtId="0" fontId="183" fillId="0" borderId="8" xfId="3" applyBorder="1" applyAlignment="1">
      <alignment vertical="center"/>
    </xf>
    <xf numFmtId="0" fontId="0" fillId="0" borderId="12" xfId="0" applyBorder="1">
      <alignment vertical="center"/>
    </xf>
    <xf numFmtId="0" fontId="11" fillId="0" borderId="1" xfId="3" applyFont="1" applyFill="1" applyBorder="1" applyAlignment="1">
      <alignment horizontal="center"/>
    </xf>
    <xf numFmtId="0" fontId="11" fillId="0" borderId="1" xfId="3" applyFont="1" applyBorder="1" applyAlignment="1">
      <alignment horizontal="center"/>
    </xf>
    <xf numFmtId="49" fontId="11" fillId="0" borderId="4" xfId="3" applyNumberFormat="1" applyFont="1" applyFill="1" applyBorder="1" applyAlignment="1">
      <alignment horizontal="center"/>
    </xf>
    <xf numFmtId="49" fontId="11" fillId="0" borderId="7" xfId="3" applyNumberFormat="1" applyFont="1" applyFill="1" applyBorder="1" applyAlignment="1">
      <alignment horizontal="center"/>
    </xf>
    <xf numFmtId="176" fontId="11" fillId="0" borderId="1" xfId="3" applyNumberFormat="1" applyFont="1" applyBorder="1" applyAlignment="1">
      <alignment horizontal="center"/>
    </xf>
    <xf numFmtId="49" fontId="11" fillId="0" borderId="4" xfId="3" applyNumberFormat="1" applyFont="1" applyBorder="1" applyAlignment="1">
      <alignment horizontal="center"/>
    </xf>
    <xf numFmtId="49" fontId="11" fillId="0" borderId="7" xfId="3" applyNumberFormat="1" applyFont="1" applyBorder="1" applyAlignment="1">
      <alignment horizontal="center"/>
    </xf>
    <xf numFmtId="0" fontId="0" fillId="0" borderId="9" xfId="0" applyBorder="1">
      <alignment vertical="center"/>
    </xf>
    <xf numFmtId="0" fontId="0" fillId="0" borderId="8" xfId="0" applyBorder="1">
      <alignment vertical="center"/>
    </xf>
    <xf numFmtId="0" fontId="188" fillId="0" borderId="11" xfId="3" applyFont="1" applyFill="1" applyBorder="1" applyAlignment="1" applyProtection="1">
      <alignment horizontal="center"/>
      <protection hidden="1"/>
    </xf>
    <xf numFmtId="0" fontId="188" fillId="0" borderId="2" xfId="3" applyFont="1" applyFill="1" applyBorder="1" applyAlignment="1" applyProtection="1">
      <alignment horizontal="center"/>
      <protection hidden="1"/>
    </xf>
    <xf numFmtId="0" fontId="188" fillId="0" borderId="6" xfId="3" applyFont="1" applyFill="1" applyBorder="1" applyAlignment="1" applyProtection="1">
      <alignment horizontal="center"/>
      <protection hidden="1"/>
    </xf>
    <xf numFmtId="0" fontId="188" fillId="0" borderId="10" xfId="3" applyFont="1" applyFill="1" applyBorder="1" applyAlignment="1">
      <alignment horizontal="center"/>
    </xf>
    <xf numFmtId="0" fontId="188" fillId="0" borderId="14" xfId="3" applyFont="1" applyFill="1" applyBorder="1" applyAlignment="1">
      <alignment horizontal="center"/>
    </xf>
    <xf numFmtId="0" fontId="188" fillId="0" borderId="13" xfId="3" applyFont="1" applyFill="1" applyBorder="1" applyAlignment="1">
      <alignment horizontal="center"/>
    </xf>
    <xf numFmtId="0" fontId="188" fillId="0" borderId="11" xfId="3" applyFont="1" applyFill="1" applyBorder="1" applyAlignment="1">
      <alignment horizontal="center"/>
    </xf>
    <xf numFmtId="0" fontId="188" fillId="0" borderId="2" xfId="3" applyFont="1" applyFill="1" applyBorder="1" applyAlignment="1">
      <alignment horizontal="center"/>
    </xf>
    <xf numFmtId="0" fontId="188" fillId="0" borderId="6" xfId="3" applyFont="1" applyFill="1" applyBorder="1" applyAlignment="1">
      <alignment horizontal="center"/>
    </xf>
    <xf numFmtId="0" fontId="188" fillId="0" borderId="10" xfId="3" applyFont="1" applyFill="1" applyBorder="1" applyAlignment="1" applyProtection="1">
      <alignment horizontal="center"/>
      <protection hidden="1"/>
    </xf>
    <xf numFmtId="0" fontId="188" fillId="0" borderId="14" xfId="3" applyFont="1" applyFill="1" applyBorder="1" applyAlignment="1" applyProtection="1">
      <alignment horizontal="center"/>
      <protection hidden="1"/>
    </xf>
    <xf numFmtId="0" fontId="188" fillId="0" borderId="13" xfId="3" applyFont="1" applyFill="1" applyBorder="1" applyAlignment="1" applyProtection="1">
      <alignment horizontal="center"/>
      <protection hidden="1"/>
    </xf>
    <xf numFmtId="0" fontId="188" fillId="0" borderId="10" xfId="3" applyFont="1" applyFill="1" applyBorder="1" applyAlignment="1" applyProtection="1">
      <alignment horizontal="center" vertical="center"/>
      <protection hidden="1"/>
    </xf>
    <xf numFmtId="0" fontId="188" fillId="0" borderId="14" xfId="3" applyFont="1" applyFill="1" applyBorder="1" applyAlignment="1" applyProtection="1">
      <alignment horizontal="center" vertical="center"/>
      <protection hidden="1"/>
    </xf>
    <xf numFmtId="0" fontId="188" fillId="0" borderId="13" xfId="3" applyFont="1" applyFill="1" applyBorder="1" applyAlignment="1" applyProtection="1">
      <alignment horizontal="center" vertical="center"/>
      <protection hidden="1"/>
    </xf>
    <xf numFmtId="0" fontId="183" fillId="0" borderId="2" xfId="3" applyFill="1" applyBorder="1" applyAlignment="1">
      <alignment horizontal="center" vertical="center"/>
    </xf>
    <xf numFmtId="0" fontId="189" fillId="0" borderId="10" xfId="3" applyFont="1" applyFill="1" applyBorder="1" applyAlignment="1" applyProtection="1">
      <alignment horizontal="center"/>
      <protection hidden="1"/>
    </xf>
    <xf numFmtId="0" fontId="189" fillId="0" borderId="14" xfId="3" applyFont="1" applyFill="1" applyBorder="1" applyAlignment="1" applyProtection="1">
      <alignment horizontal="center"/>
      <protection hidden="1"/>
    </xf>
    <xf numFmtId="0" fontId="189" fillId="0" borderId="13" xfId="3" applyFont="1" applyFill="1" applyBorder="1" applyAlignment="1" applyProtection="1">
      <alignment horizontal="center"/>
      <protection hidden="1"/>
    </xf>
    <xf numFmtId="0" fontId="11" fillId="0" borderId="4" xfId="3" applyFont="1" applyFill="1" applyBorder="1" applyAlignment="1" applyProtection="1">
      <alignment horizontal="center" vertical="center"/>
      <protection hidden="1"/>
    </xf>
    <xf numFmtId="0" fontId="11" fillId="0" borderId="3" xfId="3" applyFont="1" applyFill="1" applyBorder="1" applyAlignment="1" applyProtection="1">
      <alignment horizontal="center" vertical="center"/>
      <protection hidden="1"/>
    </xf>
    <xf numFmtId="0" fontId="11" fillId="0" borderId="7" xfId="3" applyFont="1" applyFill="1" applyBorder="1" applyAlignment="1" applyProtection="1">
      <alignment horizontal="center" vertical="center"/>
      <protection hidden="1"/>
    </xf>
    <xf numFmtId="181" fontId="11" fillId="0" borderId="4" xfId="3" applyNumberFormat="1" applyFont="1" applyFill="1" applyBorder="1" applyAlignment="1" applyProtection="1">
      <alignment horizontal="center" vertical="center"/>
      <protection hidden="1"/>
    </xf>
    <xf numFmtId="181" fontId="11" fillId="0" borderId="7" xfId="3" applyNumberFormat="1" applyFont="1" applyFill="1" applyBorder="1" applyAlignment="1" applyProtection="1">
      <alignment horizontal="center" vertical="center"/>
      <protection hidden="1"/>
    </xf>
    <xf numFmtId="181" fontId="11" fillId="0" borderId="3" xfId="3" applyNumberFormat="1" applyFont="1" applyFill="1" applyBorder="1" applyAlignment="1" applyProtection="1">
      <alignment horizontal="center" vertical="center"/>
      <protection hidden="1"/>
    </xf>
    <xf numFmtId="0" fontId="16" fillId="0" borderId="10" xfId="3" applyFont="1" applyFill="1" applyBorder="1" applyAlignment="1">
      <alignment horizontal="center" vertical="center"/>
    </xf>
    <xf numFmtId="0" fontId="16" fillId="0" borderId="14" xfId="3" applyFont="1" applyFill="1" applyBorder="1" applyAlignment="1">
      <alignment horizontal="center" vertical="center"/>
    </xf>
    <xf numFmtId="0" fontId="16" fillId="0" borderId="13" xfId="3" applyFont="1" applyFill="1" applyBorder="1" applyAlignment="1">
      <alignment horizontal="center" vertical="center"/>
    </xf>
    <xf numFmtId="0" fontId="16" fillId="0" borderId="5" xfId="3" applyFont="1" applyFill="1" applyBorder="1" applyAlignment="1">
      <alignment horizontal="center" vertical="center"/>
    </xf>
    <xf numFmtId="0" fontId="16" fillId="0" borderId="0" xfId="3" applyFont="1" applyFill="1" applyBorder="1" applyAlignment="1">
      <alignment horizontal="center" vertical="center"/>
    </xf>
    <xf numFmtId="0" fontId="16" fillId="0" borderId="16" xfId="3" applyFont="1" applyFill="1" applyBorder="1" applyAlignment="1">
      <alignment horizontal="center" vertical="center"/>
    </xf>
    <xf numFmtId="0" fontId="16" fillId="0" borderId="11" xfId="3" applyFont="1" applyFill="1" applyBorder="1" applyAlignment="1">
      <alignment horizontal="center" vertical="center"/>
    </xf>
    <xf numFmtId="0" fontId="16" fillId="0" borderId="2" xfId="3" applyFont="1" applyFill="1" applyBorder="1" applyAlignment="1">
      <alignment horizontal="center" vertical="center"/>
    </xf>
    <xf numFmtId="0" fontId="16" fillId="0" borderId="6" xfId="3" applyFont="1" applyFill="1" applyBorder="1" applyAlignment="1">
      <alignment horizontal="center" vertical="center"/>
    </xf>
    <xf numFmtId="0" fontId="0" fillId="0" borderId="7" xfId="0" applyBorder="1" applyAlignment="1">
      <alignment horizontal="left" vertical="center"/>
    </xf>
    <xf numFmtId="0" fontId="10" fillId="13" borderId="1" xfId="16" applyFont="1" applyFill="1" applyBorder="1" applyAlignment="1">
      <alignment horizontal="center" vertical="center"/>
    </xf>
    <xf numFmtId="0" fontId="89" fillId="13" borderId="1" xfId="16" applyFont="1" applyFill="1" applyBorder="1" applyAlignment="1">
      <alignment horizontal="center" vertical="center"/>
    </xf>
    <xf numFmtId="0" fontId="1" fillId="0" borderId="0" xfId="0" applyFont="1" applyAlignment="1">
      <alignment horizontal="center" vertical="center" wrapText="1"/>
    </xf>
    <xf numFmtId="0" fontId="1" fillId="0" borderId="1" xfId="0" applyFont="1" applyBorder="1" applyAlignment="1">
      <alignment horizontal="center" vertical="center"/>
    </xf>
    <xf numFmtId="0" fontId="0" fillId="0" borderId="1" xfId="0" applyBorder="1" applyAlignment="1">
      <alignment horizontal="center" vertical="center"/>
    </xf>
    <xf numFmtId="0" fontId="20" fillId="0" borderId="5" xfId="0" applyFont="1" applyBorder="1" applyAlignment="1">
      <alignment horizontal="center" vertical="center" wrapText="1"/>
    </xf>
    <xf numFmtId="0" fontId="1" fillId="0" borderId="0" xfId="0" applyFont="1" applyBorder="1" applyAlignment="1">
      <alignment horizontal="center" vertical="center" wrapText="1"/>
    </xf>
    <xf numFmtId="0" fontId="1" fillId="5" borderId="10" xfId="0" applyFont="1" applyFill="1" applyBorder="1" applyAlignment="1">
      <alignment horizontal="center" vertical="center" wrapText="1"/>
    </xf>
    <xf numFmtId="0" fontId="0" fillId="5" borderId="13" xfId="0" applyFill="1" applyBorder="1" applyAlignment="1">
      <alignment horizontal="center" vertical="center" wrapText="1"/>
    </xf>
    <xf numFmtId="0" fontId="0" fillId="5" borderId="11" xfId="0" applyFill="1" applyBorder="1" applyAlignment="1">
      <alignment horizontal="center" vertical="center" wrapText="1"/>
    </xf>
    <xf numFmtId="0" fontId="0" fillId="5" borderId="6" xfId="0" applyFill="1" applyBorder="1" applyAlignment="1">
      <alignment horizontal="center" vertical="center" wrapText="1"/>
    </xf>
    <xf numFmtId="0" fontId="1" fillId="5" borderId="13" xfId="0" applyFont="1" applyFill="1" applyBorder="1" applyAlignment="1">
      <alignment horizontal="center" vertical="center" wrapText="1"/>
    </xf>
    <xf numFmtId="0" fontId="1" fillId="5" borderId="11" xfId="0" applyFont="1" applyFill="1" applyBorder="1" applyAlignment="1">
      <alignment horizontal="center" vertical="center" wrapText="1"/>
    </xf>
    <xf numFmtId="0" fontId="1" fillId="5" borderId="6" xfId="0" applyFont="1" applyFill="1" applyBorder="1" applyAlignment="1">
      <alignment horizontal="center" vertical="center" wrapText="1"/>
    </xf>
    <xf numFmtId="0" fontId="26" fillId="4" borderId="1" xfId="0" applyFont="1" applyFill="1" applyBorder="1" applyAlignment="1">
      <alignment horizontal="center" vertical="center" wrapText="1"/>
    </xf>
    <xf numFmtId="0" fontId="9" fillId="15" borderId="1" xfId="18" applyFont="1" applyFill="1" applyBorder="1" applyAlignment="1">
      <alignment horizontal="center" vertical="center" wrapText="1"/>
    </xf>
    <xf numFmtId="0" fontId="26" fillId="14" borderId="9" xfId="0" applyFont="1" applyFill="1" applyBorder="1" applyAlignment="1">
      <alignment horizontal="center" vertical="center" wrapText="1"/>
    </xf>
    <xf numFmtId="0" fontId="26" fillId="14" borderId="12" xfId="0" applyFont="1" applyFill="1" applyBorder="1" applyAlignment="1">
      <alignment horizontal="center" vertical="center" wrapText="1"/>
    </xf>
    <xf numFmtId="182" fontId="0" fillId="5" borderId="10" xfId="0" applyNumberFormat="1" applyFill="1" applyBorder="1" applyAlignment="1">
      <alignment horizontal="right" vertical="center"/>
    </xf>
    <xf numFmtId="182" fontId="0" fillId="5" borderId="5" xfId="0" applyNumberFormat="1" applyFill="1" applyBorder="1" applyAlignment="1">
      <alignment horizontal="right" vertical="center"/>
    </xf>
    <xf numFmtId="0" fontId="1" fillId="5" borderId="13" xfId="0" applyFont="1" applyFill="1" applyBorder="1" applyAlignment="1">
      <alignment vertical="center"/>
    </xf>
    <xf numFmtId="0" fontId="0" fillId="5" borderId="16" xfId="0" applyFill="1" applyBorder="1" applyAlignment="1">
      <alignment vertical="center"/>
    </xf>
    <xf numFmtId="182" fontId="0" fillId="0" borderId="10" xfId="0" applyNumberFormat="1" applyBorder="1" applyAlignment="1">
      <alignment horizontal="right" vertical="center"/>
    </xf>
    <xf numFmtId="182" fontId="0" fillId="0" borderId="5" xfId="0" applyNumberFormat="1" applyBorder="1" applyAlignment="1">
      <alignment horizontal="right" vertical="center"/>
    </xf>
    <xf numFmtId="182" fontId="0" fillId="0" borderId="11" xfId="0" applyNumberFormat="1" applyBorder="1" applyAlignment="1">
      <alignment horizontal="right" vertical="center"/>
    </xf>
    <xf numFmtId="0" fontId="0" fillId="0" borderId="13" xfId="0" applyBorder="1" applyAlignment="1">
      <alignment vertical="center"/>
    </xf>
    <xf numFmtId="0" fontId="20" fillId="0" borderId="0" xfId="0" applyFont="1">
      <alignment vertical="center"/>
    </xf>
    <xf numFmtId="0" fontId="0" fillId="0" borderId="4" xfId="0" applyFont="1" applyBorder="1" applyAlignment="1">
      <alignment horizontal="left" vertical="center"/>
    </xf>
    <xf numFmtId="0" fontId="26" fillId="16" borderId="9" xfId="0" applyFont="1" applyFill="1" applyBorder="1" applyAlignment="1">
      <alignment horizontal="center" vertical="center" wrapText="1"/>
    </xf>
    <xf numFmtId="0" fontId="26" fillId="16" borderId="12" xfId="0" applyFont="1" applyFill="1" applyBorder="1" applyAlignment="1">
      <alignment horizontal="center" vertical="center" wrapText="1"/>
    </xf>
    <xf numFmtId="0" fontId="9" fillId="15" borderId="9" xfId="18" applyFont="1" applyFill="1" applyBorder="1" applyAlignment="1">
      <alignment horizontal="center" vertical="center" wrapText="1"/>
    </xf>
    <xf numFmtId="0" fontId="9" fillId="15" borderId="12" xfId="18" applyFont="1" applyFill="1" applyBorder="1" applyAlignment="1">
      <alignment horizontal="center" vertical="center" wrapText="1"/>
    </xf>
    <xf numFmtId="0" fontId="0" fillId="0" borderId="0" xfId="0" applyFont="1" applyAlignment="1">
      <alignment horizontal="center" vertical="center" wrapText="1"/>
    </xf>
    <xf numFmtId="0" fontId="1" fillId="0" borderId="4" xfId="0" applyFont="1" applyBorder="1" applyAlignment="1">
      <alignment horizontal="center" vertical="center"/>
    </xf>
    <xf numFmtId="0" fontId="20" fillId="0" borderId="0" xfId="0" applyFont="1" applyBorder="1" applyAlignment="1">
      <alignment horizontal="center" vertical="center" wrapText="1"/>
    </xf>
    <xf numFmtId="0" fontId="14" fillId="5" borderId="10" xfId="0" applyFont="1" applyFill="1" applyBorder="1" applyAlignment="1">
      <alignment horizontal="center" vertical="center" wrapText="1"/>
    </xf>
    <xf numFmtId="0" fontId="14" fillId="5" borderId="1" xfId="0" applyFont="1" applyFill="1" applyBorder="1" applyAlignment="1">
      <alignment horizontal="center" vertical="center" wrapText="1"/>
    </xf>
    <xf numFmtId="0" fontId="0" fillId="5" borderId="1" xfId="0" applyFill="1" applyBorder="1" applyAlignment="1">
      <alignment horizontal="center" vertical="center" wrapText="1"/>
    </xf>
    <xf numFmtId="0" fontId="14" fillId="0" borderId="1" xfId="0" applyFont="1" applyBorder="1">
      <alignment vertical="center"/>
    </xf>
    <xf numFmtId="0" fontId="0" fillId="4" borderId="1" xfId="0" applyFill="1" applyBorder="1" applyAlignment="1">
      <alignment horizontal="center" vertical="center" wrapText="1"/>
    </xf>
    <xf numFmtId="0" fontId="0" fillId="7" borderId="1" xfId="0" applyFill="1" applyBorder="1" applyAlignment="1">
      <alignment horizontal="center" vertical="center" wrapText="1"/>
    </xf>
    <xf numFmtId="0" fontId="0" fillId="5" borderId="13" xfId="0" applyFill="1" applyBorder="1" applyAlignment="1">
      <alignment vertical="center"/>
    </xf>
    <xf numFmtId="0" fontId="1" fillId="5" borderId="10" xfId="0" applyFont="1" applyFill="1" applyBorder="1" applyAlignment="1">
      <alignment horizontal="center" vertical="center"/>
    </xf>
    <xf numFmtId="0" fontId="1" fillId="5" borderId="11" xfId="0" applyFont="1" applyFill="1" applyBorder="1" applyAlignment="1">
      <alignment horizontal="center" vertical="center"/>
    </xf>
    <xf numFmtId="0" fontId="0" fillId="0" borderId="1" xfId="0" applyBorder="1" applyAlignment="1">
      <alignment horizontal="center" vertical="center" wrapText="1"/>
    </xf>
    <xf numFmtId="0" fontId="0" fillId="0" borderId="8" xfId="0" applyBorder="1" applyAlignment="1">
      <alignment horizontal="center" vertical="center"/>
    </xf>
    <xf numFmtId="0" fontId="1" fillId="0" borderId="12" xfId="0" applyFont="1" applyBorder="1" applyAlignment="1">
      <alignment horizontal="center" vertical="center"/>
    </xf>
    <xf numFmtId="0" fontId="20" fillId="0" borderId="2" xfId="0" applyFont="1" applyBorder="1">
      <alignment vertical="center"/>
    </xf>
    <xf numFmtId="0" fontId="0" fillId="0" borderId="2" xfId="0" applyBorder="1">
      <alignment vertical="center"/>
    </xf>
    <xf numFmtId="0" fontId="0" fillId="0" borderId="0" xfId="0" applyBorder="1">
      <alignment vertical="center"/>
    </xf>
    <xf numFmtId="0" fontId="0" fillId="5" borderId="14" xfId="0" applyFill="1" applyBorder="1" applyAlignment="1">
      <alignment horizontal="center" vertical="center" wrapText="1"/>
    </xf>
    <xf numFmtId="0" fontId="0" fillId="5" borderId="2" xfId="0" applyFill="1" applyBorder="1" applyAlignment="1">
      <alignment horizontal="center" vertical="center" wrapText="1"/>
    </xf>
    <xf numFmtId="0" fontId="1" fillId="5" borderId="1" xfId="0" applyFont="1" applyFill="1" applyBorder="1" applyAlignment="1">
      <alignment horizontal="center" vertical="center" wrapText="1"/>
    </xf>
    <xf numFmtId="182" fontId="0" fillId="0" borderId="10" xfId="0" applyNumberFormat="1" applyBorder="1" applyAlignment="1">
      <alignment vertical="center"/>
    </xf>
    <xf numFmtId="182" fontId="0" fillId="0" borderId="5" xfId="0" applyNumberFormat="1" applyBorder="1" applyAlignment="1">
      <alignment vertical="center"/>
    </xf>
    <xf numFmtId="182" fontId="0" fillId="0" borderId="11" xfId="0" applyNumberFormat="1" applyBorder="1" applyAlignment="1">
      <alignment vertical="center"/>
    </xf>
    <xf numFmtId="176" fontId="0" fillId="4" borderId="1" xfId="0" applyNumberFormat="1" applyFill="1" applyBorder="1" applyAlignment="1">
      <alignment horizontal="center" vertical="center"/>
    </xf>
    <xf numFmtId="181" fontId="0" fillId="4" borderId="1" xfId="0" applyNumberFormat="1" applyFill="1" applyBorder="1" applyAlignment="1">
      <alignment horizontal="center" vertical="center"/>
    </xf>
    <xf numFmtId="245" fontId="142" fillId="7" borderId="4" xfId="0" applyNumberFormat="1" applyFont="1" applyFill="1" applyBorder="1" applyAlignment="1">
      <alignment horizontal="center" vertical="center"/>
    </xf>
    <xf numFmtId="245" fontId="142" fillId="7" borderId="7" xfId="0" applyNumberFormat="1" applyFont="1" applyFill="1" applyBorder="1" applyAlignment="1">
      <alignment horizontal="center" vertical="center"/>
    </xf>
    <xf numFmtId="244" fontId="149" fillId="0" borderId="10" xfId="0" applyNumberFormat="1" applyFont="1" applyBorder="1" applyAlignment="1">
      <alignment horizontal="center" vertical="center"/>
    </xf>
    <xf numFmtId="244" fontId="149" fillId="0" borderId="13" xfId="0" applyNumberFormat="1" applyFont="1" applyBorder="1" applyAlignment="1">
      <alignment horizontal="center" vertical="center"/>
    </xf>
    <xf numFmtId="244" fontId="149" fillId="0" borderId="5" xfId="0" applyNumberFormat="1" applyFont="1" applyBorder="1" applyAlignment="1">
      <alignment horizontal="center" vertical="center"/>
    </xf>
    <xf numFmtId="244" fontId="149" fillId="0" borderId="16" xfId="0" applyNumberFormat="1" applyFont="1" applyBorder="1" applyAlignment="1">
      <alignment horizontal="center" vertical="center"/>
    </xf>
    <xf numFmtId="244" fontId="147" fillId="0" borderId="10" xfId="0" applyNumberFormat="1" applyFont="1" applyBorder="1" applyAlignment="1">
      <alignment horizontal="center" vertical="center"/>
    </xf>
    <xf numFmtId="244" fontId="147" fillId="0" borderId="13" xfId="0" applyNumberFormat="1" applyFont="1" applyBorder="1" applyAlignment="1">
      <alignment horizontal="center" vertical="center"/>
    </xf>
    <xf numFmtId="244" fontId="147" fillId="0" borderId="5" xfId="0" applyNumberFormat="1" applyFont="1" applyBorder="1" applyAlignment="1">
      <alignment horizontal="center" vertical="center"/>
    </xf>
    <xf numFmtId="244" fontId="147" fillId="0" borderId="16" xfId="0" applyNumberFormat="1" applyFont="1" applyBorder="1" applyAlignment="1">
      <alignment horizontal="center" vertical="center"/>
    </xf>
    <xf numFmtId="244" fontId="147" fillId="0" borderId="11" xfId="0" applyNumberFormat="1" applyFont="1" applyBorder="1" applyAlignment="1">
      <alignment horizontal="center" vertical="center"/>
    </xf>
    <xf numFmtId="244" fontId="147" fillId="0" borderId="6" xfId="0" applyNumberFormat="1" applyFont="1" applyBorder="1" applyAlignment="1">
      <alignment horizontal="center" vertical="center"/>
    </xf>
    <xf numFmtId="0" fontId="145" fillId="0" borderId="13" xfId="0" applyFont="1" applyBorder="1">
      <alignment vertical="center"/>
    </xf>
    <xf numFmtId="0" fontId="145" fillId="0" borderId="5" xfId="0" applyFont="1" applyBorder="1">
      <alignment vertical="center"/>
    </xf>
    <xf numFmtId="0" fontId="145" fillId="0" borderId="16" xfId="0" applyFont="1" applyBorder="1">
      <alignment vertical="center"/>
    </xf>
    <xf numFmtId="0" fontId="145" fillId="0" borderId="11" xfId="0" applyFont="1" applyBorder="1">
      <alignment vertical="center"/>
    </xf>
    <xf numFmtId="0" fontId="145" fillId="0" borderId="6" xfId="0" applyFont="1" applyBorder="1">
      <alignment vertical="center"/>
    </xf>
    <xf numFmtId="244" fontId="145" fillId="4" borderId="10" xfId="0" applyNumberFormat="1" applyFont="1" applyFill="1" applyBorder="1" applyAlignment="1">
      <alignment horizontal="center" vertical="center"/>
    </xf>
    <xf numFmtId="244" fontId="145" fillId="4" borderId="13" xfId="0" applyNumberFormat="1" applyFont="1" applyFill="1" applyBorder="1" applyAlignment="1">
      <alignment horizontal="center" vertical="center"/>
    </xf>
    <xf numFmtId="244" fontId="145" fillId="4" borderId="5" xfId="0" applyNumberFormat="1" applyFont="1" applyFill="1" applyBorder="1" applyAlignment="1">
      <alignment horizontal="center" vertical="center"/>
    </xf>
    <xf numFmtId="244" fontId="145" fillId="4" borderId="16" xfId="0" applyNumberFormat="1" applyFont="1" applyFill="1" applyBorder="1" applyAlignment="1">
      <alignment horizontal="center" vertical="center"/>
    </xf>
    <xf numFmtId="244" fontId="145" fillId="4" borderId="11" xfId="0" applyNumberFormat="1" applyFont="1" applyFill="1" applyBorder="1" applyAlignment="1">
      <alignment horizontal="center" vertical="center"/>
    </xf>
    <xf numFmtId="244" fontId="145" fillId="4" borderId="6" xfId="0" applyNumberFormat="1" applyFont="1" applyFill="1" applyBorder="1" applyAlignment="1">
      <alignment horizontal="center" vertical="center"/>
    </xf>
    <xf numFmtId="219" fontId="145" fillId="15" borderId="9" xfId="0" applyNumberFormat="1" applyFont="1" applyFill="1" applyBorder="1" applyAlignment="1">
      <alignment horizontal="center" vertical="center"/>
    </xf>
    <xf numFmtId="219" fontId="145" fillId="15" borderId="8" xfId="0" applyNumberFormat="1" applyFont="1" applyFill="1" applyBorder="1" applyAlignment="1">
      <alignment horizontal="center" vertical="center"/>
    </xf>
    <xf numFmtId="219" fontId="145" fillId="15" borderId="12" xfId="0" applyNumberFormat="1" applyFont="1" applyFill="1" applyBorder="1" applyAlignment="1">
      <alignment horizontal="center" vertical="center"/>
    </xf>
    <xf numFmtId="0" fontId="146" fillId="0" borderId="4" xfId="0" applyFont="1" applyBorder="1" applyAlignment="1">
      <alignment horizontal="center" vertical="center"/>
    </xf>
    <xf numFmtId="0" fontId="142" fillId="0" borderId="7" xfId="0" applyFont="1" applyBorder="1" applyAlignment="1">
      <alignment horizontal="center" vertical="center"/>
    </xf>
    <xf numFmtId="0" fontId="142" fillId="15" borderId="1" xfId="0" applyFont="1" applyFill="1" applyBorder="1" applyAlignment="1">
      <alignment horizontal="center" vertical="center" wrapText="1"/>
    </xf>
    <xf numFmtId="0" fontId="142" fillId="0" borderId="10" xfId="0" applyFont="1" applyBorder="1" applyAlignment="1">
      <alignment horizontal="center" vertical="center"/>
    </xf>
    <xf numFmtId="0" fontId="142" fillId="0" borderId="13" xfId="0" applyFont="1" applyBorder="1" applyAlignment="1">
      <alignment horizontal="center" vertical="center"/>
    </xf>
    <xf numFmtId="0" fontId="142" fillId="0" borderId="11" xfId="0" applyFont="1" applyBorder="1" applyAlignment="1">
      <alignment horizontal="center" vertical="center"/>
    </xf>
    <xf numFmtId="0" fontId="142" fillId="0" borderId="6" xfId="0" applyFont="1" applyBorder="1" applyAlignment="1">
      <alignment horizontal="center" vertical="center"/>
    </xf>
    <xf numFmtId="0" fontId="142" fillId="0" borderId="4" xfId="0" applyFont="1" applyBorder="1" applyAlignment="1">
      <alignment horizontal="center" vertical="center"/>
    </xf>
    <xf numFmtId="0" fontId="142" fillId="0" borderId="3" xfId="0" applyFont="1" applyBorder="1" applyAlignment="1">
      <alignment horizontal="center" vertical="center"/>
    </xf>
    <xf numFmtId="199" fontId="0" fillId="0" borderId="10" xfId="0" applyNumberFormat="1" applyBorder="1" applyAlignment="1">
      <alignment horizontal="center" vertical="center"/>
    </xf>
    <xf numFmtId="199" fontId="0" fillId="0" borderId="5" xfId="0" applyNumberFormat="1" applyBorder="1" applyAlignment="1">
      <alignment horizontal="center" vertical="center"/>
    </xf>
    <xf numFmtId="197" fontId="0" fillId="0" borderId="10" xfId="0" applyNumberFormat="1" applyBorder="1" applyAlignment="1">
      <alignment horizontal="center" vertical="center"/>
    </xf>
    <xf numFmtId="197" fontId="0" fillId="0" borderId="5" xfId="0" applyNumberFormat="1" applyBorder="1" applyAlignment="1">
      <alignment horizontal="center" vertical="center"/>
    </xf>
    <xf numFmtId="197" fontId="0" fillId="0" borderId="9" xfId="0" applyNumberFormat="1" applyBorder="1" applyAlignment="1">
      <alignment horizontal="center" vertical="center"/>
    </xf>
    <xf numFmtId="197" fontId="0" fillId="0" borderId="8" xfId="0" applyNumberFormat="1" applyBorder="1" applyAlignment="1">
      <alignment horizontal="center" vertical="center"/>
    </xf>
    <xf numFmtId="197" fontId="0" fillId="0" borderId="12" xfId="0" applyNumberFormat="1" applyBorder="1" applyAlignment="1">
      <alignment horizontal="center" vertical="center"/>
    </xf>
    <xf numFmtId="0" fontId="142" fillId="5" borderId="10" xfId="0" applyFont="1" applyFill="1" applyBorder="1" applyAlignment="1">
      <alignment horizontal="center" vertical="center" wrapText="1"/>
    </xf>
    <xf numFmtId="0" fontId="142" fillId="5" borderId="9" xfId="0" applyFont="1" applyFill="1" applyBorder="1" applyAlignment="1">
      <alignment horizontal="center" vertical="center" wrapText="1"/>
    </xf>
    <xf numFmtId="0" fontId="142" fillId="5" borderId="12" xfId="0" applyFont="1" applyFill="1" applyBorder="1" applyAlignment="1">
      <alignment horizontal="center" vertical="center" wrapText="1"/>
    </xf>
    <xf numFmtId="0" fontId="142" fillId="4" borderId="10" xfId="0" applyFont="1" applyFill="1" applyBorder="1" applyAlignment="1">
      <alignment horizontal="center" vertical="center" wrapText="1"/>
    </xf>
    <xf numFmtId="0" fontId="0" fillId="4" borderId="11" xfId="0" applyFill="1" applyBorder="1" applyAlignment="1">
      <alignment horizontal="center" vertical="center" wrapText="1"/>
    </xf>
    <xf numFmtId="0" fontId="142" fillId="4" borderId="9" xfId="0" applyFont="1" applyFill="1" applyBorder="1" applyAlignment="1">
      <alignment horizontal="center" vertical="center" wrapText="1"/>
    </xf>
    <xf numFmtId="0" fontId="142" fillId="4" borderId="12" xfId="0" applyFont="1" applyFill="1" applyBorder="1" applyAlignment="1">
      <alignment horizontal="center" vertical="center" wrapText="1"/>
    </xf>
    <xf numFmtId="197" fontId="0" fillId="5" borderId="10" xfId="0" applyNumberFormat="1" applyFill="1" applyBorder="1" applyAlignment="1">
      <alignment horizontal="center" vertical="center"/>
    </xf>
    <xf numFmtId="197" fontId="0" fillId="5" borderId="5" xfId="0" applyNumberFormat="1" applyFill="1" applyBorder="1" applyAlignment="1">
      <alignment horizontal="center" vertical="center"/>
    </xf>
    <xf numFmtId="0" fontId="145" fillId="15" borderId="9" xfId="18" applyFont="1" applyFill="1" applyBorder="1" applyAlignment="1">
      <alignment horizontal="center" vertical="center" wrapText="1"/>
    </xf>
    <xf numFmtId="0" fontId="145" fillId="15" borderId="12" xfId="18" applyFont="1" applyFill="1" applyBorder="1" applyAlignment="1">
      <alignment horizontal="center" vertical="center" wrapText="1"/>
    </xf>
    <xf numFmtId="244" fontId="141" fillId="0" borderId="4" xfId="0" applyNumberFormat="1" applyFont="1" applyBorder="1" applyAlignment="1">
      <alignment horizontal="left" vertical="center"/>
    </xf>
    <xf numFmtId="244" fontId="141" fillId="0" borderId="3" xfId="0" applyNumberFormat="1" applyFont="1" applyBorder="1" applyAlignment="1">
      <alignment horizontal="left" vertical="center"/>
    </xf>
    <xf numFmtId="244" fontId="141" fillId="0" borderId="7" xfId="0" applyNumberFormat="1" applyFont="1" applyBorder="1" applyAlignment="1">
      <alignment horizontal="left" vertical="center"/>
    </xf>
    <xf numFmtId="243" fontId="145" fillId="4" borderId="10" xfId="0" applyNumberFormat="1" applyFont="1" applyFill="1" applyBorder="1" applyAlignment="1">
      <alignment horizontal="center" vertical="center"/>
    </xf>
    <xf numFmtId="243" fontId="145" fillId="4" borderId="13" xfId="0" applyNumberFormat="1" applyFont="1" applyFill="1" applyBorder="1" applyAlignment="1">
      <alignment horizontal="center" vertical="center"/>
    </xf>
    <xf numFmtId="243" fontId="145" fillId="4" borderId="5" xfId="0" applyNumberFormat="1" applyFont="1" applyFill="1" applyBorder="1" applyAlignment="1">
      <alignment horizontal="center" vertical="center"/>
    </xf>
    <xf numFmtId="243" fontId="145" fillId="4" borderId="16" xfId="0" applyNumberFormat="1" applyFont="1" applyFill="1" applyBorder="1" applyAlignment="1">
      <alignment horizontal="center" vertical="center"/>
    </xf>
    <xf numFmtId="243" fontId="145" fillId="4" borderId="11" xfId="0" applyNumberFormat="1" applyFont="1" applyFill="1" applyBorder="1" applyAlignment="1">
      <alignment horizontal="center" vertical="center"/>
    </xf>
    <xf numFmtId="243" fontId="145" fillId="4" borderId="6" xfId="0" applyNumberFormat="1" applyFont="1" applyFill="1" applyBorder="1" applyAlignment="1">
      <alignment horizontal="center" vertical="center"/>
    </xf>
    <xf numFmtId="219" fontId="145" fillId="7" borderId="10" xfId="0" applyNumberFormat="1" applyFont="1" applyFill="1" applyBorder="1" applyAlignment="1">
      <alignment horizontal="center" vertical="center"/>
    </xf>
    <xf numFmtId="219" fontId="145" fillId="7" borderId="5" xfId="0" applyNumberFormat="1" applyFont="1" applyFill="1" applyBorder="1" applyAlignment="1">
      <alignment horizontal="center" vertical="center"/>
    </xf>
    <xf numFmtId="219" fontId="145" fillId="7" borderId="9" xfId="0" applyNumberFormat="1" applyFont="1" applyFill="1" applyBorder="1" applyAlignment="1">
      <alignment horizontal="center" vertical="center"/>
    </xf>
    <xf numFmtId="219" fontId="145" fillId="7" borderId="8" xfId="0" applyNumberFormat="1" applyFont="1" applyFill="1" applyBorder="1" applyAlignment="1">
      <alignment horizontal="center" vertical="center"/>
    </xf>
    <xf numFmtId="219" fontId="145" fillId="7" borderId="12" xfId="0" applyNumberFormat="1" applyFont="1" applyFill="1" applyBorder="1" applyAlignment="1">
      <alignment horizontal="center" vertical="center"/>
    </xf>
    <xf numFmtId="244" fontId="147" fillId="4" borderId="10" xfId="0" applyNumberFormat="1" applyFont="1" applyFill="1" applyBorder="1" applyAlignment="1">
      <alignment horizontal="center" vertical="center"/>
    </xf>
    <xf numFmtId="0" fontId="145" fillId="4" borderId="13" xfId="0" applyFont="1" applyFill="1" applyBorder="1">
      <alignment vertical="center"/>
    </xf>
    <xf numFmtId="0" fontId="145" fillId="4" borderId="5" xfId="0" applyFont="1" applyFill="1" applyBorder="1">
      <alignment vertical="center"/>
    </xf>
    <xf numFmtId="0" fontId="145" fillId="4" borderId="16" xfId="0" applyFont="1" applyFill="1" applyBorder="1">
      <alignment vertical="center"/>
    </xf>
    <xf numFmtId="0" fontId="145" fillId="4" borderId="11" xfId="0" applyFont="1" applyFill="1" applyBorder="1">
      <alignment vertical="center"/>
    </xf>
    <xf numFmtId="0" fontId="145" fillId="4" borderId="6" xfId="0" applyFont="1" applyFill="1" applyBorder="1">
      <alignment vertical="center"/>
    </xf>
    <xf numFmtId="219" fontId="147" fillId="7" borderId="9" xfId="0" applyNumberFormat="1" applyFont="1" applyFill="1" applyBorder="1" applyAlignment="1">
      <alignment horizontal="center" vertical="center"/>
    </xf>
    <xf numFmtId="219" fontId="147" fillId="7" borderId="8" xfId="0" applyNumberFormat="1" applyFont="1" applyFill="1" applyBorder="1" applyAlignment="1">
      <alignment horizontal="center" vertical="center"/>
    </xf>
    <xf numFmtId="219" fontId="147" fillId="7" borderId="12" xfId="0" applyNumberFormat="1" applyFont="1" applyFill="1" applyBorder="1" applyAlignment="1">
      <alignment horizontal="center" vertical="center"/>
    </xf>
    <xf numFmtId="0" fontId="142" fillId="0" borderId="5" xfId="0" applyFont="1" applyBorder="1" applyAlignment="1">
      <alignment horizontal="center" vertical="center"/>
    </xf>
    <xf numFmtId="0" fontId="142" fillId="0" borderId="16" xfId="0" applyFont="1" applyBorder="1" applyAlignment="1">
      <alignment horizontal="center" vertical="center"/>
    </xf>
    <xf numFmtId="0" fontId="142" fillId="0" borderId="12" xfId="0" applyFont="1" applyBorder="1" applyAlignment="1">
      <alignment horizontal="center" vertical="center"/>
    </xf>
    <xf numFmtId="0" fontId="142" fillId="0" borderId="1" xfId="0" applyFont="1" applyBorder="1" applyAlignment="1">
      <alignment horizontal="center" vertical="center" wrapText="1"/>
    </xf>
    <xf numFmtId="0" fontId="142" fillId="0" borderId="0" xfId="0" applyFont="1" applyAlignment="1">
      <alignment horizontal="center" vertical="center"/>
    </xf>
    <xf numFmtId="0" fontId="0" fillId="0" borderId="0" xfId="0" applyAlignment="1">
      <alignment horizontal="center" vertical="center"/>
    </xf>
    <xf numFmtId="0" fontId="142" fillId="0" borderId="1" xfId="0" applyFont="1" applyBorder="1" applyAlignment="1">
      <alignment horizontal="center" vertical="center"/>
    </xf>
    <xf numFmtId="0" fontId="144" fillId="0" borderId="5" xfId="0" applyFont="1" applyBorder="1" applyAlignment="1">
      <alignment horizontal="center" vertical="center"/>
    </xf>
    <xf numFmtId="0" fontId="144" fillId="0" borderId="0" xfId="0" applyFont="1" applyBorder="1" applyAlignment="1">
      <alignment horizontal="center" vertical="center"/>
    </xf>
    <xf numFmtId="0" fontId="142" fillId="13" borderId="7" xfId="0" applyFont="1" applyFill="1" applyBorder="1" applyAlignment="1">
      <alignment horizontal="center" vertical="center"/>
    </xf>
    <xf numFmtId="0" fontId="142" fillId="13" borderId="1" xfId="0" applyFont="1" applyFill="1" applyBorder="1" applyAlignment="1">
      <alignment horizontal="center" vertical="center"/>
    </xf>
    <xf numFmtId="0" fontId="0" fillId="13" borderId="1" xfId="0" applyFill="1" applyBorder="1" applyAlignment="1">
      <alignment horizontal="center" vertical="center"/>
    </xf>
    <xf numFmtId="0" fontId="0" fillId="0" borderId="4" xfId="0" applyBorder="1" applyAlignment="1">
      <alignment horizontal="left" vertical="center"/>
    </xf>
    <xf numFmtId="244" fontId="16" fillId="0" borderId="10" xfId="0" applyNumberFormat="1" applyFont="1" applyBorder="1" applyAlignment="1">
      <alignment horizontal="center" vertical="center"/>
    </xf>
    <xf numFmtId="244" fontId="16" fillId="0" borderId="13" xfId="0" applyNumberFormat="1" applyFont="1" applyBorder="1" applyAlignment="1">
      <alignment horizontal="center" vertical="center"/>
    </xf>
    <xf numFmtId="244" fontId="16" fillId="0" borderId="5" xfId="0" applyNumberFormat="1" applyFont="1" applyBorder="1" applyAlignment="1">
      <alignment horizontal="center" vertical="center"/>
    </xf>
    <xf numFmtId="244" fontId="16" fillId="0" borderId="16" xfId="0" applyNumberFormat="1" applyFont="1" applyBorder="1" applyAlignment="1">
      <alignment horizontal="center" vertical="center"/>
    </xf>
    <xf numFmtId="0" fontId="16" fillId="0" borderId="5" xfId="0" applyFont="1" applyBorder="1" applyAlignment="1">
      <alignment horizontal="center" vertical="center"/>
    </xf>
    <xf numFmtId="0" fontId="16" fillId="0" borderId="16" xfId="0" applyFont="1" applyBorder="1" applyAlignment="1">
      <alignment horizontal="center" vertical="center"/>
    </xf>
    <xf numFmtId="0" fontId="16" fillId="0" borderId="11" xfId="0" applyFont="1" applyBorder="1" applyAlignment="1">
      <alignment horizontal="center" vertical="center"/>
    </xf>
    <xf numFmtId="0" fontId="16" fillId="0" borderId="6" xfId="0" applyFont="1" applyBorder="1" applyAlignment="1">
      <alignment horizontal="center" vertical="center"/>
    </xf>
    <xf numFmtId="0" fontId="16" fillId="0" borderId="12" xfId="0" applyFont="1" applyBorder="1" applyAlignment="1">
      <alignment horizontal="center" vertical="center"/>
    </xf>
    <xf numFmtId="0" fontId="16" fillId="0" borderId="1" xfId="2" applyFont="1" applyBorder="1" applyAlignment="1">
      <alignment horizontal="center" vertical="center"/>
    </xf>
    <xf numFmtId="0" fontId="82" fillId="4" borderId="1" xfId="0" applyFont="1" applyFill="1" applyBorder="1" applyAlignment="1">
      <alignment horizontal="center" wrapText="1"/>
    </xf>
    <xf numFmtId="0" fontId="203" fillId="0" borderId="4" xfId="0" applyFont="1" applyBorder="1" applyAlignment="1">
      <alignment horizontal="center" vertical="center"/>
    </xf>
    <xf numFmtId="0" fontId="203" fillId="0" borderId="3" xfId="0" applyFont="1" applyBorder="1" applyAlignment="1">
      <alignment horizontal="center" vertical="center"/>
    </xf>
    <xf numFmtId="0" fontId="203" fillId="0" borderId="7" xfId="0" applyFont="1" applyBorder="1" applyAlignment="1">
      <alignment horizontal="center" vertical="center"/>
    </xf>
    <xf numFmtId="0" fontId="82" fillId="0" borderId="1" xfId="0" applyFont="1" applyBorder="1" applyAlignment="1">
      <alignment horizontal="center" wrapText="1"/>
    </xf>
    <xf numFmtId="0" fontId="142" fillId="0" borderId="13" xfId="0" applyFont="1" applyBorder="1" applyAlignment="1">
      <alignment vertical="center"/>
    </xf>
    <xf numFmtId="0" fontId="142" fillId="4" borderId="13" xfId="0" applyFont="1" applyFill="1" applyBorder="1" applyAlignment="1">
      <alignment horizontal="center" vertical="center" wrapText="1"/>
    </xf>
    <xf numFmtId="0" fontId="142" fillId="4" borderId="11" xfId="0" applyFont="1" applyFill="1" applyBorder="1" applyAlignment="1">
      <alignment horizontal="center" vertical="center" wrapText="1"/>
    </xf>
    <xf numFmtId="0" fontId="142" fillId="4" borderId="6" xfId="0" applyFont="1" applyFill="1" applyBorder="1" applyAlignment="1">
      <alignment horizontal="center" vertical="center" wrapText="1"/>
    </xf>
    <xf numFmtId="182" fontId="0" fillId="5" borderId="10" xfId="0" applyNumberFormat="1" applyFill="1" applyBorder="1" applyAlignment="1">
      <alignment vertical="center"/>
    </xf>
    <xf numFmtId="182" fontId="0" fillId="5" borderId="5" xfId="0" applyNumberFormat="1" applyFill="1" applyBorder="1" applyAlignment="1">
      <alignment vertical="center"/>
    </xf>
    <xf numFmtId="0" fontId="142" fillId="5" borderId="13" xfId="0" applyFont="1" applyFill="1" applyBorder="1" applyAlignment="1">
      <alignment horizontal="center" vertical="center" wrapText="1"/>
    </xf>
    <xf numFmtId="0" fontId="142" fillId="5" borderId="11" xfId="0" applyFont="1" applyFill="1" applyBorder="1" applyAlignment="1">
      <alignment horizontal="center" vertical="center" wrapText="1"/>
    </xf>
    <xf numFmtId="0" fontId="142" fillId="5" borderId="6" xfId="0" applyFont="1" applyFill="1" applyBorder="1" applyAlignment="1">
      <alignment horizontal="center" vertical="center" wrapText="1"/>
    </xf>
    <xf numFmtId="0" fontId="150" fillId="13" borderId="1" xfId="16" applyFont="1" applyFill="1" applyBorder="1" applyAlignment="1">
      <alignment horizontal="center" vertical="center"/>
    </xf>
    <xf numFmtId="0" fontId="151" fillId="13" borderId="1" xfId="16" applyFont="1" applyFill="1" applyBorder="1" applyAlignment="1">
      <alignment horizontal="center" vertical="center"/>
    </xf>
    <xf numFmtId="0" fontId="142" fillId="7" borderId="10" xfId="0" applyFont="1" applyFill="1" applyBorder="1" applyAlignment="1">
      <alignment horizontal="center" vertical="center" wrapText="1"/>
    </xf>
    <xf numFmtId="0" fontId="0" fillId="7" borderId="13" xfId="0" applyFill="1" applyBorder="1" applyAlignment="1">
      <alignment horizontal="center" vertical="center" wrapText="1"/>
    </xf>
    <xf numFmtId="0" fontId="0" fillId="7" borderId="11" xfId="0" applyFill="1" applyBorder="1" applyAlignment="1">
      <alignment horizontal="center" vertical="center" wrapText="1"/>
    </xf>
    <xf numFmtId="0" fontId="0" fillId="7" borderId="6" xfId="0" applyFill="1" applyBorder="1" applyAlignment="1">
      <alignment horizontal="center" vertical="center" wrapText="1"/>
    </xf>
    <xf numFmtId="0" fontId="142" fillId="7" borderId="9" xfId="0" applyFont="1" applyFill="1" applyBorder="1" applyAlignment="1">
      <alignment horizontal="center" vertical="center" wrapText="1"/>
    </xf>
    <xf numFmtId="0" fontId="0" fillId="7" borderId="12" xfId="0" applyFill="1" applyBorder="1" applyAlignment="1">
      <alignment horizontal="center" vertical="center" wrapText="1"/>
    </xf>
    <xf numFmtId="0" fontId="0" fillId="4" borderId="13" xfId="0" applyFill="1" applyBorder="1" applyAlignment="1">
      <alignment horizontal="center" vertical="center" wrapText="1"/>
    </xf>
    <xf numFmtId="0" fontId="0" fillId="4" borderId="6" xfId="0" applyFill="1" applyBorder="1" applyAlignment="1">
      <alignment horizontal="center" vertical="center" wrapText="1"/>
    </xf>
    <xf numFmtId="0" fontId="150" fillId="13" borderId="9" xfId="16" applyFont="1" applyFill="1" applyBorder="1" applyAlignment="1">
      <alignment horizontal="center" vertical="center"/>
    </xf>
    <xf numFmtId="0" fontId="150" fillId="13" borderId="12" xfId="16" applyFont="1" applyFill="1" applyBorder="1" applyAlignment="1">
      <alignment horizontal="center" vertical="center"/>
    </xf>
    <xf numFmtId="0" fontId="197" fillId="0" borderId="0" xfId="0" applyFont="1" applyAlignment="1">
      <alignment horizontal="center" vertical="center" wrapText="1"/>
    </xf>
    <xf numFmtId="0" fontId="142" fillId="0" borderId="0" xfId="0" applyFont="1" applyAlignment="1">
      <alignment horizontal="center" vertical="center" wrapText="1"/>
    </xf>
    <xf numFmtId="0" fontId="150" fillId="5" borderId="9" xfId="0" applyFont="1" applyFill="1" applyBorder="1" applyAlignment="1">
      <alignment horizontal="center" vertical="center" wrapText="1"/>
    </xf>
    <xf numFmtId="0" fontId="150" fillId="5" borderId="12" xfId="0" applyFont="1" applyFill="1" applyBorder="1" applyAlignment="1">
      <alignment horizontal="center" vertical="center" wrapText="1"/>
    </xf>
    <xf numFmtId="0" fontId="1" fillId="0" borderId="7" xfId="0" applyFont="1" applyBorder="1" applyAlignment="1">
      <alignment horizontal="center" vertical="center"/>
    </xf>
    <xf numFmtId="0" fontId="1" fillId="0" borderId="2" xfId="0" applyFont="1" applyBorder="1" applyAlignment="1">
      <alignment horizontal="center" vertical="center"/>
    </xf>
    <xf numFmtId="176" fontId="142" fillId="0" borderId="1" xfId="0" applyNumberFormat="1" applyFont="1" applyBorder="1" applyAlignment="1">
      <alignment horizontal="center" vertical="center"/>
    </xf>
    <xf numFmtId="176" fontId="142" fillId="0" borderId="4" xfId="0" applyNumberFormat="1" applyFont="1" applyBorder="1" applyAlignment="1">
      <alignment horizontal="center" vertical="center"/>
    </xf>
    <xf numFmtId="180" fontId="142" fillId="0" borderId="1" xfId="0" applyNumberFormat="1" applyFont="1" applyBorder="1" applyAlignment="1">
      <alignment horizontal="center" vertical="center"/>
    </xf>
    <xf numFmtId="176" fontId="142" fillId="4" borderId="1" xfId="0" applyNumberFormat="1" applyFont="1" applyFill="1" applyBorder="1" applyAlignment="1">
      <alignment horizontal="center" vertical="center"/>
    </xf>
    <xf numFmtId="0" fontId="142" fillId="2" borderId="12" xfId="0" applyFont="1" applyFill="1" applyBorder="1" applyAlignment="1">
      <alignment horizontal="center" vertical="center"/>
    </xf>
    <xf numFmtId="0" fontId="16" fillId="2" borderId="12" xfId="0" applyFont="1" applyFill="1" applyBorder="1" applyAlignment="1">
      <alignment horizontal="center" vertical="center"/>
    </xf>
    <xf numFmtId="244" fontId="16" fillId="0" borderId="11" xfId="0" applyNumberFormat="1" applyFont="1" applyBorder="1" applyAlignment="1">
      <alignment horizontal="center" vertical="center"/>
    </xf>
    <xf numFmtId="244" fontId="16" fillId="0" borderId="6" xfId="0" applyNumberFormat="1" applyFont="1" applyBorder="1" applyAlignment="1">
      <alignment horizontal="center" vertical="center"/>
    </xf>
    <xf numFmtId="0" fontId="153" fillId="21" borderId="0" xfId="0" applyFont="1" applyFill="1" applyAlignment="1">
      <alignment horizontal="center" vertical="center"/>
    </xf>
    <xf numFmtId="0" fontId="144" fillId="0" borderId="0" xfId="0" applyFont="1" applyAlignment="1">
      <alignment horizontal="center" vertical="center"/>
    </xf>
    <xf numFmtId="0" fontId="142" fillId="0" borderId="4" xfId="0" applyFont="1" applyBorder="1" applyAlignment="1">
      <alignment horizontal="center" vertical="center" wrapText="1"/>
    </xf>
    <xf numFmtId="231" fontId="142" fillId="5" borderId="10" xfId="0" applyNumberFormat="1" applyFont="1" applyFill="1" applyBorder="1" applyAlignment="1">
      <alignment horizontal="center" vertical="center"/>
    </xf>
    <xf numFmtId="231" fontId="142" fillId="5" borderId="13" xfId="0" applyNumberFormat="1" applyFont="1" applyFill="1" applyBorder="1" applyAlignment="1">
      <alignment horizontal="center" vertical="center"/>
    </xf>
    <xf numFmtId="231" fontId="142" fillId="5" borderId="5" xfId="0" applyNumberFormat="1" applyFont="1" applyFill="1" applyBorder="1" applyAlignment="1">
      <alignment horizontal="center" vertical="center"/>
    </xf>
    <xf numFmtId="231" fontId="142" fillId="5" borderId="16" xfId="0" applyNumberFormat="1" applyFont="1" applyFill="1" applyBorder="1" applyAlignment="1">
      <alignment horizontal="center" vertical="center"/>
    </xf>
    <xf numFmtId="231" fontId="142" fillId="5" borderId="11" xfId="0" applyNumberFormat="1" applyFont="1" applyFill="1" applyBorder="1" applyAlignment="1">
      <alignment horizontal="center" vertical="center"/>
    </xf>
    <xf numFmtId="231" fontId="142" fillId="5" borderId="6" xfId="0" applyNumberFormat="1" applyFont="1" applyFill="1" applyBorder="1" applyAlignment="1">
      <alignment horizontal="center" vertical="center"/>
    </xf>
    <xf numFmtId="0" fontId="142" fillId="5" borderId="1" xfId="0" applyFont="1" applyFill="1" applyBorder="1" applyAlignment="1">
      <alignment horizontal="center" vertical="center"/>
    </xf>
    <xf numFmtId="182" fontId="142" fillId="4" borderId="4" xfId="0" applyNumberFormat="1" applyFont="1" applyFill="1" applyBorder="1" applyAlignment="1">
      <alignment horizontal="center" vertical="center"/>
    </xf>
    <xf numFmtId="182" fontId="142" fillId="4" borderId="7" xfId="0" applyNumberFormat="1" applyFont="1" applyFill="1" applyBorder="1" applyAlignment="1">
      <alignment horizontal="center" vertical="center"/>
    </xf>
    <xf numFmtId="0" fontId="0" fillId="5" borderId="1" xfId="0" applyFill="1" applyBorder="1" applyAlignment="1">
      <alignment horizontal="center" vertical="center"/>
    </xf>
    <xf numFmtId="0" fontId="142" fillId="0" borderId="4" xfId="0" applyFont="1" applyFill="1" applyBorder="1" applyAlignment="1">
      <alignment horizontal="center" vertical="center" wrapText="1"/>
    </xf>
    <xf numFmtId="0" fontId="0" fillId="0" borderId="7" xfId="0" applyFill="1" applyBorder="1" applyAlignment="1">
      <alignment horizontal="center" vertical="center" wrapText="1"/>
    </xf>
    <xf numFmtId="0" fontId="142" fillId="0" borderId="4" xfId="0" applyFont="1" applyFill="1" applyBorder="1" applyAlignment="1">
      <alignment horizontal="center" vertical="center"/>
    </xf>
    <xf numFmtId="0" fontId="142" fillId="0" borderId="7" xfId="0" applyFont="1" applyFill="1" applyBorder="1" applyAlignment="1">
      <alignment horizontal="center" vertical="center"/>
    </xf>
    <xf numFmtId="0" fontId="142" fillId="0" borderId="9" xfId="0" applyFont="1" applyFill="1" applyBorder="1" applyAlignment="1">
      <alignment horizontal="center" vertical="center" wrapText="1"/>
    </xf>
    <xf numFmtId="0" fontId="142" fillId="0" borderId="1" xfId="0" applyFont="1" applyFill="1" applyBorder="1" applyAlignment="1">
      <alignment horizontal="center" vertical="center" wrapText="1"/>
    </xf>
    <xf numFmtId="0" fontId="0" fillId="0" borderId="1" xfId="0" applyFill="1" applyBorder="1" applyAlignment="1">
      <alignment horizontal="center" vertical="center" wrapText="1"/>
    </xf>
    <xf numFmtId="0" fontId="142" fillId="16" borderId="4" xfId="0" applyFont="1" applyFill="1" applyBorder="1" applyAlignment="1">
      <alignment horizontal="center" vertical="center"/>
    </xf>
    <xf numFmtId="0" fontId="142" fillId="16" borderId="7" xfId="0" applyFont="1" applyFill="1" applyBorder="1" applyAlignment="1">
      <alignment horizontal="center" vertical="center"/>
    </xf>
    <xf numFmtId="0" fontId="142" fillId="0" borderId="10" xfId="0" applyFont="1" applyFill="1" applyBorder="1" applyAlignment="1">
      <alignment horizontal="center" vertical="center" wrapText="1"/>
    </xf>
    <xf numFmtId="0" fontId="0" fillId="0" borderId="11" xfId="0" applyFill="1" applyBorder="1" applyAlignment="1">
      <alignment horizontal="center" vertical="center" wrapText="1"/>
    </xf>
    <xf numFmtId="0" fontId="142" fillId="3" borderId="1" xfId="0" applyFont="1" applyFill="1" applyBorder="1" applyAlignment="1">
      <alignment horizontal="center" vertical="center"/>
    </xf>
    <xf numFmtId="0" fontId="0" fillId="3" borderId="1" xfId="0" applyFill="1" applyBorder="1" applyAlignment="1">
      <alignment horizontal="center" vertical="center"/>
    </xf>
    <xf numFmtId="0" fontId="223" fillId="16" borderId="11" xfId="0" applyFont="1" applyFill="1" applyBorder="1" applyAlignment="1">
      <alignment horizontal="center" vertical="center"/>
    </xf>
    <xf numFmtId="0" fontId="142" fillId="16" borderId="6" xfId="0" applyFont="1" applyFill="1" applyBorder="1" applyAlignment="1">
      <alignment horizontal="center" vertical="center"/>
    </xf>
    <xf numFmtId="0" fontId="142" fillId="13" borderId="12" xfId="0" applyFont="1" applyFill="1" applyBorder="1" applyAlignment="1">
      <alignment horizontal="center" vertical="center"/>
    </xf>
    <xf numFmtId="176" fontId="142" fillId="5" borderId="1" xfId="0" applyNumberFormat="1" applyFont="1" applyFill="1" applyBorder="1" applyAlignment="1">
      <alignment horizontal="center" vertical="center"/>
    </xf>
    <xf numFmtId="180" fontId="142" fillId="4" borderId="9" xfId="0" applyNumberFormat="1" applyFont="1" applyFill="1" applyBorder="1" applyAlignment="1">
      <alignment horizontal="center" vertical="center"/>
    </xf>
    <xf numFmtId="180" fontId="142" fillId="4" borderId="12" xfId="0" applyNumberFormat="1" applyFont="1" applyFill="1" applyBorder="1" applyAlignment="1">
      <alignment horizontal="center" vertical="center"/>
    </xf>
    <xf numFmtId="180" fontId="142" fillId="7" borderId="10" xfId="0" applyNumberFormat="1" applyFont="1" applyFill="1" applyBorder="1" applyAlignment="1">
      <alignment horizontal="center" vertical="center"/>
    </xf>
    <xf numFmtId="180" fontId="142" fillId="7" borderId="11" xfId="0" applyNumberFormat="1" applyFont="1" applyFill="1" applyBorder="1" applyAlignment="1">
      <alignment horizontal="center" vertical="center"/>
    </xf>
    <xf numFmtId="240" fontId="142" fillId="0" borderId="2" xfId="0" applyNumberFormat="1" applyFont="1" applyBorder="1" applyAlignment="1">
      <alignment horizontal="center" vertical="center"/>
    </xf>
    <xf numFmtId="240" fontId="142" fillId="0" borderId="6" xfId="0" applyNumberFormat="1" applyFont="1" applyBorder="1" applyAlignment="1">
      <alignment horizontal="center" vertical="center"/>
    </xf>
    <xf numFmtId="0" fontId="142" fillId="7" borderId="1" xfId="0" applyFont="1" applyFill="1" applyBorder="1" applyAlignment="1">
      <alignment horizontal="center" vertical="center" wrapText="1"/>
    </xf>
    <xf numFmtId="201" fontId="145" fillId="4" borderId="9" xfId="0" applyNumberFormat="1" applyFont="1" applyFill="1" applyBorder="1" applyAlignment="1">
      <alignment horizontal="center" vertical="center"/>
    </xf>
    <xf numFmtId="201" fontId="145" fillId="4" borderId="8" xfId="0" applyNumberFormat="1" applyFont="1" applyFill="1" applyBorder="1" applyAlignment="1">
      <alignment horizontal="center" vertical="center"/>
    </xf>
    <xf numFmtId="201" fontId="145" fillId="4" borderId="12" xfId="0" applyNumberFormat="1" applyFont="1" applyFill="1" applyBorder="1" applyAlignment="1">
      <alignment horizontal="center" vertical="center"/>
    </xf>
    <xf numFmtId="0" fontId="142" fillId="0" borderId="5" xfId="0" applyFont="1" applyFill="1" applyBorder="1" applyAlignment="1">
      <alignment horizontal="center" vertical="center" wrapText="1"/>
    </xf>
    <xf numFmtId="0" fontId="0" fillId="0" borderId="5" xfId="0" applyFill="1" applyBorder="1" applyAlignment="1">
      <alignment horizontal="center" vertical="center" wrapText="1"/>
    </xf>
    <xf numFmtId="0" fontId="142" fillId="0" borderId="11" xfId="0" applyFont="1" applyFill="1" applyBorder="1" applyAlignment="1">
      <alignment horizontal="center" vertical="center" wrapText="1"/>
    </xf>
    <xf numFmtId="0" fontId="0" fillId="0" borderId="2" xfId="0" applyFill="1" applyBorder="1" applyAlignment="1">
      <alignment horizontal="center" vertical="center" wrapText="1"/>
    </xf>
    <xf numFmtId="0" fontId="142" fillId="5" borderId="1" xfId="0" applyFont="1" applyFill="1" applyBorder="1" applyAlignment="1">
      <alignment horizontal="center" vertical="center" wrapText="1"/>
    </xf>
    <xf numFmtId="0" fontId="212" fillId="0" borderId="10" xfId="14" applyBorder="1" applyAlignment="1">
      <alignment horizontal="left" vertical="center"/>
    </xf>
    <xf numFmtId="0" fontId="212" fillId="0" borderId="14" xfId="14" applyBorder="1" applyAlignment="1">
      <alignment horizontal="left" vertical="center"/>
    </xf>
    <xf numFmtId="0" fontId="212" fillId="0" borderId="1" xfId="14" applyFont="1" applyBorder="1" applyAlignment="1">
      <alignment horizontal="center" vertical="center"/>
    </xf>
    <xf numFmtId="0" fontId="61" fillId="0" borderId="2" xfId="14" applyFont="1" applyBorder="1" applyAlignment="1">
      <alignment horizontal="center" vertical="center"/>
    </xf>
    <xf numFmtId="0" fontId="212" fillId="0" borderId="4" xfId="14" applyBorder="1" applyAlignment="1">
      <alignment horizontal="left" vertical="center"/>
    </xf>
    <xf numFmtId="0" fontId="212" fillId="0" borderId="3" xfId="14" applyBorder="1" applyAlignment="1">
      <alignment horizontal="left" vertical="center"/>
    </xf>
    <xf numFmtId="0" fontId="213" fillId="7" borderId="1" xfId="19" applyFont="1" applyFill="1" applyBorder="1" applyAlignment="1">
      <alignment horizontal="center" vertical="center" wrapText="1"/>
    </xf>
    <xf numFmtId="0" fontId="214" fillId="0" borderId="2" xfId="14" applyFont="1" applyBorder="1" applyAlignment="1">
      <alignment horizontal="left" vertical="center"/>
    </xf>
    <xf numFmtId="207" fontId="16" fillId="0" borderId="10" xfId="0" applyNumberFormat="1" applyFont="1" applyBorder="1" applyAlignment="1">
      <alignment horizontal="center" vertical="center"/>
    </xf>
    <xf numFmtId="207" fontId="16" fillId="0" borderId="13" xfId="0" applyNumberFormat="1" applyFont="1" applyBorder="1" applyAlignment="1">
      <alignment horizontal="center" vertical="center"/>
    </xf>
    <xf numFmtId="207" fontId="16" fillId="0" borderId="5" xfId="0" applyNumberFormat="1" applyFont="1" applyBorder="1" applyAlignment="1">
      <alignment horizontal="center" vertical="center"/>
    </xf>
    <xf numFmtId="207" fontId="16" fillId="0" borderId="16" xfId="0" applyNumberFormat="1" applyFont="1" applyBorder="1" applyAlignment="1">
      <alignment horizontal="center" vertical="center"/>
    </xf>
    <xf numFmtId="207" fontId="0" fillId="5" borderId="10" xfId="0" applyNumberFormat="1" applyFill="1" applyBorder="1" applyAlignment="1">
      <alignment horizontal="center" vertical="center"/>
    </xf>
    <xf numFmtId="207" fontId="0" fillId="5" borderId="5" xfId="0" applyNumberFormat="1" applyFill="1" applyBorder="1" applyAlignment="1">
      <alignment horizontal="center" vertical="center"/>
    </xf>
    <xf numFmtId="208" fontId="0" fillId="0" borderId="10" xfId="0" applyNumberFormat="1" applyBorder="1" applyAlignment="1">
      <alignment horizontal="center" vertical="center"/>
    </xf>
    <xf numFmtId="208" fontId="0" fillId="0" borderId="5" xfId="0" applyNumberFormat="1" applyBorder="1" applyAlignment="1">
      <alignment horizontal="center" vertical="center"/>
    </xf>
    <xf numFmtId="0" fontId="142" fillId="5" borderId="5" xfId="0" applyFont="1" applyFill="1" applyBorder="1" applyAlignment="1">
      <alignment horizontal="center" vertical="center" wrapText="1"/>
    </xf>
    <xf numFmtId="207" fontId="16" fillId="0" borderId="11" xfId="0" applyNumberFormat="1" applyFont="1" applyBorder="1" applyAlignment="1">
      <alignment horizontal="center" vertical="center"/>
    </xf>
    <xf numFmtId="207" fontId="16" fillId="0" borderId="6" xfId="0" applyNumberFormat="1" applyFont="1" applyBorder="1" applyAlignment="1">
      <alignment horizontal="center" vertical="center"/>
    </xf>
    <xf numFmtId="0" fontId="145" fillId="5" borderId="7" xfId="18" applyFont="1" applyFill="1" applyBorder="1" applyAlignment="1">
      <alignment horizontal="center" vertical="center" wrapText="1"/>
    </xf>
    <xf numFmtId="207" fontId="142" fillId="0" borderId="10" xfId="0" applyNumberFormat="1" applyFont="1" applyBorder="1" applyAlignment="1">
      <alignment horizontal="center" vertical="center"/>
    </xf>
    <xf numFmtId="207" fontId="142" fillId="0" borderId="5" xfId="0" applyNumberFormat="1" applyFont="1" applyBorder="1" applyAlignment="1">
      <alignment horizontal="center" vertical="center"/>
    </xf>
    <xf numFmtId="207" fontId="142" fillId="0" borderId="11" xfId="0" applyNumberFormat="1" applyFont="1" applyBorder="1" applyAlignment="1">
      <alignment horizontal="center" vertical="center"/>
    </xf>
    <xf numFmtId="0" fontId="144" fillId="0" borderId="2" xfId="0" applyFont="1" applyBorder="1" applyAlignment="1">
      <alignment horizontal="center" vertical="center"/>
    </xf>
    <xf numFmtId="245" fontId="0" fillId="7" borderId="4" xfId="0" applyNumberFormat="1" applyFill="1" applyBorder="1" applyAlignment="1">
      <alignment horizontal="center" vertical="center"/>
    </xf>
    <xf numFmtId="0" fontId="0" fillId="4" borderId="10" xfId="0" applyFill="1" applyBorder="1" applyAlignment="1">
      <alignment horizontal="center" vertical="center"/>
    </xf>
    <xf numFmtId="0" fontId="0" fillId="4" borderId="14" xfId="0" applyFill="1" applyBorder="1" applyAlignment="1">
      <alignment horizontal="center" vertical="center"/>
    </xf>
    <xf numFmtId="247" fontId="145" fillId="0" borderId="4" xfId="0" applyNumberFormat="1" applyFont="1" applyBorder="1" applyAlignment="1">
      <alignment horizontal="center" vertical="center"/>
    </xf>
    <xf numFmtId="247" fontId="145" fillId="0" borderId="7" xfId="0" applyNumberFormat="1" applyFont="1" applyBorder="1" applyAlignment="1">
      <alignment horizontal="center" vertical="center"/>
    </xf>
    <xf numFmtId="207" fontId="145" fillId="4" borderId="4" xfId="0" applyNumberFormat="1" applyFont="1" applyFill="1" applyBorder="1" applyAlignment="1">
      <alignment horizontal="center" vertical="center"/>
    </xf>
    <xf numFmtId="207" fontId="145" fillId="4" borderId="7" xfId="0" applyNumberFormat="1" applyFont="1" applyFill="1" applyBorder="1" applyAlignment="1">
      <alignment horizontal="center" vertical="center"/>
    </xf>
    <xf numFmtId="207" fontId="145" fillId="0" borderId="4" xfId="0" applyNumberFormat="1" applyFont="1" applyBorder="1" applyAlignment="1">
      <alignment horizontal="center" vertical="center"/>
    </xf>
    <xf numFmtId="207" fontId="145" fillId="0" borderId="7" xfId="0" applyNumberFormat="1" applyFont="1" applyBorder="1" applyAlignment="1">
      <alignment horizontal="center" vertical="center"/>
    </xf>
    <xf numFmtId="207" fontId="142" fillId="0" borderId="1" xfId="0" applyNumberFormat="1" applyFont="1" applyBorder="1" applyAlignment="1">
      <alignment horizontal="center" vertical="center"/>
    </xf>
    <xf numFmtId="0" fontId="0" fillId="0" borderId="12" xfId="0" applyBorder="1" applyAlignment="1">
      <alignment horizontal="center" vertical="center" wrapText="1"/>
    </xf>
    <xf numFmtId="0" fontId="142" fillId="4" borderId="1" xfId="0" applyFont="1" applyFill="1" applyBorder="1" applyAlignment="1">
      <alignment horizontal="center" vertical="center" wrapText="1"/>
    </xf>
    <xf numFmtId="207" fontId="0" fillId="5" borderId="1" xfId="0" applyNumberFormat="1" applyFill="1" applyBorder="1" applyAlignment="1">
      <alignment horizontal="center" vertical="center"/>
    </xf>
    <xf numFmtId="0" fontId="142" fillId="16" borderId="9" xfId="0" applyFont="1" applyFill="1" applyBorder="1" applyAlignment="1">
      <alignment horizontal="center" vertical="center" wrapText="1"/>
    </xf>
    <xf numFmtId="0" fontId="142" fillId="16" borderId="12" xfId="0" applyFont="1" applyFill="1" applyBorder="1" applyAlignment="1">
      <alignment horizontal="center" vertical="center" wrapText="1"/>
    </xf>
    <xf numFmtId="244" fontId="141" fillId="0" borderId="4" xfId="0" applyNumberFormat="1" applyFont="1" applyBorder="1" applyAlignment="1">
      <alignment vertical="center"/>
    </xf>
    <xf numFmtId="244" fontId="141" fillId="0" borderId="3" xfId="0" applyNumberFormat="1" applyFont="1" applyBorder="1" applyAlignment="1">
      <alignment vertical="center"/>
    </xf>
    <xf numFmtId="244" fontId="141" fillId="0" borderId="7" xfId="0" applyNumberFormat="1" applyFont="1" applyBorder="1" applyAlignment="1">
      <alignment vertical="center"/>
    </xf>
    <xf numFmtId="219" fontId="0" fillId="7" borderId="8" xfId="0" applyNumberFormat="1" applyFill="1" applyBorder="1" applyAlignment="1">
      <alignment horizontal="center" vertical="center"/>
    </xf>
    <xf numFmtId="0" fontId="142" fillId="0" borderId="2" xfId="0" applyFont="1" applyBorder="1" applyAlignment="1">
      <alignment horizontal="center" vertical="center"/>
    </xf>
    <xf numFmtId="0" fontId="0" fillId="0" borderId="2" xfId="0" applyBorder="1" applyAlignment="1">
      <alignment horizontal="center" vertical="center"/>
    </xf>
    <xf numFmtId="0" fontId="142" fillId="0" borderId="0" xfId="0" applyFont="1" applyAlignment="1">
      <alignment horizontal="right" vertical="center" wrapText="1"/>
    </xf>
    <xf numFmtId="0" fontId="145" fillId="15" borderId="1" xfId="18" applyFont="1" applyFill="1" applyBorder="1" applyAlignment="1">
      <alignment horizontal="center" vertical="center" wrapText="1"/>
    </xf>
    <xf numFmtId="0" fontId="0" fillId="0" borderId="10" xfId="0" applyBorder="1" applyAlignment="1">
      <alignment horizontal="center" vertical="center"/>
    </xf>
    <xf numFmtId="0" fontId="142" fillId="7" borderId="12" xfId="0" applyFont="1" applyFill="1" applyBorder="1" applyAlignment="1">
      <alignment horizontal="center" vertical="center" wrapText="1"/>
    </xf>
    <xf numFmtId="0" fontId="142" fillId="4" borderId="4" xfId="0" applyFont="1" applyFill="1" applyBorder="1" applyAlignment="1">
      <alignment horizontal="center" vertical="center" wrapText="1"/>
    </xf>
    <xf numFmtId="0" fontId="0" fillId="4" borderId="4" xfId="0" applyFill="1" applyBorder="1" applyAlignment="1">
      <alignment horizontal="center" vertical="center" wrapText="1"/>
    </xf>
    <xf numFmtId="0" fontId="150" fillId="13" borderId="7" xfId="16" applyFont="1" applyFill="1" applyBorder="1" applyAlignment="1">
      <alignment horizontal="center" vertical="center"/>
    </xf>
    <xf numFmtId="0" fontId="0" fillId="13" borderId="4" xfId="0" applyFill="1" applyBorder="1" applyAlignment="1">
      <alignment horizontal="center" vertical="center"/>
    </xf>
    <xf numFmtId="0" fontId="0" fillId="13" borderId="7" xfId="0" applyFill="1" applyBorder="1" applyAlignment="1">
      <alignment horizontal="center" vertical="center"/>
    </xf>
    <xf numFmtId="226" fontId="142" fillId="0" borderId="3" xfId="0" applyNumberFormat="1" applyFont="1" applyBorder="1" applyAlignment="1">
      <alignment horizontal="center" vertical="center"/>
    </xf>
    <xf numFmtId="216" fontId="142" fillId="0" borderId="4" xfId="0" applyNumberFormat="1" applyFont="1" applyBorder="1" applyAlignment="1">
      <alignment horizontal="center" vertical="center"/>
    </xf>
    <xf numFmtId="216" fontId="142" fillId="0" borderId="7" xfId="0" applyNumberFormat="1" applyFont="1" applyBorder="1" applyAlignment="1">
      <alignment horizontal="center" vertical="center"/>
    </xf>
    <xf numFmtId="222" fontId="0" fillId="0" borderId="4" xfId="0" applyNumberFormat="1" applyBorder="1" applyAlignment="1">
      <alignment horizontal="center" vertical="center"/>
    </xf>
    <xf numFmtId="222" fontId="0" fillId="0" borderId="7" xfId="0" applyNumberFormat="1" applyBorder="1" applyAlignment="1">
      <alignment horizontal="center" vertical="center"/>
    </xf>
    <xf numFmtId="223" fontId="0" fillId="0" borderId="4" xfId="0" applyNumberFormat="1" applyBorder="1" applyAlignment="1">
      <alignment horizontal="center" vertical="center"/>
    </xf>
    <xf numFmtId="223" fontId="0" fillId="0" borderId="7" xfId="0" applyNumberFormat="1" applyBorder="1" applyAlignment="1">
      <alignment horizontal="center" vertical="center"/>
    </xf>
    <xf numFmtId="176" fontId="0" fillId="0" borderId="4" xfId="0" applyNumberFormat="1" applyBorder="1" applyAlignment="1">
      <alignment horizontal="center" vertical="center"/>
    </xf>
    <xf numFmtId="176" fontId="0" fillId="0" borderId="7" xfId="0" applyNumberFormat="1" applyBorder="1" applyAlignment="1">
      <alignment horizontal="center" vertical="center"/>
    </xf>
    <xf numFmtId="225" fontId="142" fillId="0" borderId="1" xfId="0" applyNumberFormat="1" applyFont="1" applyBorder="1" applyAlignment="1">
      <alignment horizontal="center" vertical="center"/>
    </xf>
    <xf numFmtId="224" fontId="142" fillId="0" borderId="4" xfId="0" applyNumberFormat="1" applyFont="1" applyBorder="1" applyAlignment="1">
      <alignment horizontal="center" vertical="center"/>
    </xf>
    <xf numFmtId="224" fontId="142" fillId="0" borderId="7" xfId="0" applyNumberFormat="1" applyFont="1" applyBorder="1" applyAlignment="1">
      <alignment horizontal="center" vertical="center"/>
    </xf>
    <xf numFmtId="0" fontId="142" fillId="4" borderId="3" xfId="0" applyFont="1" applyFill="1" applyBorder="1" applyAlignment="1">
      <alignment horizontal="center" vertical="center"/>
    </xf>
    <xf numFmtId="0" fontId="142" fillId="4" borderId="7" xfId="0" applyFont="1" applyFill="1" applyBorder="1" applyAlignment="1">
      <alignment horizontal="center" vertical="center"/>
    </xf>
    <xf numFmtId="0" fontId="142" fillId="4" borderId="1" xfId="0" applyFont="1" applyFill="1" applyBorder="1" applyAlignment="1">
      <alignment horizontal="center" vertical="center"/>
    </xf>
    <xf numFmtId="221" fontId="0" fillId="0" borderId="4" xfId="0" applyNumberFormat="1" applyBorder="1" applyAlignment="1">
      <alignment horizontal="center" vertical="center"/>
    </xf>
    <xf numFmtId="221" fontId="0" fillId="0" borderId="7" xfId="0" applyNumberFormat="1" applyBorder="1" applyAlignment="1">
      <alignment horizontal="center" vertical="center"/>
    </xf>
    <xf numFmtId="225" fontId="0" fillId="4" borderId="4" xfId="0" applyNumberFormat="1" applyFill="1" applyBorder="1" applyAlignment="1">
      <alignment horizontal="center" vertical="center"/>
    </xf>
    <xf numFmtId="225" fontId="0" fillId="4" borderId="3" xfId="0" applyNumberFormat="1" applyFill="1" applyBorder="1" applyAlignment="1">
      <alignment horizontal="center" vertical="center"/>
    </xf>
    <xf numFmtId="225" fontId="0" fillId="4" borderId="7" xfId="0" applyNumberFormat="1" applyFill="1" applyBorder="1" applyAlignment="1">
      <alignment horizontal="center" vertical="center"/>
    </xf>
    <xf numFmtId="225" fontId="0" fillId="4" borderId="1" xfId="0" applyNumberFormat="1" applyFill="1" applyBorder="1" applyAlignment="1">
      <alignment horizontal="center" vertical="center"/>
    </xf>
    <xf numFmtId="0" fontId="142" fillId="0" borderId="7" xfId="0" applyFont="1" applyBorder="1" applyAlignment="1">
      <alignment horizontal="center" vertical="center" wrapText="1"/>
    </xf>
    <xf numFmtId="0" fontId="142" fillId="0" borderId="3" xfId="0" applyFont="1" applyBorder="1" applyAlignment="1">
      <alignment horizontal="center" vertical="center" wrapText="1"/>
    </xf>
    <xf numFmtId="0" fontId="142" fillId="0" borderId="0" xfId="0" applyFont="1" applyBorder="1" applyAlignment="1">
      <alignment horizontal="center" vertical="center" wrapText="1"/>
    </xf>
    <xf numFmtId="224" fontId="142" fillId="0" borderId="0" xfId="0" applyNumberFormat="1" applyFont="1" applyBorder="1" applyAlignment="1">
      <alignment horizontal="center" vertical="center"/>
    </xf>
    <xf numFmtId="176" fontId="0" fillId="0" borderId="0" xfId="0" applyNumberFormat="1" applyBorder="1" applyAlignment="1">
      <alignment horizontal="center" vertical="center"/>
    </xf>
    <xf numFmtId="181" fontId="0" fillId="0" borderId="4" xfId="0" applyNumberFormat="1" applyBorder="1" applyAlignment="1">
      <alignment horizontal="center" vertical="center"/>
    </xf>
    <xf numFmtId="181" fontId="0" fillId="0" borderId="7" xfId="0" applyNumberFormat="1" applyBorder="1" applyAlignment="1">
      <alignment horizontal="center" vertical="center"/>
    </xf>
    <xf numFmtId="218" fontId="0" fillId="0" borderId="4" xfId="0" applyNumberFormat="1" applyBorder="1" applyAlignment="1">
      <alignment horizontal="center" vertical="center"/>
    </xf>
    <xf numFmtId="218" fontId="0" fillId="0" borderId="3" xfId="0" applyNumberFormat="1" applyBorder="1" applyAlignment="1">
      <alignment horizontal="center" vertical="center"/>
    </xf>
    <xf numFmtId="220" fontId="0" fillId="0" borderId="4" xfId="0" applyNumberFormat="1" applyBorder="1" applyAlignment="1">
      <alignment horizontal="center" vertical="center"/>
    </xf>
    <xf numFmtId="220" fontId="0" fillId="0" borderId="3" xfId="0" applyNumberFormat="1" applyBorder="1" applyAlignment="1">
      <alignment horizontal="center" vertical="center"/>
    </xf>
    <xf numFmtId="220" fontId="0" fillId="0" borderId="7" xfId="0" applyNumberFormat="1" applyBorder="1" applyAlignment="1">
      <alignment horizontal="center" vertical="center"/>
    </xf>
    <xf numFmtId="218" fontId="0" fillId="0" borderId="1" xfId="0" applyNumberFormat="1" applyBorder="1" applyAlignment="1">
      <alignment horizontal="center" vertical="center"/>
    </xf>
    <xf numFmtId="217" fontId="0" fillId="0" borderId="4" xfId="0" applyNumberFormat="1" applyBorder="1" applyAlignment="1">
      <alignment horizontal="center" vertical="center"/>
    </xf>
    <xf numFmtId="217" fontId="0" fillId="0" borderId="3" xfId="0" applyNumberFormat="1" applyBorder="1" applyAlignment="1">
      <alignment horizontal="center" vertical="center"/>
    </xf>
    <xf numFmtId="217" fontId="0" fillId="0" borderId="7" xfId="0" applyNumberFormat="1" applyBorder="1" applyAlignment="1">
      <alignment horizontal="center" vertical="center"/>
    </xf>
    <xf numFmtId="219" fontId="0" fillId="15" borderId="9" xfId="0" applyNumberFormat="1" applyFill="1" applyBorder="1" applyAlignment="1">
      <alignment horizontal="center" vertical="center"/>
    </xf>
    <xf numFmtId="219" fontId="0" fillId="15" borderId="8" xfId="0" applyNumberFormat="1" applyFill="1" applyBorder="1" applyAlignment="1">
      <alignment horizontal="center" vertical="center"/>
    </xf>
    <xf numFmtId="219" fontId="0" fillId="15" borderId="12" xfId="0" applyNumberFormat="1" applyFill="1" applyBorder="1" applyAlignment="1">
      <alignment horizontal="center" vertical="center"/>
    </xf>
    <xf numFmtId="216" fontId="142" fillId="0" borderId="10" xfId="0" applyNumberFormat="1" applyFont="1" applyBorder="1" applyAlignment="1">
      <alignment horizontal="center" vertical="center"/>
    </xf>
    <xf numFmtId="216" fontId="142" fillId="0" borderId="5" xfId="0" applyNumberFormat="1" applyFont="1" applyBorder="1" applyAlignment="1">
      <alignment horizontal="center" vertical="center"/>
    </xf>
    <xf numFmtId="216" fontId="142" fillId="0" borderId="11" xfId="0" applyNumberFormat="1" applyFont="1" applyBorder="1" applyAlignment="1">
      <alignment horizontal="center" vertical="center"/>
    </xf>
    <xf numFmtId="0" fontId="16" fillId="0" borderId="14" xfId="0" applyNumberFormat="1" applyFont="1" applyBorder="1" applyAlignment="1">
      <alignment horizontal="center" vertical="center"/>
    </xf>
    <xf numFmtId="0" fontId="16" fillId="0" borderId="0" xfId="0" applyNumberFormat="1" applyFont="1" applyBorder="1" applyAlignment="1">
      <alignment horizontal="center" vertical="center"/>
    </xf>
    <xf numFmtId="0" fontId="16" fillId="0" borderId="2" xfId="0" applyNumberFormat="1" applyFont="1" applyBorder="1" applyAlignment="1">
      <alignment horizontal="center" vertical="center"/>
    </xf>
    <xf numFmtId="216" fontId="142" fillId="0" borderId="13" xfId="0" applyNumberFormat="1" applyFont="1" applyBorder="1" applyAlignment="1">
      <alignment horizontal="center" vertical="center"/>
    </xf>
    <xf numFmtId="216" fontId="142" fillId="0" borderId="16" xfId="0" applyNumberFormat="1" applyFont="1" applyBorder="1" applyAlignment="1">
      <alignment horizontal="center" vertical="center"/>
    </xf>
    <xf numFmtId="216" fontId="142" fillId="0" borderId="6" xfId="0" applyNumberFormat="1" applyFont="1" applyBorder="1" applyAlignment="1">
      <alignment horizontal="center" vertical="center"/>
    </xf>
    <xf numFmtId="0" fontId="0" fillId="0" borderId="10" xfId="0" applyNumberFormat="1" applyBorder="1" applyAlignment="1">
      <alignment horizontal="center" vertical="center"/>
    </xf>
    <xf numFmtId="0" fontId="0" fillId="0" borderId="13" xfId="0" applyNumberFormat="1" applyBorder="1" applyAlignment="1">
      <alignment horizontal="center" vertical="center"/>
    </xf>
    <xf numFmtId="0" fontId="0" fillId="0" borderId="5" xfId="0" applyNumberFormat="1" applyBorder="1" applyAlignment="1">
      <alignment horizontal="center" vertical="center"/>
    </xf>
    <xf numFmtId="0" fontId="0" fillId="0" borderId="16" xfId="0" applyNumberFormat="1" applyBorder="1" applyAlignment="1">
      <alignment horizontal="center" vertical="center"/>
    </xf>
    <xf numFmtId="0" fontId="0" fillId="0" borderId="11" xfId="0" applyNumberFormat="1" applyBorder="1" applyAlignment="1">
      <alignment horizontal="center" vertical="center"/>
    </xf>
    <xf numFmtId="0" fontId="0" fillId="0" borderId="6" xfId="0" applyNumberFormat="1" applyBorder="1" applyAlignment="1">
      <alignment horizontal="center" vertical="center"/>
    </xf>
    <xf numFmtId="180" fontId="149" fillId="0" borderId="1" xfId="0" applyNumberFormat="1" applyFont="1" applyBorder="1" applyAlignment="1">
      <alignment horizontal="center" vertical="center" wrapText="1"/>
    </xf>
    <xf numFmtId="285" fontId="0" fillId="0" borderId="4" xfId="0" applyNumberFormat="1" applyBorder="1" applyAlignment="1">
      <alignment horizontal="center" vertical="center"/>
    </xf>
    <xf numFmtId="285" fontId="0" fillId="0" borderId="3" xfId="0" applyNumberFormat="1" applyBorder="1" applyAlignment="1">
      <alignment horizontal="center" vertical="center"/>
    </xf>
    <xf numFmtId="285" fontId="0" fillId="0" borderId="7" xfId="0" applyNumberFormat="1" applyBorder="1" applyAlignment="1">
      <alignment horizontal="center" vertical="center"/>
    </xf>
    <xf numFmtId="0" fontId="157" fillId="0" borderId="1" xfId="0" applyFont="1" applyBorder="1" applyAlignment="1">
      <alignment horizontal="center" vertical="center"/>
    </xf>
    <xf numFmtId="0" fontId="158" fillId="0" borderId="1" xfId="0" applyFont="1" applyBorder="1" applyAlignment="1">
      <alignment horizontal="center" vertical="center"/>
    </xf>
    <xf numFmtId="0" fontId="142" fillId="4" borderId="3" xfId="0" applyFont="1" applyFill="1" applyBorder="1" applyAlignment="1">
      <alignment horizontal="center" vertical="center" wrapText="1"/>
    </xf>
    <xf numFmtId="0" fontId="142" fillId="4" borderId="7" xfId="0" applyFont="1" applyFill="1" applyBorder="1" applyAlignment="1">
      <alignment horizontal="center" vertical="center" wrapText="1"/>
    </xf>
    <xf numFmtId="0" fontId="142" fillId="5" borderId="14" xfId="0" applyFont="1" applyFill="1" applyBorder="1" applyAlignment="1">
      <alignment horizontal="center" vertical="center" wrapText="1"/>
    </xf>
    <xf numFmtId="180" fontId="149" fillId="4" borderId="10" xfId="0" applyNumberFormat="1" applyFont="1" applyFill="1" applyBorder="1" applyAlignment="1">
      <alignment horizontal="center" vertical="center"/>
    </xf>
    <xf numFmtId="180" fontId="149" fillId="4" borderId="14" xfId="0" applyNumberFormat="1" applyFont="1" applyFill="1" applyBorder="1" applyAlignment="1">
      <alignment horizontal="center" vertical="center"/>
    </xf>
    <xf numFmtId="180" fontId="149" fillId="7" borderId="10" xfId="0" applyNumberFormat="1" applyFont="1" applyFill="1" applyBorder="1" applyAlignment="1">
      <alignment horizontal="center" vertical="center"/>
    </xf>
    <xf numFmtId="180" fontId="149" fillId="7" borderId="13" xfId="0" applyNumberFormat="1" applyFont="1" applyFill="1" applyBorder="1" applyAlignment="1">
      <alignment horizontal="center" vertical="center"/>
    </xf>
    <xf numFmtId="0" fontId="142" fillId="4" borderId="4" xfId="0" applyFont="1" applyFill="1" applyBorder="1" applyAlignment="1">
      <alignment horizontal="center" vertical="center"/>
    </xf>
    <xf numFmtId="0" fontId="0" fillId="4" borderId="7" xfId="0" applyFill="1" applyBorder="1" applyAlignment="1">
      <alignment horizontal="center" vertical="center"/>
    </xf>
    <xf numFmtId="216" fontId="142" fillId="4" borderId="10" xfId="0" applyNumberFormat="1" applyFont="1" applyFill="1" applyBorder="1" applyAlignment="1">
      <alignment horizontal="center" vertical="center"/>
    </xf>
    <xf numFmtId="216" fontId="142" fillId="4" borderId="5" xfId="0" applyNumberFormat="1" applyFont="1" applyFill="1" applyBorder="1" applyAlignment="1">
      <alignment horizontal="center" vertical="center"/>
    </xf>
    <xf numFmtId="216" fontId="142" fillId="4" borderId="11" xfId="0" applyNumberFormat="1" applyFont="1" applyFill="1" applyBorder="1" applyAlignment="1">
      <alignment horizontal="center" vertical="center"/>
    </xf>
    <xf numFmtId="0" fontId="16" fillId="4" borderId="14" xfId="0" applyNumberFormat="1" applyFont="1" applyFill="1" applyBorder="1" applyAlignment="1">
      <alignment horizontal="center" vertical="center"/>
    </xf>
    <xf numFmtId="0" fontId="16" fillId="4" borderId="0" xfId="0" applyNumberFormat="1" applyFont="1" applyFill="1" applyBorder="1" applyAlignment="1">
      <alignment horizontal="center" vertical="center"/>
    </xf>
    <xf numFmtId="0" fontId="16" fillId="4" borderId="2" xfId="0" applyNumberFormat="1" applyFont="1" applyFill="1" applyBorder="1" applyAlignment="1">
      <alignment horizontal="center" vertical="center"/>
    </xf>
    <xf numFmtId="216" fontId="142" fillId="4" borderId="14" xfId="0" applyNumberFormat="1" applyFont="1" applyFill="1" applyBorder="1" applyAlignment="1">
      <alignment horizontal="center" vertical="center"/>
    </xf>
    <xf numFmtId="216" fontId="142" fillId="4" borderId="0" xfId="0" applyNumberFormat="1" applyFont="1" applyFill="1" applyBorder="1" applyAlignment="1">
      <alignment horizontal="center" vertical="center"/>
    </xf>
    <xf numFmtId="216" fontId="142" fillId="4" borderId="2" xfId="0" applyNumberFormat="1" applyFont="1" applyFill="1" applyBorder="1" applyAlignment="1">
      <alignment horizontal="center" vertical="center"/>
    </xf>
    <xf numFmtId="0" fontId="0" fillId="5" borderId="10" xfId="0" applyNumberFormat="1" applyFill="1" applyBorder="1" applyAlignment="1">
      <alignment horizontal="center" vertical="center"/>
    </xf>
    <xf numFmtId="0" fontId="0" fillId="5" borderId="13" xfId="0" applyNumberFormat="1" applyFill="1" applyBorder="1" applyAlignment="1">
      <alignment horizontal="center" vertical="center"/>
    </xf>
    <xf numFmtId="0" fontId="0" fillId="5" borderId="5" xfId="0" applyNumberFormat="1" applyFill="1" applyBorder="1" applyAlignment="1">
      <alignment horizontal="center" vertical="center"/>
    </xf>
    <xf numFmtId="0" fontId="0" fillId="5" borderId="16" xfId="0" applyNumberFormat="1" applyFill="1" applyBorder="1" applyAlignment="1">
      <alignment horizontal="center" vertical="center"/>
    </xf>
    <xf numFmtId="0" fontId="0" fillId="5" borderId="11" xfId="0" applyNumberFormat="1" applyFill="1" applyBorder="1" applyAlignment="1">
      <alignment horizontal="center" vertical="center"/>
    </xf>
    <xf numFmtId="0" fontId="0" fillId="5" borderId="6" xfId="0" applyNumberFormat="1" applyFill="1" applyBorder="1" applyAlignment="1">
      <alignment horizontal="center" vertical="center"/>
    </xf>
    <xf numFmtId="217" fontId="0" fillId="4" borderId="4" xfId="0" applyNumberFormat="1" applyFill="1" applyBorder="1" applyAlignment="1">
      <alignment horizontal="center" vertical="center"/>
    </xf>
    <xf numFmtId="217" fontId="0" fillId="4" borderId="3" xfId="0" applyNumberFormat="1" applyFill="1" applyBorder="1" applyAlignment="1">
      <alignment horizontal="center" vertical="center"/>
    </xf>
    <xf numFmtId="217" fontId="0" fillId="4" borderId="7" xfId="0" applyNumberFormat="1" applyFill="1" applyBorder="1" applyAlignment="1">
      <alignment horizontal="center" vertical="center"/>
    </xf>
    <xf numFmtId="181" fontId="0" fillId="7" borderId="4" xfId="0" applyNumberFormat="1" applyFill="1" applyBorder="1" applyAlignment="1">
      <alignment horizontal="center" vertical="center"/>
    </xf>
    <xf numFmtId="181" fontId="0" fillId="7" borderId="7" xfId="0" applyNumberFormat="1" applyFill="1" applyBorder="1" applyAlignment="1">
      <alignment horizontal="center" vertical="center"/>
    </xf>
    <xf numFmtId="218" fontId="0" fillId="4" borderId="4" xfId="0" applyNumberFormat="1" applyFill="1" applyBorder="1" applyAlignment="1">
      <alignment horizontal="center" vertical="center"/>
    </xf>
    <xf numFmtId="218" fontId="0" fillId="4" borderId="7" xfId="0" applyNumberFormat="1" applyFill="1" applyBorder="1" applyAlignment="1">
      <alignment horizontal="center" vertical="center"/>
    </xf>
    <xf numFmtId="216" fontId="142" fillId="4" borderId="3" xfId="0" applyNumberFormat="1" applyFont="1" applyFill="1" applyBorder="1" applyAlignment="1">
      <alignment horizontal="center" vertical="center"/>
    </xf>
    <xf numFmtId="216" fontId="142" fillId="4" borderId="7" xfId="0" applyNumberFormat="1" applyFont="1" applyFill="1" applyBorder="1" applyAlignment="1">
      <alignment horizontal="center" vertical="center"/>
    </xf>
    <xf numFmtId="222" fontId="0" fillId="5" borderId="4" xfId="0" applyNumberFormat="1" applyFill="1" applyBorder="1" applyAlignment="1">
      <alignment horizontal="center" vertical="center"/>
    </xf>
    <xf numFmtId="222" fontId="0" fillId="5" borderId="7" xfId="0" applyNumberFormat="1" applyFill="1" applyBorder="1" applyAlignment="1">
      <alignment horizontal="center" vertical="center"/>
    </xf>
    <xf numFmtId="0" fontId="152" fillId="0" borderId="14" xfId="0" applyFont="1" applyBorder="1" applyAlignment="1">
      <alignment horizontal="left" wrapText="1"/>
    </xf>
    <xf numFmtId="223" fontId="0" fillId="7" borderId="4" xfId="0" applyNumberFormat="1" applyFill="1" applyBorder="1" applyAlignment="1">
      <alignment horizontal="center" vertical="center"/>
    </xf>
    <xf numFmtId="223" fontId="0" fillId="7" borderId="7" xfId="0" applyNumberFormat="1" applyFill="1" applyBorder="1" applyAlignment="1">
      <alignment horizontal="center" vertical="center"/>
    </xf>
    <xf numFmtId="176" fontId="0" fillId="7" borderId="4" xfId="0" applyNumberFormat="1" applyFill="1" applyBorder="1" applyAlignment="1">
      <alignment horizontal="center" vertical="center"/>
    </xf>
    <xf numFmtId="176" fontId="0" fillId="7" borderId="7" xfId="0" applyNumberFormat="1" applyFill="1" applyBorder="1" applyAlignment="1">
      <alignment horizontal="center" vertical="center"/>
    </xf>
    <xf numFmtId="224" fontId="142" fillId="4" borderId="4" xfId="0" applyNumberFormat="1" applyFont="1" applyFill="1" applyBorder="1" applyAlignment="1">
      <alignment horizontal="center" vertical="center"/>
    </xf>
    <xf numFmtId="224" fontId="142" fillId="4" borderId="7" xfId="0" applyNumberFormat="1" applyFont="1" applyFill="1" applyBorder="1" applyAlignment="1">
      <alignment horizontal="center" vertical="center"/>
    </xf>
    <xf numFmtId="0" fontId="142" fillId="5" borderId="4" xfId="0" applyFont="1" applyFill="1" applyBorder="1" applyAlignment="1">
      <alignment horizontal="center" vertical="center" wrapText="1"/>
    </xf>
    <xf numFmtId="0" fontId="142" fillId="5" borderId="7" xfId="0" applyFont="1" applyFill="1" applyBorder="1" applyAlignment="1">
      <alignment horizontal="center" vertical="center" wrapText="1"/>
    </xf>
    <xf numFmtId="0" fontId="142" fillId="7" borderId="4" xfId="0" applyFont="1" applyFill="1" applyBorder="1" applyAlignment="1">
      <alignment horizontal="center" vertical="center" wrapText="1"/>
    </xf>
    <xf numFmtId="0" fontId="142" fillId="7" borderId="7" xfId="0" applyFont="1" applyFill="1" applyBorder="1" applyAlignment="1">
      <alignment horizontal="center" vertical="center" wrapText="1"/>
    </xf>
    <xf numFmtId="0" fontId="142" fillId="7" borderId="3" xfId="0" applyFont="1" applyFill="1" applyBorder="1" applyAlignment="1">
      <alignment horizontal="center" vertical="center" wrapText="1"/>
    </xf>
    <xf numFmtId="221" fontId="0" fillId="4" borderId="4" xfId="0" applyNumberFormat="1" applyFill="1" applyBorder="1" applyAlignment="1">
      <alignment horizontal="center" vertical="center"/>
    </xf>
    <xf numFmtId="221" fontId="0" fillId="4" borderId="3" xfId="0" applyNumberFormat="1" applyFill="1" applyBorder="1" applyAlignment="1">
      <alignment horizontal="center" vertical="center"/>
    </xf>
    <xf numFmtId="221" fontId="0" fillId="4" borderId="7" xfId="0" applyNumberFormat="1" applyFill="1" applyBorder="1" applyAlignment="1">
      <alignment horizontal="center" vertical="center"/>
    </xf>
    <xf numFmtId="220" fontId="0" fillId="4" borderId="4" xfId="0" applyNumberFormat="1" applyFill="1" applyBorder="1" applyAlignment="1">
      <alignment horizontal="center" vertical="center"/>
    </xf>
    <xf numFmtId="220" fontId="0" fillId="4" borderId="3" xfId="0" applyNumberFormat="1" applyFill="1" applyBorder="1" applyAlignment="1">
      <alignment horizontal="center" vertical="center"/>
    </xf>
    <xf numFmtId="220" fontId="0" fillId="4" borderId="7" xfId="0" applyNumberFormat="1" applyFill="1" applyBorder="1" applyAlignment="1">
      <alignment horizontal="center" vertical="center"/>
    </xf>
    <xf numFmtId="0" fontId="109" fillId="0" borderId="0" xfId="0" applyFont="1" applyBorder="1" applyAlignment="1">
      <alignment horizontal="center" vertical="center" wrapText="1"/>
    </xf>
    <xf numFmtId="246" fontId="82" fillId="0" borderId="3" xfId="0" applyNumberFormat="1" applyFont="1" applyBorder="1" applyAlignment="1">
      <alignment horizontal="left" vertical="center" wrapText="1"/>
    </xf>
    <xf numFmtId="246" fontId="0" fillId="0" borderId="3" xfId="0" applyNumberFormat="1" applyBorder="1" applyAlignment="1">
      <alignment horizontal="left" vertical="center"/>
    </xf>
    <xf numFmtId="246" fontId="0" fillId="0" borderId="7" xfId="0" applyNumberFormat="1" applyBorder="1" applyAlignment="1">
      <alignment horizontal="left" vertical="center"/>
    </xf>
    <xf numFmtId="0" fontId="106" fillId="0" borderId="4" xfId="0" applyFont="1" applyBorder="1" applyAlignment="1">
      <alignment horizontal="center" vertical="center"/>
    </xf>
    <xf numFmtId="0" fontId="106" fillId="0" borderId="3" xfId="0" applyFont="1" applyBorder="1" applyAlignment="1">
      <alignment horizontal="center" vertical="center"/>
    </xf>
    <xf numFmtId="0" fontId="106" fillId="0" borderId="7" xfId="0" applyFont="1" applyBorder="1" applyAlignment="1">
      <alignment horizontal="center" vertical="center"/>
    </xf>
    <xf numFmtId="0" fontId="106" fillId="0" borderId="1" xfId="0" applyFont="1" applyBorder="1" applyAlignment="1">
      <alignment horizontal="center" vertical="center"/>
    </xf>
    <xf numFmtId="0" fontId="112" fillId="0" borderId="1" xfId="0" applyFont="1" applyBorder="1" applyAlignment="1">
      <alignment horizontal="center" vertical="center"/>
    </xf>
    <xf numFmtId="0" fontId="106" fillId="0" borderId="4" xfId="0" applyFont="1" applyBorder="1" applyAlignment="1">
      <alignment horizontal="center" vertical="center" wrapText="1"/>
    </xf>
    <xf numFmtId="0" fontId="106" fillId="0" borderId="3" xfId="0" applyFont="1" applyBorder="1" applyAlignment="1">
      <alignment horizontal="center" vertical="center" wrapText="1"/>
    </xf>
    <xf numFmtId="0" fontId="106" fillId="0" borderId="7" xfId="0" applyFont="1" applyBorder="1" applyAlignment="1">
      <alignment horizontal="center" vertical="center" wrapText="1"/>
    </xf>
    <xf numFmtId="281" fontId="106" fillId="0" borderId="1" xfId="0" applyNumberFormat="1" applyFont="1" applyBorder="1" applyAlignment="1">
      <alignment horizontal="center" vertical="center"/>
    </xf>
    <xf numFmtId="178" fontId="106" fillId="0" borderId="4" xfId="0" applyNumberFormat="1" applyFont="1" applyBorder="1" applyAlignment="1">
      <alignment horizontal="center" vertical="center"/>
    </xf>
    <xf numFmtId="178" fontId="106" fillId="0" borderId="3" xfId="0" applyNumberFormat="1" applyFont="1" applyBorder="1" applyAlignment="1">
      <alignment horizontal="center" vertical="center"/>
    </xf>
    <xf numFmtId="178" fontId="106" fillId="0" borderId="7" xfId="0" applyNumberFormat="1" applyFont="1" applyBorder="1" applyAlignment="1">
      <alignment horizontal="center" vertical="center"/>
    </xf>
    <xf numFmtId="282" fontId="106" fillId="0" borderId="1" xfId="0" applyNumberFormat="1" applyFont="1" applyBorder="1" applyAlignment="1">
      <alignment horizontal="center" vertical="center"/>
    </xf>
    <xf numFmtId="246" fontId="106" fillId="0" borderId="14" xfId="0" applyNumberFormat="1" applyFont="1" applyBorder="1" applyAlignment="1">
      <alignment horizontal="center" vertical="center"/>
    </xf>
    <xf numFmtId="246" fontId="106" fillId="0" borderId="0" xfId="2" applyNumberFormat="1" applyFont="1" applyAlignment="1">
      <alignment horizontal="center" vertical="center"/>
    </xf>
    <xf numFmtId="283" fontId="106" fillId="0" borderId="1" xfId="0" applyNumberFormat="1" applyFont="1" applyBorder="1" applyAlignment="1">
      <alignment horizontal="center" vertical="center"/>
    </xf>
    <xf numFmtId="219" fontId="0" fillId="0" borderId="4" xfId="0" applyNumberFormat="1" applyBorder="1" applyAlignment="1">
      <alignment horizontal="center" vertical="center"/>
    </xf>
    <xf numFmtId="219" fontId="0" fillId="0" borderId="7" xfId="0" applyNumberFormat="1" applyBorder="1" applyAlignment="1">
      <alignment horizontal="center" vertical="center"/>
    </xf>
    <xf numFmtId="0" fontId="146" fillId="0" borderId="10" xfId="0" applyFont="1" applyBorder="1" applyAlignment="1">
      <alignment horizontal="center" vertical="center" wrapText="1"/>
    </xf>
    <xf numFmtId="0" fontId="142" fillId="0" borderId="13" xfId="0" applyFont="1" applyBorder="1" applyAlignment="1">
      <alignment horizontal="center" vertical="center" wrapText="1"/>
    </xf>
    <xf numFmtId="0" fontId="142" fillId="0" borderId="11" xfId="0" applyFont="1" applyBorder="1" applyAlignment="1">
      <alignment horizontal="center" vertical="center" wrapText="1"/>
    </xf>
    <xf numFmtId="0" fontId="142" fillId="0" borderId="6" xfId="0" applyFont="1" applyBorder="1" applyAlignment="1">
      <alignment horizontal="center" vertical="center" wrapText="1"/>
    </xf>
    <xf numFmtId="0" fontId="142" fillId="0" borderId="9" xfId="0" applyFont="1" applyBorder="1" applyAlignment="1">
      <alignment horizontal="center" vertical="center"/>
    </xf>
    <xf numFmtId="0" fontId="142" fillId="0" borderId="8" xfId="0" applyFont="1" applyBorder="1" applyAlignment="1">
      <alignment horizontal="center" vertical="center"/>
    </xf>
    <xf numFmtId="0" fontId="0" fillId="0" borderId="7" xfId="0" applyBorder="1" applyAlignment="1">
      <alignment horizontal="center" vertical="center" wrapText="1"/>
    </xf>
    <xf numFmtId="0" fontId="141" fillId="0" borderId="0" xfId="0" applyFont="1" applyBorder="1" applyAlignment="1">
      <alignment horizontal="left" vertical="center"/>
    </xf>
    <xf numFmtId="0" fontId="146" fillId="0" borderId="9" xfId="0" applyFont="1" applyBorder="1" applyAlignment="1">
      <alignment horizontal="center" vertical="center"/>
    </xf>
    <xf numFmtId="0" fontId="142" fillId="0" borderId="9" xfId="0" applyFont="1" applyBorder="1" applyAlignment="1">
      <alignment horizontal="center" vertical="center" wrapText="1"/>
    </xf>
    <xf numFmtId="0" fontId="142" fillId="0" borderId="8" xfId="0" applyFont="1" applyBorder="1" applyAlignment="1">
      <alignment horizontal="center" vertical="center" wrapText="1"/>
    </xf>
    <xf numFmtId="0" fontId="142" fillId="0" borderId="12" xfId="0" applyFont="1" applyBorder="1" applyAlignment="1">
      <alignment horizontal="center" vertical="center" wrapText="1"/>
    </xf>
    <xf numFmtId="0" fontId="174" fillId="0" borderId="4" xfId="0" applyFont="1" applyBorder="1" applyAlignment="1">
      <alignment horizontal="left" vertical="center" wrapText="1"/>
    </xf>
    <xf numFmtId="0" fontId="142" fillId="0" borderId="3" xfId="0" applyFont="1" applyBorder="1" applyAlignment="1">
      <alignment horizontal="left" vertical="center" wrapText="1"/>
    </xf>
    <xf numFmtId="0" fontId="0" fillId="0" borderId="13" xfId="0" applyBorder="1" applyAlignment="1">
      <alignment horizontal="center" vertical="center"/>
    </xf>
    <xf numFmtId="0" fontId="0" fillId="0" borderId="5" xfId="0" applyBorder="1" applyAlignment="1">
      <alignment horizontal="center" vertical="center"/>
    </xf>
    <xf numFmtId="0" fontId="0" fillId="0" borderId="16" xfId="0" applyBorder="1" applyAlignment="1">
      <alignment horizontal="center" vertical="center"/>
    </xf>
    <xf numFmtId="0" fontId="0" fillId="0" borderId="11" xfId="0" applyBorder="1" applyAlignment="1">
      <alignment horizontal="center" vertical="center"/>
    </xf>
    <xf numFmtId="0" fontId="0" fillId="0" borderId="6" xfId="0" applyBorder="1" applyAlignment="1">
      <alignment horizontal="center" vertical="center"/>
    </xf>
    <xf numFmtId="0" fontId="0" fillId="0" borderId="9" xfId="0" applyBorder="1" applyAlignment="1">
      <alignment horizontal="center" vertical="center"/>
    </xf>
    <xf numFmtId="0" fontId="0" fillId="0" borderId="12" xfId="0" applyBorder="1" applyAlignment="1">
      <alignment horizontal="center" vertical="center"/>
    </xf>
    <xf numFmtId="0" fontId="142" fillId="0" borderId="9" xfId="0" applyFont="1" applyBorder="1" applyAlignment="1">
      <alignment horizontal="left" vertical="center"/>
    </xf>
    <xf numFmtId="0" fontId="142" fillId="0" borderId="8" xfId="0" applyFont="1" applyBorder="1" applyAlignment="1">
      <alignment horizontal="left" vertical="center"/>
    </xf>
    <xf numFmtId="0" fontId="142" fillId="0" borderId="10" xfId="0" applyFont="1" applyBorder="1" applyAlignment="1">
      <alignment horizontal="center" vertical="center" wrapText="1"/>
    </xf>
    <xf numFmtId="0" fontId="142" fillId="0" borderId="14" xfId="0" applyFont="1" applyBorder="1" applyAlignment="1">
      <alignment horizontal="center" vertical="center" wrapText="1"/>
    </xf>
    <xf numFmtId="0" fontId="142" fillId="0" borderId="14" xfId="0" applyFont="1" applyBorder="1" applyAlignment="1">
      <alignment horizontal="center" vertical="center"/>
    </xf>
    <xf numFmtId="179" fontId="0" fillId="0" borderId="9" xfId="0" applyNumberFormat="1" applyBorder="1" applyAlignment="1">
      <alignment horizontal="center" vertical="center"/>
    </xf>
    <xf numFmtId="179" fontId="0" fillId="0" borderId="8" xfId="0" applyNumberFormat="1" applyBorder="1" applyAlignment="1">
      <alignment horizontal="center" vertical="center"/>
    </xf>
    <xf numFmtId="179" fontId="0" fillId="0" borderId="12" xfId="0" applyNumberFormat="1" applyBorder="1" applyAlignment="1">
      <alignment horizontal="center" vertical="center"/>
    </xf>
    <xf numFmtId="0" fontId="0" fillId="0" borderId="9" xfId="0" applyBorder="1" applyAlignment="1">
      <alignment vertical="center"/>
    </xf>
    <xf numFmtId="229" fontId="0" fillId="0" borderId="1" xfId="0" applyNumberFormat="1" applyBorder="1" applyAlignment="1">
      <alignment horizontal="center" vertical="center"/>
    </xf>
    <xf numFmtId="0" fontId="0" fillId="4" borderId="1" xfId="0" applyFill="1" applyBorder="1" applyAlignment="1">
      <alignment horizontal="center" vertical="center"/>
    </xf>
    <xf numFmtId="274" fontId="0" fillId="0" borderId="1" xfId="0" applyNumberFormat="1" applyBorder="1" applyAlignment="1">
      <alignment horizontal="center" vertical="center"/>
    </xf>
    <xf numFmtId="179" fontId="0" fillId="0" borderId="4" xfId="0" applyNumberFormat="1" applyBorder="1" applyAlignment="1">
      <alignment horizontal="center" vertical="center"/>
    </xf>
    <xf numFmtId="179" fontId="0" fillId="0" borderId="7" xfId="0" applyNumberFormat="1" applyBorder="1" applyAlignment="1">
      <alignment horizontal="center" vertical="center"/>
    </xf>
    <xf numFmtId="0" fontId="162" fillId="0" borderId="22" xfId="0" applyFont="1" applyBorder="1" applyAlignment="1">
      <alignment horizontal="center" vertical="center"/>
    </xf>
    <xf numFmtId="0" fontId="162" fillId="0" borderId="23" xfId="0" applyFont="1" applyBorder="1" applyAlignment="1">
      <alignment horizontal="center" vertical="center"/>
    </xf>
    <xf numFmtId="0" fontId="162" fillId="0" borderId="24" xfId="0" applyFont="1" applyBorder="1" applyAlignment="1">
      <alignment horizontal="center" vertical="center"/>
    </xf>
    <xf numFmtId="0" fontId="162" fillId="0" borderId="25" xfId="0" applyFont="1" applyBorder="1" applyAlignment="1">
      <alignment horizontal="center" vertical="center"/>
    </xf>
    <xf numFmtId="0" fontId="162" fillId="0" borderId="15" xfId="0" applyFont="1" applyBorder="1" applyAlignment="1">
      <alignment horizontal="center" vertical="center"/>
    </xf>
    <xf numFmtId="0" fontId="162" fillId="0" borderId="18" xfId="0" applyFont="1" applyBorder="1" applyAlignment="1">
      <alignment horizontal="center" vertical="center"/>
    </xf>
    <xf numFmtId="0" fontId="162" fillId="0" borderId="21" xfId="0" applyFont="1" applyBorder="1" applyAlignment="1">
      <alignment horizontal="center" vertical="center"/>
    </xf>
    <xf numFmtId="219" fontId="0" fillId="0" borderId="3" xfId="0" applyNumberFormat="1" applyBorder="1" applyAlignment="1">
      <alignment horizontal="center" vertical="center"/>
    </xf>
    <xf numFmtId="0" fontId="0" fillId="0" borderId="4" xfId="0" applyFont="1" applyBorder="1" applyAlignment="1">
      <alignment horizontal="center" vertical="center"/>
    </xf>
    <xf numFmtId="0" fontId="0" fillId="5" borderId="10" xfId="0" applyFill="1" applyBorder="1" applyAlignment="1">
      <alignment horizontal="center" vertical="center"/>
    </xf>
    <xf numFmtId="0" fontId="0" fillId="5" borderId="13" xfId="0" applyFill="1" applyBorder="1" applyAlignment="1">
      <alignment horizontal="center" vertical="center"/>
    </xf>
    <xf numFmtId="0" fontId="0" fillId="5" borderId="5" xfId="0" applyFill="1" applyBorder="1" applyAlignment="1">
      <alignment horizontal="center" vertical="center"/>
    </xf>
    <xf numFmtId="0" fontId="0" fillId="5" borderId="16" xfId="0" applyFill="1" applyBorder="1" applyAlignment="1">
      <alignment horizontal="center" vertical="center"/>
    </xf>
    <xf numFmtId="0" fontId="0" fillId="5" borderId="11" xfId="0" applyFill="1" applyBorder="1" applyAlignment="1">
      <alignment horizontal="center" vertical="center"/>
    </xf>
    <xf numFmtId="0" fontId="0" fillId="5" borderId="6" xfId="0" applyFill="1" applyBorder="1" applyAlignment="1">
      <alignment horizontal="center" vertical="center"/>
    </xf>
    <xf numFmtId="0" fontId="0" fillId="5" borderId="9" xfId="0" applyFill="1" applyBorder="1" applyAlignment="1">
      <alignment horizontal="center" vertical="center"/>
    </xf>
    <xf numFmtId="0" fontId="0" fillId="5" borderId="8" xfId="0" applyFill="1" applyBorder="1" applyAlignment="1">
      <alignment horizontal="center" vertical="center"/>
    </xf>
    <xf numFmtId="0" fontId="0" fillId="5" borderId="12" xfId="0" applyFill="1" applyBorder="1" applyAlignment="1">
      <alignment horizontal="center" vertical="center"/>
    </xf>
    <xf numFmtId="180" fontId="142" fillId="0" borderId="1" xfId="0" applyNumberFormat="1" applyFont="1" applyBorder="1" applyAlignment="1">
      <alignment horizontal="center" vertical="center" wrapText="1"/>
    </xf>
    <xf numFmtId="0" fontId="150" fillId="0" borderId="10" xfId="0" applyFont="1" applyBorder="1" applyAlignment="1">
      <alignment horizontal="right" vertical="center"/>
    </xf>
    <xf numFmtId="0" fontId="150" fillId="0" borderId="14" xfId="0" applyFont="1" applyBorder="1" applyAlignment="1">
      <alignment horizontal="right" vertical="center"/>
    </xf>
    <xf numFmtId="0" fontId="150" fillId="0" borderId="14" xfId="0" applyFont="1" applyBorder="1" applyAlignment="1">
      <alignment horizontal="center" vertical="center"/>
    </xf>
    <xf numFmtId="0" fontId="150" fillId="0" borderId="13" xfId="0" applyFont="1" applyBorder="1" applyAlignment="1">
      <alignment horizontal="center" vertical="center"/>
    </xf>
    <xf numFmtId="0" fontId="150" fillId="0" borderId="0" xfId="0" applyFont="1" applyBorder="1" applyAlignment="1">
      <alignment horizontal="center" vertical="center"/>
    </xf>
    <xf numFmtId="0" fontId="150" fillId="0" borderId="16" xfId="0" applyFont="1" applyBorder="1" applyAlignment="1">
      <alignment horizontal="center" vertical="center"/>
    </xf>
    <xf numFmtId="0" fontId="150" fillId="0" borderId="2" xfId="0" applyFont="1" applyBorder="1" applyAlignment="1">
      <alignment horizontal="center" vertical="center"/>
    </xf>
    <xf numFmtId="0" fontId="150" fillId="0" borderId="6" xfId="0" applyFont="1" applyBorder="1" applyAlignment="1">
      <alignment horizontal="center" vertical="center"/>
    </xf>
    <xf numFmtId="0" fontId="142" fillId="5" borderId="4" xfId="0" applyFont="1" applyFill="1" applyBorder="1" applyAlignment="1">
      <alignment horizontal="center" vertical="center"/>
    </xf>
    <xf numFmtId="0" fontId="142" fillId="5" borderId="7" xfId="0" applyFont="1" applyFill="1" applyBorder="1" applyAlignment="1">
      <alignment horizontal="center" vertical="center"/>
    </xf>
    <xf numFmtId="181" fontId="142" fillId="0" borderId="1" xfId="0" applyNumberFormat="1" applyFont="1" applyBorder="1" applyAlignment="1">
      <alignment horizontal="center" vertical="center" wrapText="1"/>
    </xf>
    <xf numFmtId="0" fontId="0" fillId="9" borderId="5" xfId="0" applyFont="1" applyFill="1" applyBorder="1" applyAlignment="1">
      <alignment horizontal="center" vertical="center"/>
    </xf>
    <xf numFmtId="0" fontId="0" fillId="0" borderId="9" xfId="0" applyFont="1" applyBorder="1" applyAlignment="1">
      <alignment horizontal="center" vertical="center" wrapText="1"/>
    </xf>
    <xf numFmtId="179" fontId="142" fillId="0" borderId="1" xfId="0" applyNumberFormat="1" applyFont="1" applyBorder="1" applyAlignment="1">
      <alignment horizontal="center" vertical="center" wrapText="1"/>
    </xf>
    <xf numFmtId="229" fontId="142" fillId="0" borderId="1" xfId="0" applyNumberFormat="1" applyFont="1" applyBorder="1" applyAlignment="1">
      <alignment horizontal="center" vertical="center" wrapText="1"/>
    </xf>
    <xf numFmtId="178" fontId="142" fillId="0" borderId="1" xfId="0" applyNumberFormat="1" applyFont="1" applyBorder="1" applyAlignment="1">
      <alignment horizontal="center" vertical="center" wrapText="1"/>
    </xf>
    <xf numFmtId="228" fontId="142" fillId="0" borderId="1" xfId="0" applyNumberFormat="1" applyFont="1" applyBorder="1" applyAlignment="1">
      <alignment horizontal="center" vertical="center" wrapText="1"/>
    </xf>
    <xf numFmtId="227" fontId="142" fillId="0" borderId="1" xfId="0" applyNumberFormat="1" applyFont="1" applyBorder="1" applyAlignment="1">
      <alignment horizontal="center" vertical="center" wrapText="1"/>
    </xf>
    <xf numFmtId="0" fontId="142" fillId="0" borderId="4" xfId="0" applyFont="1" applyBorder="1" applyAlignment="1">
      <alignment horizontal="left" vertical="center"/>
    </xf>
    <xf numFmtId="0" fontId="142" fillId="0" borderId="3" xfId="0" applyFont="1" applyBorder="1" applyAlignment="1">
      <alignment horizontal="left" vertical="center"/>
    </xf>
    <xf numFmtId="0" fontId="142" fillId="0" borderId="7" xfId="0" applyFont="1" applyBorder="1" applyAlignment="1">
      <alignment horizontal="left" vertical="center"/>
    </xf>
    <xf numFmtId="0" fontId="0" fillId="5" borderId="4" xfId="0" applyFont="1" applyFill="1" applyBorder="1" applyAlignment="1">
      <alignment horizontal="center" vertical="center" wrapText="1"/>
    </xf>
    <xf numFmtId="0" fontId="0" fillId="5" borderId="7" xfId="0" applyFont="1" applyFill="1" applyBorder="1" applyAlignment="1">
      <alignment horizontal="center" vertical="center" wrapText="1"/>
    </xf>
    <xf numFmtId="0" fontId="142" fillId="9" borderId="5" xfId="0" applyFont="1" applyFill="1" applyBorder="1" applyAlignment="1">
      <alignment horizontal="center" vertical="center"/>
    </xf>
    <xf numFmtId="0" fontId="0" fillId="5" borderId="10" xfId="0" applyFont="1" applyFill="1" applyBorder="1" applyAlignment="1">
      <alignment horizontal="center" vertical="center" wrapText="1"/>
    </xf>
    <xf numFmtId="0" fontId="0" fillId="5" borderId="13" xfId="0" applyFont="1" applyFill="1" applyBorder="1" applyAlignment="1">
      <alignment horizontal="center" vertical="center" wrapText="1"/>
    </xf>
    <xf numFmtId="0" fontId="0" fillId="5" borderId="11" xfId="0" applyFont="1" applyFill="1" applyBorder="1" applyAlignment="1">
      <alignment horizontal="center" vertical="center" wrapText="1"/>
    </xf>
    <xf numFmtId="0" fontId="0" fillId="5" borderId="6" xfId="0" applyFont="1" applyFill="1" applyBorder="1" applyAlignment="1">
      <alignment horizontal="center" vertical="center" wrapText="1"/>
    </xf>
    <xf numFmtId="0" fontId="146" fillId="4" borderId="9" xfId="0" applyFont="1" applyFill="1" applyBorder="1" applyAlignment="1">
      <alignment horizontal="center" vertical="center" wrapText="1"/>
    </xf>
    <xf numFmtId="0" fontId="0" fillId="4" borderId="9" xfId="0" applyFont="1" applyFill="1" applyBorder="1" applyAlignment="1">
      <alignment horizontal="center" vertical="center" wrapText="1"/>
    </xf>
    <xf numFmtId="0" fontId="142" fillId="4" borderId="9" xfId="0" applyFont="1" applyFill="1" applyBorder="1" applyAlignment="1">
      <alignment horizontal="center" vertical="center"/>
    </xf>
    <xf numFmtId="0" fontId="142" fillId="4" borderId="12" xfId="0" applyFont="1" applyFill="1" applyBorder="1" applyAlignment="1">
      <alignment horizontal="center" vertical="center"/>
    </xf>
    <xf numFmtId="0" fontId="0" fillId="0" borderId="1" xfId="0" applyFont="1" applyBorder="1" applyAlignment="1">
      <alignment horizontal="center" vertical="center" wrapText="1"/>
    </xf>
    <xf numFmtId="287" fontId="142" fillId="0" borderId="1" xfId="0" applyNumberFormat="1" applyFont="1" applyBorder="1" applyAlignment="1">
      <alignment horizontal="center" vertical="center" wrapText="1"/>
    </xf>
    <xf numFmtId="0" fontId="142" fillId="5" borderId="3" xfId="0" applyFont="1" applyFill="1" applyBorder="1" applyAlignment="1">
      <alignment horizontal="center" vertical="center"/>
    </xf>
    <xf numFmtId="0" fontId="0" fillId="5" borderId="9" xfId="0" applyFont="1" applyFill="1" applyBorder="1" applyAlignment="1">
      <alignment horizontal="center" vertical="center" wrapText="1"/>
    </xf>
    <xf numFmtId="0" fontId="142" fillId="5" borderId="8" xfId="0" applyFont="1" applyFill="1" applyBorder="1" applyAlignment="1">
      <alignment horizontal="center" vertical="center" wrapText="1"/>
    </xf>
    <xf numFmtId="229" fontId="142" fillId="0" borderId="1" xfId="0" applyNumberFormat="1" applyFont="1" applyBorder="1" applyAlignment="1">
      <alignment horizontal="center" vertical="center"/>
    </xf>
    <xf numFmtId="191" fontId="142" fillId="7" borderId="4" xfId="0" applyNumberFormat="1" applyFont="1" applyFill="1" applyBorder="1" applyAlignment="1">
      <alignment horizontal="center" vertical="center"/>
    </xf>
    <xf numFmtId="191" fontId="142" fillId="7" borderId="7" xfId="0" applyNumberFormat="1" applyFont="1" applyFill="1" applyBorder="1" applyAlignment="1">
      <alignment horizontal="center" vertical="center"/>
    </xf>
    <xf numFmtId="179" fontId="142" fillId="0" borderId="1" xfId="0" applyNumberFormat="1" applyFont="1" applyBorder="1" applyAlignment="1">
      <alignment horizontal="center" vertical="center"/>
    </xf>
    <xf numFmtId="191" fontId="142" fillId="0" borderId="1" xfId="0" applyNumberFormat="1" applyFont="1" applyBorder="1" applyAlignment="1">
      <alignment horizontal="center" vertical="center"/>
    </xf>
    <xf numFmtId="180" fontId="0" fillId="0" borderId="1" xfId="0" applyNumberFormat="1" applyFont="1" applyBorder="1" applyAlignment="1">
      <alignment horizontal="center" vertical="center"/>
    </xf>
    <xf numFmtId="0" fontId="0" fillId="0" borderId="1" xfId="0" applyFont="1" applyBorder="1" applyAlignment="1">
      <alignment vertical="center"/>
    </xf>
    <xf numFmtId="0" fontId="142" fillId="0" borderId="1" xfId="0" applyFont="1" applyBorder="1" applyAlignment="1">
      <alignment vertical="center"/>
    </xf>
    <xf numFmtId="0" fontId="142" fillId="9" borderId="1" xfId="0" applyFont="1" applyFill="1" applyBorder="1" applyAlignment="1">
      <alignment vertical="center"/>
    </xf>
    <xf numFmtId="0" fontId="0" fillId="9" borderId="1" xfId="0" applyFill="1" applyBorder="1" applyAlignment="1">
      <alignment vertical="center"/>
    </xf>
    <xf numFmtId="0" fontId="154" fillId="0" borderId="2" xfId="0" applyFont="1" applyBorder="1" applyAlignment="1">
      <alignment horizontal="center" vertical="center"/>
    </xf>
    <xf numFmtId="0" fontId="145" fillId="0" borderId="2" xfId="0" applyFont="1" applyBorder="1" applyAlignment="1">
      <alignment horizontal="center" vertical="center"/>
    </xf>
    <xf numFmtId="0" fontId="142" fillId="0" borderId="1" xfId="0" applyFont="1" applyBorder="1" applyAlignment="1">
      <alignment horizontal="left" vertical="center" wrapText="1"/>
    </xf>
    <xf numFmtId="182" fontId="142" fillId="5" borderId="1" xfId="0" applyNumberFormat="1" applyFont="1" applyFill="1" applyBorder="1" applyAlignment="1">
      <alignment horizontal="center" vertical="center" wrapText="1"/>
    </xf>
    <xf numFmtId="227" fontId="142" fillId="7" borderId="1" xfId="0" applyNumberFormat="1" applyFont="1" applyFill="1" applyBorder="1" applyAlignment="1">
      <alignment horizontal="center" vertical="center" wrapText="1"/>
    </xf>
    <xf numFmtId="180" fontId="142" fillId="7" borderId="1" xfId="0" applyNumberFormat="1" applyFont="1" applyFill="1" applyBorder="1" applyAlignment="1">
      <alignment horizontal="center" vertical="center" wrapText="1"/>
    </xf>
    <xf numFmtId="286" fontId="142" fillId="0" borderId="4" xfId="0" applyNumberFormat="1" applyFont="1" applyBorder="1" applyAlignment="1">
      <alignment horizontal="center" vertical="center" wrapText="1"/>
    </xf>
    <xf numFmtId="286" fontId="142" fillId="0" borderId="7" xfId="0" applyNumberFormat="1" applyFont="1" applyBorder="1" applyAlignment="1">
      <alignment horizontal="center" vertical="center" wrapText="1"/>
    </xf>
    <xf numFmtId="180" fontId="142" fillId="0" borderId="4" xfId="0" applyNumberFormat="1" applyFont="1" applyBorder="1" applyAlignment="1">
      <alignment horizontal="center" vertical="center" wrapText="1"/>
    </xf>
    <xf numFmtId="180" fontId="142" fillId="0" borderId="7" xfId="0" applyNumberFormat="1" applyFont="1" applyBorder="1" applyAlignment="1">
      <alignment horizontal="center" vertical="center" wrapText="1"/>
    </xf>
    <xf numFmtId="227" fontId="142" fillId="7" borderId="4" xfId="0" applyNumberFormat="1" applyFont="1" applyFill="1" applyBorder="1" applyAlignment="1">
      <alignment horizontal="center" vertical="center" wrapText="1"/>
    </xf>
    <xf numFmtId="227" fontId="142" fillId="7" borderId="3" xfId="0" applyNumberFormat="1" applyFont="1" applyFill="1" applyBorder="1" applyAlignment="1">
      <alignment horizontal="center" vertical="center" wrapText="1"/>
    </xf>
    <xf numFmtId="227" fontId="142" fillId="7" borderId="7" xfId="0" applyNumberFormat="1" applyFont="1" applyFill="1" applyBorder="1" applyAlignment="1">
      <alignment horizontal="center" vertical="center" wrapText="1"/>
    </xf>
    <xf numFmtId="0" fontId="152" fillId="0" borderId="1" xfId="0" applyFont="1" applyBorder="1" applyAlignment="1">
      <alignment horizontal="center" vertical="center"/>
    </xf>
    <xf numFmtId="0" fontId="0" fillId="0" borderId="4" xfId="0" applyFont="1" applyBorder="1" applyAlignment="1">
      <alignment horizontal="center" vertical="center" wrapText="1"/>
    </xf>
    <xf numFmtId="0" fontId="142" fillId="0" borderId="22" xfId="0" applyFont="1" applyBorder="1" applyAlignment="1">
      <alignment horizontal="center" vertical="center"/>
    </xf>
    <xf numFmtId="0" fontId="0" fillId="0" borderId="23" xfId="0" applyBorder="1" applyAlignment="1">
      <alignment horizontal="center" vertical="center"/>
    </xf>
    <xf numFmtId="0" fontId="0" fillId="0" borderId="24" xfId="0" applyBorder="1" applyAlignment="1">
      <alignment horizontal="center" vertical="center"/>
    </xf>
    <xf numFmtId="0" fontId="0" fillId="0" borderId="21" xfId="0" applyBorder="1" applyAlignment="1">
      <alignment horizontal="center" vertical="center"/>
    </xf>
    <xf numFmtId="0" fontId="0" fillId="0" borderId="0" xfId="0" applyBorder="1" applyAlignment="1">
      <alignment horizontal="center" vertical="center"/>
    </xf>
    <xf numFmtId="0" fontId="0" fillId="0" borderId="26" xfId="0" applyBorder="1" applyAlignment="1">
      <alignment horizontal="center" vertical="center"/>
    </xf>
    <xf numFmtId="0" fontId="0" fillId="0" borderId="25" xfId="0" applyBorder="1" applyAlignment="1">
      <alignment horizontal="center" vertical="center"/>
    </xf>
    <xf numFmtId="0" fontId="0" fillId="0" borderId="15" xfId="0" applyBorder="1" applyAlignment="1">
      <alignment horizontal="center" vertical="center"/>
    </xf>
    <xf numFmtId="0" fontId="0" fillId="0" borderId="18" xfId="0" applyBorder="1" applyAlignment="1">
      <alignment horizontal="center" vertical="center"/>
    </xf>
    <xf numFmtId="180" fontId="0" fillId="0" borderId="4" xfId="0" applyNumberFormat="1" applyFont="1" applyBorder="1" applyAlignment="1">
      <alignment horizontal="center" vertical="center" wrapText="1"/>
    </xf>
    <xf numFmtId="0" fontId="142" fillId="9" borderId="1" xfId="0" applyFont="1" applyFill="1" applyBorder="1" applyAlignment="1">
      <alignment horizontal="center" vertical="center"/>
    </xf>
    <xf numFmtId="0" fontId="142" fillId="0" borderId="4" xfId="0" applyFont="1" applyBorder="1" applyAlignment="1">
      <alignment horizontal="right" vertical="center"/>
    </xf>
    <xf numFmtId="0" fontId="142" fillId="0" borderId="3" xfId="0" applyFont="1" applyBorder="1" applyAlignment="1">
      <alignment horizontal="right" vertical="center"/>
    </xf>
    <xf numFmtId="0" fontId="154" fillId="0" borderId="0" xfId="0" applyFont="1" applyBorder="1" applyAlignment="1">
      <alignment horizontal="left" vertical="center"/>
    </xf>
    <xf numFmtId="0" fontId="145" fillId="0" borderId="0" xfId="0" applyFont="1" applyBorder="1" applyAlignment="1">
      <alignment horizontal="left" vertical="center"/>
    </xf>
    <xf numFmtId="0" fontId="0" fillId="0" borderId="4" xfId="0" applyFont="1" applyBorder="1" applyAlignment="1">
      <alignment horizontal="left" vertical="center" wrapText="1"/>
    </xf>
    <xf numFmtId="0" fontId="142" fillId="0" borderId="7" xfId="0" applyFont="1" applyBorder="1" applyAlignment="1">
      <alignment horizontal="left" vertical="center" wrapText="1"/>
    </xf>
    <xf numFmtId="0" fontId="174" fillId="5" borderId="4" xfId="0" applyFont="1" applyFill="1" applyBorder="1" applyAlignment="1">
      <alignment horizontal="center" vertical="center"/>
    </xf>
    <xf numFmtId="0" fontId="146" fillId="0" borderId="9" xfId="0" applyFont="1" applyBorder="1" applyAlignment="1">
      <alignment horizontal="center" vertical="center" wrapText="1"/>
    </xf>
    <xf numFmtId="0" fontId="108" fillId="0" borderId="0" xfId="0" applyFont="1" applyBorder="1" applyAlignment="1">
      <alignment horizontal="center" vertical="center"/>
    </xf>
    <xf numFmtId="0" fontId="97" fillId="0" borderId="0" xfId="0" applyFont="1" applyBorder="1" applyAlignment="1">
      <alignment horizontal="center" vertical="center" wrapText="1"/>
    </xf>
    <xf numFmtId="0" fontId="110" fillId="0" borderId="0" xfId="0" applyFont="1" applyFill="1" applyBorder="1" applyAlignment="1">
      <alignment horizontal="center" vertical="center"/>
    </xf>
    <xf numFmtId="0" fontId="106" fillId="0" borderId="4" xfId="2" applyFont="1" applyBorder="1" applyAlignment="1">
      <alignment horizontal="center" vertical="center"/>
    </xf>
    <xf numFmtId="0" fontId="106" fillId="0" borderId="7" xfId="2" applyFont="1" applyBorder="1" applyAlignment="1">
      <alignment horizontal="center" vertical="center"/>
    </xf>
    <xf numFmtId="0" fontId="106" fillId="0" borderId="3" xfId="2" applyFont="1" applyBorder="1" applyAlignment="1">
      <alignment horizontal="center" vertical="center"/>
    </xf>
    <xf numFmtId="0" fontId="106" fillId="0" borderId="1" xfId="2" applyFont="1" applyBorder="1" applyAlignment="1">
      <alignment horizontal="center" vertical="center"/>
    </xf>
    <xf numFmtId="0" fontId="112" fillId="0" borderId="1" xfId="2" applyFont="1" applyBorder="1" applyAlignment="1">
      <alignment horizontal="center" vertical="center"/>
    </xf>
    <xf numFmtId="0" fontId="106" fillId="0" borderId="4" xfId="2" applyFont="1" applyBorder="1" applyAlignment="1">
      <alignment horizontal="center" vertical="center" wrapText="1"/>
    </xf>
    <xf numFmtId="0" fontId="106" fillId="0" borderId="7" xfId="2" applyFont="1" applyBorder="1" applyAlignment="1">
      <alignment horizontal="center" vertical="center" wrapText="1"/>
    </xf>
    <xf numFmtId="0" fontId="106" fillId="0" borderId="3" xfId="2" applyFont="1" applyBorder="1" applyAlignment="1">
      <alignment horizontal="center" vertical="center" wrapText="1"/>
    </xf>
    <xf numFmtId="259" fontId="106" fillId="0" borderId="4" xfId="2" applyNumberFormat="1" applyFont="1" applyBorder="1" applyAlignment="1">
      <alignment horizontal="center" vertical="center" wrapText="1"/>
    </xf>
    <xf numFmtId="259" fontId="106" fillId="0" borderId="7" xfId="2" applyNumberFormat="1" applyFont="1" applyBorder="1" applyAlignment="1">
      <alignment horizontal="center" vertical="center" wrapText="1"/>
    </xf>
    <xf numFmtId="260" fontId="106" fillId="0" borderId="4" xfId="2" applyNumberFormat="1" applyFont="1" applyBorder="1" applyAlignment="1">
      <alignment horizontal="center" vertical="center"/>
    </xf>
    <xf numFmtId="260" fontId="106" fillId="0" borderId="3" xfId="2" applyNumberFormat="1" applyFont="1" applyBorder="1" applyAlignment="1">
      <alignment horizontal="center" vertical="center"/>
    </xf>
    <xf numFmtId="260" fontId="106" fillId="0" borderId="7" xfId="2" applyNumberFormat="1" applyFont="1" applyBorder="1" applyAlignment="1">
      <alignment horizontal="center" vertical="center"/>
    </xf>
    <xf numFmtId="261" fontId="106" fillId="0" borderId="4" xfId="2" applyNumberFormat="1" applyFont="1" applyBorder="1" applyAlignment="1">
      <alignment horizontal="center" vertical="center" wrapText="1"/>
    </xf>
    <xf numFmtId="261" fontId="106" fillId="0" borderId="7" xfId="2" applyNumberFormat="1" applyFont="1" applyBorder="1" applyAlignment="1">
      <alignment horizontal="center" vertical="center" wrapText="1"/>
    </xf>
    <xf numFmtId="246" fontId="106" fillId="0" borderId="1" xfId="2" applyNumberFormat="1" applyFont="1" applyBorder="1" applyAlignment="1">
      <alignment horizontal="center" vertical="center"/>
    </xf>
    <xf numFmtId="262" fontId="106" fillId="0" borderId="4" xfId="2" applyNumberFormat="1" applyFont="1" applyBorder="1" applyAlignment="1">
      <alignment horizontal="center" vertical="center" wrapText="1"/>
    </xf>
    <xf numFmtId="262" fontId="106" fillId="0" borderId="7" xfId="2" applyNumberFormat="1" applyFont="1" applyBorder="1" applyAlignment="1">
      <alignment horizontal="center" vertical="center" wrapText="1"/>
    </xf>
    <xf numFmtId="0" fontId="114" fillId="0" borderId="10" xfId="0" applyFont="1" applyBorder="1" applyAlignment="1">
      <alignment horizontal="center" vertical="center"/>
    </xf>
    <xf numFmtId="0" fontId="114" fillId="0" borderId="14" xfId="0" applyFont="1" applyBorder="1" applyAlignment="1">
      <alignment horizontal="center" vertical="center"/>
    </xf>
    <xf numFmtId="0" fontId="114" fillId="0" borderId="13" xfId="0" applyFont="1" applyBorder="1" applyAlignment="1">
      <alignment horizontal="center" vertical="center"/>
    </xf>
    <xf numFmtId="0" fontId="114" fillId="0" borderId="11" xfId="0" applyFont="1" applyBorder="1" applyAlignment="1">
      <alignment horizontal="center" vertical="center"/>
    </xf>
    <xf numFmtId="0" fontId="114" fillId="0" borderId="2" xfId="0" applyFont="1" applyBorder="1" applyAlignment="1">
      <alignment horizontal="center" vertical="center"/>
    </xf>
    <xf numFmtId="0" fontId="114" fillId="0" borderId="6" xfId="0" applyFont="1" applyBorder="1" applyAlignment="1">
      <alignment horizontal="center" vertical="center"/>
    </xf>
    <xf numFmtId="0" fontId="114" fillId="0" borderId="1" xfId="0" applyFont="1" applyBorder="1" applyAlignment="1">
      <alignment horizontal="center" vertical="center" wrapText="1"/>
    </xf>
    <xf numFmtId="0" fontId="115" fillId="0" borderId="1" xfId="0" applyFont="1" applyBorder="1" applyAlignment="1">
      <alignment horizontal="center" vertical="center"/>
    </xf>
    <xf numFmtId="246" fontId="106" fillId="0" borderId="4" xfId="2" applyNumberFormat="1" applyFont="1" applyBorder="1" applyAlignment="1">
      <alignment horizontal="center" vertical="center"/>
    </xf>
    <xf numFmtId="246" fontId="106" fillId="0" borderId="3" xfId="2" applyNumberFormat="1" applyFont="1" applyBorder="1" applyAlignment="1">
      <alignment horizontal="center" vertical="center"/>
    </xf>
    <xf numFmtId="0" fontId="114" fillId="0" borderId="4" xfId="0" applyFont="1" applyBorder="1" applyAlignment="1">
      <alignment horizontal="center" vertical="center" wrapText="1"/>
    </xf>
    <xf numFmtId="0" fontId="114" fillId="0" borderId="3" xfId="0" applyFont="1" applyBorder="1" applyAlignment="1">
      <alignment horizontal="center" vertical="center" wrapText="1"/>
    </xf>
    <xf numFmtId="0" fontId="114" fillId="0" borderId="7" xfId="0" applyFont="1" applyBorder="1" applyAlignment="1">
      <alignment horizontal="center" vertical="center" wrapText="1"/>
    </xf>
    <xf numFmtId="263" fontId="114" fillId="0" borderId="1" xfId="0" applyNumberFormat="1" applyFont="1" applyBorder="1" applyAlignment="1">
      <alignment horizontal="center" vertical="center" wrapText="1"/>
    </xf>
    <xf numFmtId="182" fontId="142" fillId="5" borderId="10" xfId="0" applyNumberFormat="1" applyFont="1" applyFill="1" applyBorder="1" applyAlignment="1">
      <alignment horizontal="right" vertical="center"/>
    </xf>
    <xf numFmtId="182" fontId="142" fillId="5" borderId="5" xfId="0" applyNumberFormat="1" applyFont="1" applyFill="1" applyBorder="1" applyAlignment="1">
      <alignment horizontal="right" vertical="center"/>
    </xf>
    <xf numFmtId="0" fontId="142" fillId="5" borderId="13" xfId="0" applyFont="1" applyFill="1" applyBorder="1" applyAlignment="1">
      <alignment vertical="center"/>
    </xf>
    <xf numFmtId="0" fontId="142" fillId="5" borderId="16" xfId="0" applyFont="1" applyFill="1" applyBorder="1" applyAlignment="1">
      <alignment vertical="center"/>
    </xf>
    <xf numFmtId="182" fontId="142" fillId="5" borderId="11" xfId="0" applyNumberFormat="1" applyFont="1" applyFill="1" applyBorder="1" applyAlignment="1">
      <alignment horizontal="right" vertical="center"/>
    </xf>
    <xf numFmtId="0" fontId="142" fillId="5" borderId="6" xfId="0" applyFont="1" applyFill="1" applyBorder="1" applyAlignment="1">
      <alignment vertical="center"/>
    </xf>
    <xf numFmtId="288" fontId="0" fillId="0" borderId="9" xfId="0" applyNumberFormat="1" applyBorder="1" applyAlignment="1">
      <alignment horizontal="center" vertical="center"/>
    </xf>
    <xf numFmtId="288" fontId="0" fillId="0" borderId="12" xfId="0" applyNumberFormat="1" applyBorder="1" applyAlignment="1">
      <alignment horizontal="center" vertical="center"/>
    </xf>
    <xf numFmtId="277" fontId="0" fillId="0" borderId="9" xfId="0" applyNumberFormat="1" applyBorder="1" applyAlignment="1">
      <alignment horizontal="center" vertical="center"/>
    </xf>
    <xf numFmtId="277" fontId="0" fillId="0" borderId="8" xfId="0" applyNumberFormat="1" applyBorder="1" applyAlignment="1">
      <alignment horizontal="center" vertical="center"/>
    </xf>
    <xf numFmtId="277" fontId="0" fillId="0" borderId="12" xfId="0" applyNumberFormat="1" applyBorder="1" applyAlignment="1">
      <alignment horizontal="center" vertical="center"/>
    </xf>
    <xf numFmtId="288" fontId="0" fillId="0" borderId="8" xfId="0" applyNumberFormat="1" applyBorder="1" applyAlignment="1">
      <alignment horizontal="center" vertical="center"/>
    </xf>
    <xf numFmtId="186" fontId="0" fillId="0" borderId="4" xfId="0" applyNumberFormat="1" applyBorder="1" applyAlignment="1">
      <alignment horizontal="center" vertical="center"/>
    </xf>
    <xf numFmtId="186" fontId="0" fillId="0" borderId="3" xfId="0" applyNumberFormat="1" applyBorder="1" applyAlignment="1">
      <alignment horizontal="center" vertical="center"/>
    </xf>
    <xf numFmtId="186" fontId="0" fillId="0" borderId="7" xfId="0" applyNumberFormat="1" applyBorder="1" applyAlignment="1">
      <alignment horizontal="center" vertical="center"/>
    </xf>
    <xf numFmtId="184" fontId="142" fillId="0" borderId="4" xfId="0" applyNumberFormat="1" applyFont="1" applyBorder="1" applyAlignment="1">
      <alignment horizontal="center" vertical="center"/>
    </xf>
    <xf numFmtId="184" fontId="142" fillId="0" borderId="3" xfId="0" applyNumberFormat="1" applyFont="1" applyBorder="1" applyAlignment="1">
      <alignment horizontal="center" vertical="center"/>
    </xf>
    <xf numFmtId="184" fontId="142" fillId="0" borderId="7" xfId="0" applyNumberFormat="1" applyFont="1" applyBorder="1" applyAlignment="1">
      <alignment horizontal="center" vertical="center"/>
    </xf>
    <xf numFmtId="183" fontId="142" fillId="0" borderId="4" xfId="0" applyNumberFormat="1" applyFont="1" applyBorder="1" applyAlignment="1">
      <alignment horizontal="center" vertical="center"/>
    </xf>
    <xf numFmtId="183" fontId="142" fillId="0" borderId="3" xfId="0" applyNumberFormat="1" applyFont="1" applyBorder="1" applyAlignment="1">
      <alignment horizontal="center" vertical="center"/>
    </xf>
    <xf numFmtId="183" fontId="142" fillId="0" borderId="7" xfId="0" applyNumberFormat="1" applyFont="1" applyBorder="1" applyAlignment="1">
      <alignment horizontal="center" vertical="center"/>
    </xf>
    <xf numFmtId="0" fontId="178" fillId="0" borderId="1" xfId="0" applyFont="1" applyBorder="1" applyAlignment="1">
      <alignment horizontal="center" vertical="center"/>
    </xf>
    <xf numFmtId="237" fontId="0" fillId="0" borderId="9" xfId="0" applyNumberFormat="1" applyBorder="1" applyAlignment="1">
      <alignment horizontal="center" vertical="center"/>
    </xf>
    <xf numFmtId="237" fontId="0" fillId="0" borderId="8" xfId="0" applyNumberFormat="1" applyBorder="1" applyAlignment="1">
      <alignment horizontal="center" vertical="center"/>
    </xf>
    <xf numFmtId="237" fontId="0" fillId="0" borderId="12" xfId="0" applyNumberFormat="1" applyBorder="1" applyAlignment="1">
      <alignment horizontal="center" vertical="center"/>
    </xf>
    <xf numFmtId="184" fontId="0" fillId="0" borderId="4" xfId="0" applyNumberFormat="1" applyBorder="1" applyAlignment="1">
      <alignment horizontal="center" vertical="center"/>
    </xf>
    <xf numFmtId="184" fontId="0" fillId="0" borderId="3" xfId="0" applyNumberFormat="1" applyBorder="1" applyAlignment="1">
      <alignment horizontal="center" vertical="center"/>
    </xf>
    <xf numFmtId="184" fontId="0" fillId="0" borderId="7" xfId="0" applyNumberFormat="1" applyBorder="1" applyAlignment="1">
      <alignment horizontal="center" vertical="center"/>
    </xf>
    <xf numFmtId="0" fontId="152" fillId="0" borderId="1" xfId="0" applyFont="1" applyBorder="1" applyAlignment="1">
      <alignment horizontal="center" vertical="center" wrapText="1"/>
    </xf>
    <xf numFmtId="180" fontId="0" fillId="0" borderId="4" xfId="0" applyNumberFormat="1" applyBorder="1" applyAlignment="1">
      <alignment horizontal="center" vertical="center" wrapText="1"/>
    </xf>
    <xf numFmtId="180" fontId="0" fillId="0" borderId="3" xfId="0" applyNumberFormat="1" applyBorder="1" applyAlignment="1">
      <alignment horizontal="center" vertical="center" wrapText="1"/>
    </xf>
    <xf numFmtId="180" fontId="0" fillId="0" borderId="7" xfId="0" applyNumberFormat="1" applyBorder="1" applyAlignment="1">
      <alignment horizontal="center" vertical="center" wrapText="1"/>
    </xf>
    <xf numFmtId="183" fontId="0" fillId="0" borderId="4" xfId="0" applyNumberFormat="1" applyBorder="1" applyAlignment="1">
      <alignment horizontal="center" vertical="center"/>
    </xf>
    <xf numFmtId="183" fontId="0" fillId="0" borderId="3" xfId="0" applyNumberFormat="1" applyBorder="1" applyAlignment="1">
      <alignment horizontal="center" vertical="center"/>
    </xf>
    <xf numFmtId="0" fontId="142" fillId="7" borderId="4" xfId="0" applyFont="1" applyFill="1" applyBorder="1" applyAlignment="1">
      <alignment horizontal="center" vertical="center"/>
    </xf>
    <xf numFmtId="0" fontId="142" fillId="7" borderId="3" xfId="0" applyFont="1" applyFill="1" applyBorder="1" applyAlignment="1">
      <alignment horizontal="center" vertical="center"/>
    </xf>
    <xf numFmtId="0" fontId="142" fillId="7" borderId="7" xfId="0" applyFont="1" applyFill="1" applyBorder="1" applyAlignment="1">
      <alignment horizontal="center" vertical="center"/>
    </xf>
    <xf numFmtId="0" fontId="142" fillId="7" borderId="1" xfId="0" applyFont="1" applyFill="1" applyBorder="1" applyAlignment="1">
      <alignment horizontal="center" vertical="center"/>
    </xf>
    <xf numFmtId="183" fontId="0" fillId="0" borderId="7" xfId="0" applyNumberFormat="1" applyBorder="1" applyAlignment="1">
      <alignment horizontal="center" vertical="center"/>
    </xf>
    <xf numFmtId="181" fontId="142" fillId="7" borderId="4" xfId="0" applyNumberFormat="1" applyFont="1" applyFill="1" applyBorder="1" applyAlignment="1">
      <alignment horizontal="center" vertical="center"/>
    </xf>
    <xf numFmtId="181" fontId="142" fillId="7" borderId="3" xfId="0" applyNumberFormat="1" applyFont="1" applyFill="1" applyBorder="1" applyAlignment="1">
      <alignment horizontal="center" vertical="center"/>
    </xf>
    <xf numFmtId="181" fontId="142" fillId="7" borderId="7" xfId="0" applyNumberFormat="1" applyFont="1" applyFill="1" applyBorder="1" applyAlignment="1">
      <alignment horizontal="center" vertical="center"/>
    </xf>
    <xf numFmtId="181" fontId="142" fillId="7" borderId="1" xfId="0" applyNumberFormat="1" applyFont="1" applyFill="1" applyBorder="1" applyAlignment="1">
      <alignment horizontal="center" vertical="center"/>
    </xf>
    <xf numFmtId="186" fontId="142" fillId="4" borderId="4" xfId="0" applyNumberFormat="1" applyFont="1" applyFill="1" applyBorder="1" applyAlignment="1">
      <alignment horizontal="center" vertical="center"/>
    </xf>
    <xf numFmtId="186" fontId="142" fillId="4" borderId="3" xfId="0" applyNumberFormat="1" applyFont="1" applyFill="1" applyBorder="1" applyAlignment="1">
      <alignment horizontal="center" vertical="center"/>
    </xf>
    <xf numFmtId="186" fontId="142" fillId="4" borderId="7" xfId="0" applyNumberFormat="1" applyFont="1" applyFill="1" applyBorder="1" applyAlignment="1">
      <alignment horizontal="center" vertical="center"/>
    </xf>
    <xf numFmtId="0" fontId="142" fillId="5" borderId="1" xfId="0" applyFont="1" applyFill="1" applyBorder="1" applyAlignment="1">
      <alignment horizontal="left" vertical="center" wrapText="1"/>
    </xf>
    <xf numFmtId="0" fontId="142" fillId="5" borderId="3" xfId="0" applyFont="1" applyFill="1" applyBorder="1" applyAlignment="1">
      <alignment horizontal="left" vertical="center"/>
    </xf>
    <xf numFmtId="0" fontId="142" fillId="5" borderId="7" xfId="0" applyFont="1" applyFill="1" applyBorder="1" applyAlignment="1">
      <alignment horizontal="left" vertical="center"/>
    </xf>
    <xf numFmtId="0" fontId="142" fillId="0" borderId="4" xfId="0" applyFont="1" applyBorder="1" applyAlignment="1">
      <alignment horizontal="left" vertical="center" wrapText="1"/>
    </xf>
    <xf numFmtId="261" fontId="106" fillId="0" borderId="1" xfId="0" applyNumberFormat="1" applyFont="1" applyBorder="1" applyAlignment="1">
      <alignment horizontal="center" vertical="center"/>
    </xf>
    <xf numFmtId="219" fontId="106" fillId="0" borderId="4" xfId="0" applyNumberFormat="1" applyFont="1" applyBorder="1" applyAlignment="1">
      <alignment horizontal="center" vertical="center"/>
    </xf>
    <xf numFmtId="219" fontId="106" fillId="0" borderId="3" xfId="0" applyNumberFormat="1" applyFont="1" applyBorder="1" applyAlignment="1">
      <alignment horizontal="center" vertical="center"/>
    </xf>
    <xf numFmtId="219" fontId="106" fillId="0" borderId="7" xfId="0" applyNumberFormat="1" applyFont="1" applyBorder="1" applyAlignment="1">
      <alignment horizontal="center" vertical="center"/>
    </xf>
    <xf numFmtId="0" fontId="142" fillId="5" borderId="4" xfId="0" applyFont="1" applyFill="1" applyBorder="1" applyAlignment="1">
      <alignment horizontal="right" vertical="center"/>
    </xf>
    <xf numFmtId="0" fontId="142" fillId="5" borderId="3" xfId="0" applyFont="1" applyFill="1" applyBorder="1" applyAlignment="1">
      <alignment horizontal="right" vertical="center"/>
    </xf>
    <xf numFmtId="0" fontId="150" fillId="0" borderId="1" xfId="0" applyFont="1" applyBorder="1" applyAlignment="1">
      <alignment horizontal="center" vertical="center" wrapText="1"/>
    </xf>
    <xf numFmtId="0" fontId="142" fillId="0" borderId="5" xfId="0" applyFont="1" applyBorder="1" applyAlignment="1">
      <alignment horizontal="center" vertical="center" wrapText="1"/>
    </xf>
    <xf numFmtId="0" fontId="142" fillId="0" borderId="16" xfId="0" applyFont="1" applyBorder="1" applyAlignment="1">
      <alignment horizontal="center" vertical="center" wrapText="1"/>
    </xf>
    <xf numFmtId="178" fontId="142" fillId="0" borderId="4" xfId="0" applyNumberFormat="1" applyFont="1" applyBorder="1" applyAlignment="1">
      <alignment horizontal="center" vertical="center" wrapText="1"/>
    </xf>
    <xf numFmtId="178" fontId="142" fillId="0" borderId="7" xfId="0" applyNumberFormat="1" applyFont="1" applyBorder="1" applyAlignment="1">
      <alignment horizontal="center" vertical="center" wrapText="1"/>
    </xf>
    <xf numFmtId="181" fontId="142" fillId="0" borderId="4" xfId="0" applyNumberFormat="1" applyFont="1" applyBorder="1" applyAlignment="1">
      <alignment horizontal="center" vertical="center"/>
    </xf>
    <xf numFmtId="181" fontId="142" fillId="0" borderId="7" xfId="0" applyNumberFormat="1" applyFont="1" applyBorder="1" applyAlignment="1">
      <alignment horizontal="center" vertical="center"/>
    </xf>
    <xf numFmtId="176" fontId="142" fillId="0" borderId="7" xfId="0" applyNumberFormat="1" applyFont="1" applyBorder="1" applyAlignment="1">
      <alignment horizontal="center" vertical="center"/>
    </xf>
    <xf numFmtId="0" fontId="142" fillId="5" borderId="3" xfId="0" applyFont="1" applyFill="1" applyBorder="1" applyAlignment="1">
      <alignment horizontal="left" vertical="center" wrapText="1"/>
    </xf>
    <xf numFmtId="0" fontId="142" fillId="5" borderId="7" xfId="0" applyFont="1" applyFill="1" applyBorder="1" applyAlignment="1">
      <alignment horizontal="left" vertical="center" wrapText="1"/>
    </xf>
    <xf numFmtId="0" fontId="152" fillId="0" borderId="5" xfId="0" applyFont="1" applyBorder="1" applyAlignment="1">
      <alignment horizontal="center" vertical="center" wrapText="1"/>
    </xf>
    <xf numFmtId="0" fontId="152" fillId="0" borderId="0" xfId="0" applyFont="1" applyAlignment="1">
      <alignment horizontal="center" vertical="center" wrapText="1"/>
    </xf>
    <xf numFmtId="0" fontId="142" fillId="0" borderId="4" xfId="0" applyFont="1" applyBorder="1" applyAlignment="1">
      <alignment horizontal="right" vertical="center" wrapText="1"/>
    </xf>
    <xf numFmtId="0" fontId="142" fillId="0" borderId="3" xfId="0" applyFont="1" applyBorder="1" applyAlignment="1">
      <alignment horizontal="right" vertical="center" wrapText="1"/>
    </xf>
    <xf numFmtId="0" fontId="142" fillId="5" borderId="3" xfId="0" applyFont="1" applyFill="1" applyBorder="1" applyAlignment="1">
      <alignment horizontal="center" vertical="center" wrapText="1"/>
    </xf>
    <xf numFmtId="178" fontId="142" fillId="4" borderId="4" xfId="0" applyNumberFormat="1" applyFont="1" applyFill="1" applyBorder="1" applyAlignment="1">
      <alignment horizontal="center" vertical="center"/>
    </xf>
    <xf numFmtId="178" fontId="142" fillId="4" borderId="7" xfId="0" applyNumberFormat="1" applyFont="1" applyFill="1" applyBorder="1" applyAlignment="1">
      <alignment horizontal="center" vertical="center"/>
    </xf>
    <xf numFmtId="180" fontId="142" fillId="7" borderId="4" xfId="0" applyNumberFormat="1" applyFont="1" applyFill="1" applyBorder="1" applyAlignment="1">
      <alignment horizontal="center" vertical="center"/>
    </xf>
    <xf numFmtId="180" fontId="142" fillId="7" borderId="7" xfId="0" applyNumberFormat="1" applyFont="1" applyFill="1" applyBorder="1" applyAlignment="1">
      <alignment horizontal="center" vertical="center"/>
    </xf>
    <xf numFmtId="180" fontId="142" fillId="4" borderId="4" xfId="0" applyNumberFormat="1" applyFont="1" applyFill="1" applyBorder="1" applyAlignment="1">
      <alignment horizontal="center" vertical="center"/>
    </xf>
    <xf numFmtId="180" fontId="142" fillId="4" borderId="3" xfId="0" applyNumberFormat="1" applyFont="1" applyFill="1" applyBorder="1" applyAlignment="1">
      <alignment horizontal="center" vertical="center"/>
    </xf>
    <xf numFmtId="180" fontId="142" fillId="4" borderId="7" xfId="0" applyNumberFormat="1" applyFont="1" applyFill="1" applyBorder="1" applyAlignment="1">
      <alignment horizontal="center" vertical="center"/>
    </xf>
    <xf numFmtId="178" fontId="142" fillId="0" borderId="1" xfId="0" applyNumberFormat="1" applyFont="1" applyBorder="1" applyAlignment="1">
      <alignment horizontal="center" vertical="center"/>
    </xf>
    <xf numFmtId="0" fontId="142" fillId="5" borderId="4" xfId="0" applyFont="1" applyFill="1" applyBorder="1" applyAlignment="1">
      <alignment horizontal="right" vertical="center" wrapText="1"/>
    </xf>
    <xf numFmtId="0" fontId="142" fillId="5" borderId="3" xfId="0" applyFont="1" applyFill="1" applyBorder="1" applyAlignment="1">
      <alignment horizontal="right" vertical="center" wrapText="1"/>
    </xf>
    <xf numFmtId="0" fontId="142" fillId="5" borderId="1" xfId="0" applyFont="1" applyFill="1" applyBorder="1" applyAlignment="1">
      <alignment horizontal="left" vertical="center"/>
    </xf>
    <xf numFmtId="180" fontId="142" fillId="0" borderId="10" xfId="0" applyNumberFormat="1" applyFont="1" applyBorder="1" applyAlignment="1">
      <alignment horizontal="center" vertical="center"/>
    </xf>
    <xf numFmtId="180" fontId="142" fillId="0" borderId="14" xfId="0" applyNumberFormat="1" applyFont="1" applyBorder="1" applyAlignment="1">
      <alignment horizontal="center" vertical="center"/>
    </xf>
    <xf numFmtId="180" fontId="142" fillId="0" borderId="5" xfId="0" applyNumberFormat="1" applyFont="1" applyBorder="1" applyAlignment="1">
      <alignment horizontal="center" vertical="center"/>
    </xf>
    <xf numFmtId="180" fontId="142" fillId="0" borderId="0" xfId="0" applyNumberFormat="1" applyFont="1" applyBorder="1" applyAlignment="1">
      <alignment horizontal="center" vertical="center"/>
    </xf>
    <xf numFmtId="180" fontId="142" fillId="0" borderId="11" xfId="0" applyNumberFormat="1" applyFont="1" applyBorder="1" applyAlignment="1">
      <alignment horizontal="center" vertical="center"/>
    </xf>
    <xf numFmtId="180" fontId="142" fillId="0" borderId="2" xfId="0" applyNumberFormat="1" applyFont="1" applyBorder="1" applyAlignment="1">
      <alignment horizontal="center" vertical="center"/>
    </xf>
    <xf numFmtId="0" fontId="142" fillId="0" borderId="0" xfId="0" applyFont="1" applyBorder="1" applyAlignment="1">
      <alignment horizontal="center" vertical="center"/>
    </xf>
    <xf numFmtId="176" fontId="142" fillId="0" borderId="10" xfId="0" applyNumberFormat="1" applyFont="1" applyBorder="1" applyAlignment="1">
      <alignment horizontal="center" vertical="center" wrapText="1"/>
    </xf>
    <xf numFmtId="176" fontId="142" fillId="0" borderId="13" xfId="0" applyNumberFormat="1" applyFont="1" applyBorder="1" applyAlignment="1">
      <alignment horizontal="center" vertical="center" wrapText="1"/>
    </xf>
    <xf numFmtId="176" fontId="142" fillId="0" borderId="5" xfId="0" applyNumberFormat="1" applyFont="1" applyBorder="1" applyAlignment="1">
      <alignment horizontal="center" vertical="center" wrapText="1"/>
    </xf>
    <xf numFmtId="176" fontId="142" fillId="0" borderId="16" xfId="0" applyNumberFormat="1" applyFont="1" applyBorder="1" applyAlignment="1">
      <alignment horizontal="center" vertical="center" wrapText="1"/>
    </xf>
    <xf numFmtId="176" fontId="142" fillId="0" borderId="11" xfId="0" applyNumberFormat="1" applyFont="1" applyBorder="1" applyAlignment="1">
      <alignment horizontal="center" vertical="center" wrapText="1"/>
    </xf>
    <xf numFmtId="176" fontId="142" fillId="0" borderId="6" xfId="0" applyNumberFormat="1" applyFont="1" applyBorder="1" applyAlignment="1">
      <alignment horizontal="center" vertical="center" wrapText="1"/>
    </xf>
    <xf numFmtId="176" fontId="142" fillId="7" borderId="4" xfId="0" applyNumberFormat="1" applyFont="1" applyFill="1" applyBorder="1" applyAlignment="1">
      <alignment horizontal="center" vertical="center"/>
    </xf>
    <xf numFmtId="176" fontId="142" fillId="7" borderId="7" xfId="0" applyNumberFormat="1" applyFont="1" applyFill="1" applyBorder="1" applyAlignment="1">
      <alignment horizontal="center" vertical="center"/>
    </xf>
    <xf numFmtId="178" fontId="142" fillId="4" borderId="4" xfId="0" applyNumberFormat="1" applyFont="1" applyFill="1" applyBorder="1" applyAlignment="1">
      <alignment horizontal="center" vertical="center" wrapText="1"/>
    </xf>
    <xf numFmtId="178" fontId="142" fillId="4" borderId="7" xfId="0" applyNumberFormat="1" applyFont="1" applyFill="1" applyBorder="1" applyAlignment="1">
      <alignment horizontal="center" vertical="center" wrapText="1"/>
    </xf>
    <xf numFmtId="0" fontId="142" fillId="4" borderId="3" xfId="0" applyFont="1" applyFill="1" applyBorder="1" applyAlignment="1">
      <alignment horizontal="right" vertical="center"/>
    </xf>
    <xf numFmtId="180" fontId="142" fillId="7" borderId="4" xfId="0" applyNumberFormat="1" applyFont="1" applyFill="1" applyBorder="1" applyAlignment="1">
      <alignment horizontal="center" vertical="center" wrapText="1"/>
    </xf>
    <xf numFmtId="180" fontId="142" fillId="7" borderId="7" xfId="0" applyNumberFormat="1" applyFont="1" applyFill="1" applyBorder="1" applyAlignment="1">
      <alignment horizontal="center" vertical="center" wrapText="1"/>
    </xf>
    <xf numFmtId="0" fontId="142" fillId="0" borderId="7" xfId="0" applyFont="1" applyFill="1" applyBorder="1" applyAlignment="1">
      <alignment horizontal="center" vertical="center" wrapText="1"/>
    </xf>
    <xf numFmtId="0" fontId="142" fillId="0" borderId="3" xfId="0" applyFont="1" applyFill="1" applyBorder="1" applyAlignment="1">
      <alignment horizontal="center" vertical="center"/>
    </xf>
    <xf numFmtId="176" fontId="142" fillId="7" borderId="10" xfId="0" applyNumberFormat="1" applyFont="1" applyFill="1" applyBorder="1" applyAlignment="1">
      <alignment horizontal="center" vertical="center" wrapText="1"/>
    </xf>
    <xf numFmtId="176" fontId="142" fillId="7" borderId="13" xfId="0" applyNumberFormat="1" applyFont="1" applyFill="1" applyBorder="1" applyAlignment="1">
      <alignment horizontal="center" vertical="center" wrapText="1"/>
    </xf>
    <xf numFmtId="176" fontId="142" fillId="7" borderId="5" xfId="0" applyNumberFormat="1" applyFont="1" applyFill="1" applyBorder="1" applyAlignment="1">
      <alignment horizontal="center" vertical="center" wrapText="1"/>
    </xf>
    <xf numFmtId="176" fontId="142" fillId="7" borderId="16" xfId="0" applyNumberFormat="1" applyFont="1" applyFill="1" applyBorder="1" applyAlignment="1">
      <alignment horizontal="center" vertical="center" wrapText="1"/>
    </xf>
    <xf numFmtId="176" fontId="142" fillId="7" borderId="11" xfId="0" applyNumberFormat="1" applyFont="1" applyFill="1" applyBorder="1" applyAlignment="1">
      <alignment horizontal="center" vertical="center" wrapText="1"/>
    </xf>
    <xf numFmtId="176" fontId="142" fillId="7" borderId="6" xfId="0" applyNumberFormat="1" applyFont="1" applyFill="1" applyBorder="1" applyAlignment="1">
      <alignment horizontal="center" vertical="center" wrapText="1"/>
    </xf>
    <xf numFmtId="180" fontId="142" fillId="7" borderId="13" xfId="0" applyNumberFormat="1" applyFont="1" applyFill="1" applyBorder="1" applyAlignment="1">
      <alignment horizontal="center" vertical="center"/>
    </xf>
    <xf numFmtId="180" fontId="142" fillId="7" borderId="5" xfId="0" applyNumberFormat="1" applyFont="1" applyFill="1" applyBorder="1" applyAlignment="1">
      <alignment horizontal="center" vertical="center"/>
    </xf>
    <xf numFmtId="180" fontId="142" fillId="7" borderId="16" xfId="0" applyNumberFormat="1" applyFont="1" applyFill="1" applyBorder="1" applyAlignment="1">
      <alignment horizontal="center" vertical="center"/>
    </xf>
    <xf numFmtId="180" fontId="142" fillId="7" borderId="6" xfId="0" applyNumberFormat="1" applyFont="1" applyFill="1" applyBorder="1" applyAlignment="1">
      <alignment horizontal="center" vertical="center"/>
    </xf>
    <xf numFmtId="0" fontId="142" fillId="4" borderId="14" xfId="0" applyFont="1" applyFill="1" applyBorder="1" applyAlignment="1">
      <alignment horizontal="center" vertical="center"/>
    </xf>
    <xf numFmtId="0" fontId="142" fillId="4" borderId="13" xfId="0" applyFont="1" applyFill="1" applyBorder="1" applyAlignment="1">
      <alignment horizontal="center" vertical="center"/>
    </xf>
    <xf numFmtId="0" fontId="142" fillId="4" borderId="0" xfId="0" applyFont="1" applyFill="1" applyBorder="1" applyAlignment="1">
      <alignment horizontal="center" vertical="center"/>
    </xf>
    <xf numFmtId="0" fontId="142" fillId="4" borderId="16" xfId="0" applyFont="1" applyFill="1" applyBorder="1" applyAlignment="1">
      <alignment horizontal="center" vertical="center"/>
    </xf>
    <xf numFmtId="0" fontId="142" fillId="4" borderId="2" xfId="0" applyFont="1" applyFill="1" applyBorder="1" applyAlignment="1">
      <alignment horizontal="center" vertical="center"/>
    </xf>
    <xf numFmtId="0" fontId="142" fillId="4" borderId="6" xfId="0" applyFont="1" applyFill="1" applyBorder="1" applyAlignment="1">
      <alignment horizontal="center" vertical="center"/>
    </xf>
    <xf numFmtId="0" fontId="142" fillId="5" borderId="12" xfId="0" applyFont="1" applyFill="1" applyBorder="1" applyAlignment="1">
      <alignment horizontal="center" vertical="center"/>
    </xf>
    <xf numFmtId="0" fontId="142" fillId="7" borderId="12" xfId="0" applyFont="1" applyFill="1" applyBorder="1" applyAlignment="1">
      <alignment horizontal="center" vertical="center"/>
    </xf>
    <xf numFmtId="180" fontId="142" fillId="7" borderId="1" xfId="0" applyNumberFormat="1" applyFont="1" applyFill="1" applyBorder="1" applyAlignment="1">
      <alignment horizontal="center" vertical="center"/>
    </xf>
    <xf numFmtId="260" fontId="114" fillId="0" borderId="1" xfId="0" applyNumberFormat="1" applyFont="1" applyBorder="1" applyAlignment="1">
      <alignment horizontal="center" vertical="center" wrapText="1"/>
    </xf>
    <xf numFmtId="181" fontId="0" fillId="0" borderId="3" xfId="0" applyNumberFormat="1" applyBorder="1" applyAlignment="1">
      <alignment horizontal="center" vertical="center"/>
    </xf>
    <xf numFmtId="237" fontId="142" fillId="0" borderId="13" xfId="0" applyNumberFormat="1" applyFont="1" applyBorder="1" applyAlignment="1">
      <alignment horizontal="center" vertical="center"/>
    </xf>
    <xf numFmtId="237" fontId="142" fillId="0" borderId="16" xfId="0" applyNumberFormat="1" applyFont="1" applyBorder="1" applyAlignment="1">
      <alignment horizontal="center" vertical="center"/>
    </xf>
    <xf numFmtId="237" fontId="142" fillId="0" borderId="6" xfId="0" applyNumberFormat="1" applyFont="1" applyBorder="1" applyAlignment="1">
      <alignment horizontal="center" vertical="center"/>
    </xf>
    <xf numFmtId="0" fontId="142" fillId="0" borderId="1" xfId="0" applyFont="1" applyBorder="1" applyAlignment="1">
      <alignment horizontal="left" vertical="center"/>
    </xf>
    <xf numFmtId="0" fontId="0" fillId="0" borderId="10" xfId="0" applyBorder="1" applyAlignment="1">
      <alignment horizontal="center" vertical="center" wrapText="1"/>
    </xf>
    <xf numFmtId="0" fontId="0" fillId="0" borderId="14" xfId="0" applyBorder="1" applyAlignment="1">
      <alignment horizontal="center" vertical="center" wrapText="1"/>
    </xf>
    <xf numFmtId="0" fontId="0" fillId="0" borderId="13" xfId="0" applyBorder="1" applyAlignment="1">
      <alignment horizontal="center" vertical="center" wrapText="1"/>
    </xf>
    <xf numFmtId="180" fontId="149" fillId="0" borderId="10" xfId="0" applyNumberFormat="1" applyFont="1" applyBorder="1" applyAlignment="1">
      <alignment horizontal="center" vertical="center"/>
    </xf>
    <xf numFmtId="180" fontId="149" fillId="0" borderId="13" xfId="0" applyNumberFormat="1" applyFont="1" applyBorder="1" applyAlignment="1">
      <alignment horizontal="center" vertical="center"/>
    </xf>
    <xf numFmtId="0" fontId="0" fillId="0" borderId="4" xfId="0" applyBorder="1" applyAlignment="1">
      <alignment horizontal="center" vertical="center" wrapText="1"/>
    </xf>
    <xf numFmtId="0" fontId="30" fillId="0" borderId="1" xfId="0" applyFont="1" applyBorder="1" applyAlignment="1">
      <alignment horizontal="center" vertical="center"/>
    </xf>
    <xf numFmtId="180" fontId="149" fillId="0" borderId="14" xfId="0" applyNumberFormat="1" applyFont="1" applyBorder="1" applyAlignment="1">
      <alignment horizontal="center" vertical="center"/>
    </xf>
    <xf numFmtId="0" fontId="142" fillId="0" borderId="4" xfId="0" applyFont="1" applyBorder="1" applyAlignment="1">
      <alignment vertical="center"/>
    </xf>
    <xf numFmtId="237" fontId="142" fillId="4" borderId="13" xfId="0" applyNumberFormat="1" applyFont="1" applyFill="1" applyBorder="1" applyAlignment="1">
      <alignment horizontal="center" vertical="center"/>
    </xf>
    <xf numFmtId="237" fontId="142" fillId="4" borderId="16" xfId="0" applyNumberFormat="1" applyFont="1" applyFill="1" applyBorder="1" applyAlignment="1">
      <alignment horizontal="center" vertical="center"/>
    </xf>
    <xf numFmtId="237" fontId="142" fillId="4" borderId="6" xfId="0" applyNumberFormat="1" applyFont="1" applyFill="1" applyBorder="1" applyAlignment="1">
      <alignment horizontal="center" vertical="center"/>
    </xf>
    <xf numFmtId="0" fontId="142" fillId="4" borderId="14" xfId="0" applyNumberFormat="1" applyFont="1" applyFill="1" applyBorder="1" applyAlignment="1">
      <alignment horizontal="center" vertical="center"/>
    </xf>
    <xf numFmtId="0" fontId="0" fillId="4" borderId="13" xfId="0" applyNumberFormat="1" applyFill="1" applyBorder="1" applyAlignment="1">
      <alignment horizontal="center" vertical="center"/>
    </xf>
    <xf numFmtId="0" fontId="0" fillId="4" borderId="0" xfId="0" applyNumberFormat="1" applyFill="1" applyBorder="1" applyAlignment="1">
      <alignment horizontal="center" vertical="center"/>
    </xf>
    <xf numFmtId="0" fontId="0" fillId="4" borderId="16" xfId="0" applyNumberFormat="1" applyFill="1" applyBorder="1" applyAlignment="1">
      <alignment horizontal="center" vertical="center"/>
    </xf>
    <xf numFmtId="0" fontId="0" fillId="4" borderId="2" xfId="0" applyNumberFormat="1" applyFill="1" applyBorder="1" applyAlignment="1">
      <alignment horizontal="center" vertical="center"/>
    </xf>
    <xf numFmtId="0" fontId="0" fillId="4" borderId="6" xfId="0" applyNumberFormat="1" applyFill="1" applyBorder="1" applyAlignment="1">
      <alignment horizontal="center" vertical="center"/>
    </xf>
    <xf numFmtId="219" fontId="0" fillId="0" borderId="9" xfId="0" applyNumberFormat="1" applyBorder="1" applyAlignment="1">
      <alignment horizontal="center" vertical="center"/>
    </xf>
    <xf numFmtId="219" fontId="0" fillId="0" borderId="8" xfId="0" applyNumberFormat="1" applyBorder="1" applyAlignment="1">
      <alignment horizontal="center" vertical="center"/>
    </xf>
    <xf numFmtId="219" fontId="0" fillId="0" borderId="12" xfId="0" applyNumberFormat="1" applyBorder="1" applyAlignment="1">
      <alignment horizontal="center" vertical="center"/>
    </xf>
    <xf numFmtId="292" fontId="142" fillId="0" borderId="4" xfId="0" applyNumberFormat="1" applyFont="1" applyBorder="1" applyAlignment="1">
      <alignment horizontal="center" vertical="center"/>
    </xf>
    <xf numFmtId="292" fontId="142" fillId="0" borderId="3" xfId="0" applyNumberFormat="1" applyFont="1" applyBorder="1" applyAlignment="1">
      <alignment horizontal="center" vertical="center"/>
    </xf>
    <xf numFmtId="279" fontId="142" fillId="0" borderId="4" xfId="0" applyNumberFormat="1" applyFont="1" applyBorder="1" applyAlignment="1">
      <alignment horizontal="center" vertical="center"/>
    </xf>
    <xf numFmtId="279" fontId="142" fillId="0" borderId="7" xfId="0" applyNumberFormat="1" applyFont="1" applyBorder="1" applyAlignment="1">
      <alignment horizontal="center" vertical="center"/>
    </xf>
    <xf numFmtId="277" fontId="142" fillId="0" borderId="10" xfId="0" applyNumberFormat="1" applyFont="1" applyBorder="1" applyAlignment="1">
      <alignment horizontal="center" vertical="center"/>
    </xf>
    <xf numFmtId="277" fontId="142" fillId="0" borderId="13" xfId="0" applyNumberFormat="1" applyFont="1" applyBorder="1" applyAlignment="1">
      <alignment horizontal="center" vertical="center"/>
    </xf>
    <xf numFmtId="277" fontId="142" fillId="0" borderId="5" xfId="0" applyNumberFormat="1" applyFont="1" applyBorder="1" applyAlignment="1">
      <alignment horizontal="center" vertical="center"/>
    </xf>
    <xf numFmtId="277" fontId="142" fillId="0" borderId="16" xfId="0" applyNumberFormat="1" applyFont="1" applyBorder="1" applyAlignment="1">
      <alignment horizontal="center" vertical="center"/>
    </xf>
    <xf numFmtId="277" fontId="142" fillId="0" borderId="11" xfId="0" applyNumberFormat="1" applyFont="1" applyBorder="1" applyAlignment="1">
      <alignment horizontal="center" vertical="center"/>
    </xf>
    <xf numFmtId="277" fontId="142" fillId="0" borderId="6" xfId="0" applyNumberFormat="1" applyFont="1" applyBorder="1" applyAlignment="1">
      <alignment horizontal="center" vertical="center"/>
    </xf>
    <xf numFmtId="273" fontId="142" fillId="0" borderId="10" xfId="0" applyNumberFormat="1" applyFont="1" applyBorder="1" applyAlignment="1">
      <alignment horizontal="center" vertical="center"/>
    </xf>
    <xf numFmtId="273" fontId="142" fillId="0" borderId="13" xfId="0" applyNumberFormat="1" applyFont="1" applyBorder="1" applyAlignment="1">
      <alignment horizontal="center" vertical="center"/>
    </xf>
    <xf numFmtId="273" fontId="142" fillId="0" borderId="1" xfId="0" applyNumberFormat="1" applyFont="1" applyBorder="1" applyAlignment="1">
      <alignment horizontal="center" vertical="center"/>
    </xf>
    <xf numFmtId="278" fontId="142" fillId="0" borderId="4" xfId="0" applyNumberFormat="1" applyFont="1" applyBorder="1" applyAlignment="1">
      <alignment horizontal="center" vertical="center"/>
    </xf>
    <xf numFmtId="278" fontId="142" fillId="0" borderId="7" xfId="0" applyNumberFormat="1" applyFont="1" applyBorder="1" applyAlignment="1">
      <alignment horizontal="center" vertical="center"/>
    </xf>
    <xf numFmtId="10" fontId="0" fillId="0" borderId="10" xfId="0" applyNumberFormat="1" applyBorder="1" applyAlignment="1">
      <alignment horizontal="center" vertical="center"/>
    </xf>
    <xf numFmtId="270" fontId="142" fillId="0" borderId="4" xfId="0" applyNumberFormat="1" applyFont="1" applyBorder="1" applyAlignment="1">
      <alignment horizontal="center" vertical="center"/>
    </xf>
    <xf numFmtId="270" fontId="142" fillId="0" borderId="7" xfId="0" applyNumberFormat="1" applyFont="1" applyBorder="1" applyAlignment="1">
      <alignment horizontal="center" vertical="center"/>
    </xf>
    <xf numFmtId="291" fontId="142" fillId="0" borderId="10" xfId="0" applyNumberFormat="1" applyFont="1" applyBorder="1" applyAlignment="1">
      <alignment horizontal="center" vertical="center"/>
    </xf>
    <xf numFmtId="291" fontId="142" fillId="0" borderId="13" xfId="0" applyNumberFormat="1" applyFont="1" applyBorder="1" applyAlignment="1">
      <alignment horizontal="center" vertical="center"/>
    </xf>
    <xf numFmtId="291" fontId="142" fillId="0" borderId="1" xfId="0" applyNumberFormat="1" applyFont="1" applyBorder="1" applyAlignment="1">
      <alignment horizontal="center" vertical="center"/>
    </xf>
    <xf numFmtId="276" fontId="142" fillId="0" borderId="10" xfId="0" applyNumberFormat="1" applyFont="1" applyBorder="1" applyAlignment="1">
      <alignment horizontal="center" vertical="center"/>
    </xf>
    <xf numFmtId="276" fontId="142" fillId="0" borderId="13" xfId="0" applyNumberFormat="1" applyFont="1" applyBorder="1" applyAlignment="1">
      <alignment horizontal="center" vertical="center"/>
    </xf>
    <xf numFmtId="276" fontId="142" fillId="0" borderId="5" xfId="0" applyNumberFormat="1" applyFont="1" applyBorder="1" applyAlignment="1">
      <alignment horizontal="center" vertical="center"/>
    </xf>
    <xf numFmtId="276" fontId="142" fillId="0" borderId="16" xfId="0" applyNumberFormat="1" applyFont="1" applyBorder="1" applyAlignment="1">
      <alignment horizontal="center" vertical="center"/>
    </xf>
    <xf numFmtId="276" fontId="142" fillId="0" borderId="11" xfId="0" applyNumberFormat="1" applyFont="1" applyBorder="1" applyAlignment="1">
      <alignment horizontal="center" vertical="center"/>
    </xf>
    <xf numFmtId="276" fontId="142" fillId="0" borderId="6" xfId="0" applyNumberFormat="1" applyFont="1" applyBorder="1" applyAlignment="1">
      <alignment horizontal="center" vertical="center"/>
    </xf>
    <xf numFmtId="273" fontId="0" fillId="0" borderId="1" xfId="0" applyNumberFormat="1" applyBorder="1" applyAlignment="1">
      <alignment horizontal="center" vertical="center"/>
    </xf>
    <xf numFmtId="270" fontId="142" fillId="0" borderId="10" xfId="0" applyNumberFormat="1" applyFont="1" applyBorder="1" applyAlignment="1">
      <alignment horizontal="center" vertical="center"/>
    </xf>
    <xf numFmtId="270" fontId="142" fillId="0" borderId="13" xfId="0" applyNumberFormat="1" applyFont="1" applyBorder="1" applyAlignment="1">
      <alignment horizontal="center" vertical="center"/>
    </xf>
    <xf numFmtId="270" fontId="142" fillId="0" borderId="5" xfId="0" applyNumberFormat="1" applyFont="1" applyBorder="1" applyAlignment="1">
      <alignment horizontal="center" vertical="center"/>
    </xf>
    <xf numFmtId="270" fontId="142" fillId="0" borderId="16" xfId="0" applyNumberFormat="1" applyFont="1" applyBorder="1" applyAlignment="1">
      <alignment horizontal="center" vertical="center"/>
    </xf>
    <xf numFmtId="270" fontId="142" fillId="0" borderId="11" xfId="0" applyNumberFormat="1" applyFont="1" applyBorder="1" applyAlignment="1">
      <alignment horizontal="center" vertical="center"/>
    </xf>
    <xf numFmtId="270" fontId="142" fillId="0" borderId="6" xfId="0" applyNumberFormat="1" applyFont="1" applyBorder="1" applyAlignment="1">
      <alignment horizontal="center" vertical="center"/>
    </xf>
    <xf numFmtId="290" fontId="142" fillId="0" borderId="10" xfId="0" applyNumberFormat="1" applyFont="1" applyBorder="1" applyAlignment="1">
      <alignment horizontal="center" vertical="center"/>
    </xf>
    <xf numFmtId="290" fontId="142" fillId="0" borderId="13" xfId="0" applyNumberFormat="1" applyFont="1" applyBorder="1" applyAlignment="1">
      <alignment horizontal="center" vertical="center"/>
    </xf>
    <xf numFmtId="290" fontId="142" fillId="0" borderId="5" xfId="0" applyNumberFormat="1" applyFont="1" applyBorder="1" applyAlignment="1">
      <alignment horizontal="center" vertical="center"/>
    </xf>
    <xf numFmtId="290" fontId="142" fillId="0" borderId="16" xfId="0" applyNumberFormat="1" applyFont="1" applyBorder="1" applyAlignment="1">
      <alignment horizontal="center" vertical="center"/>
    </xf>
    <xf numFmtId="290" fontId="142" fillId="0" borderId="11" xfId="0" applyNumberFormat="1" applyFont="1" applyBorder="1" applyAlignment="1">
      <alignment horizontal="center" vertical="center"/>
    </xf>
    <xf numFmtId="290" fontId="142" fillId="0" borderId="6" xfId="0" applyNumberFormat="1" applyFont="1" applyBorder="1" applyAlignment="1">
      <alignment horizontal="center" vertical="center"/>
    </xf>
    <xf numFmtId="217" fontId="142" fillId="0" borderId="4" xfId="0" applyNumberFormat="1" applyFont="1" applyBorder="1" applyAlignment="1">
      <alignment horizontal="center" vertical="center"/>
    </xf>
    <xf numFmtId="217" fontId="142" fillId="0" borderId="7" xfId="0" applyNumberFormat="1" applyFont="1" applyBorder="1" applyAlignment="1">
      <alignment horizontal="center" vertical="center"/>
    </xf>
    <xf numFmtId="220" fontId="142" fillId="0" borderId="4" xfId="0" applyNumberFormat="1" applyFont="1" applyBorder="1" applyAlignment="1">
      <alignment horizontal="center" vertical="center"/>
    </xf>
    <xf numFmtId="220" fontId="142" fillId="0" borderId="7" xfId="0" applyNumberFormat="1" applyFont="1" applyBorder="1" applyAlignment="1">
      <alignment horizontal="center" vertical="center"/>
    </xf>
    <xf numFmtId="180" fontId="149" fillId="0" borderId="1" xfId="0" applyNumberFormat="1" applyFont="1" applyBorder="1" applyAlignment="1">
      <alignment horizontal="center" vertical="center"/>
    </xf>
    <xf numFmtId="180" fontId="93" fillId="0" borderId="1" xfId="0" applyNumberFormat="1" applyFont="1" applyBorder="1" applyAlignment="1">
      <alignment horizontal="center" vertical="center"/>
    </xf>
    <xf numFmtId="272" fontId="142" fillId="0" borderId="4" xfId="0" applyNumberFormat="1" applyFont="1" applyBorder="1" applyAlignment="1">
      <alignment horizontal="center" vertical="center" wrapText="1"/>
    </xf>
    <xf numFmtId="272" fontId="142" fillId="0" borderId="7" xfId="0" applyNumberFormat="1" applyFont="1" applyBorder="1" applyAlignment="1">
      <alignment horizontal="center" vertical="center" wrapText="1"/>
    </xf>
    <xf numFmtId="0" fontId="0" fillId="0" borderId="8" xfId="0" applyNumberFormat="1" applyBorder="1" applyAlignment="1">
      <alignment horizontal="center" vertical="center"/>
    </xf>
    <xf numFmtId="0" fontId="0" fillId="0" borderId="12" xfId="0" applyNumberFormat="1" applyBorder="1" applyAlignment="1">
      <alignment horizontal="center" vertical="center"/>
    </xf>
    <xf numFmtId="275" fontId="142" fillId="0" borderId="4" xfId="0" applyNumberFormat="1" applyFont="1" applyBorder="1" applyAlignment="1">
      <alignment horizontal="center" vertical="center"/>
    </xf>
    <xf numFmtId="275" fontId="142" fillId="0" borderId="7" xfId="0" applyNumberFormat="1" applyFont="1" applyBorder="1" applyAlignment="1">
      <alignment horizontal="center" vertical="center"/>
    </xf>
    <xf numFmtId="237" fontId="142" fillId="0" borderId="10" xfId="0" applyNumberFormat="1" applyFont="1" applyBorder="1" applyAlignment="1">
      <alignment horizontal="center" vertical="center"/>
    </xf>
    <xf numFmtId="237" fontId="142" fillId="0" borderId="5" xfId="0" applyNumberFormat="1" applyFont="1" applyBorder="1" applyAlignment="1">
      <alignment horizontal="center" vertical="center"/>
    </xf>
    <xf numFmtId="237" fontId="142" fillId="0" borderId="11" xfId="0" applyNumberFormat="1" applyFont="1" applyBorder="1" applyAlignment="1">
      <alignment horizontal="center" vertical="center"/>
    </xf>
    <xf numFmtId="276" fontId="142" fillId="0" borderId="14" xfId="0" applyNumberFormat="1" applyFont="1" applyBorder="1" applyAlignment="1">
      <alignment horizontal="center" vertical="center"/>
    </xf>
    <xf numFmtId="276" fontId="142" fillId="0" borderId="0" xfId="0" applyNumberFormat="1" applyFont="1" applyBorder="1" applyAlignment="1">
      <alignment horizontal="center" vertical="center"/>
    </xf>
    <xf numFmtId="276" fontId="142" fillId="0" borderId="2" xfId="0" applyNumberFormat="1" applyFont="1" applyBorder="1" applyAlignment="1">
      <alignment horizontal="center" vertical="center"/>
    </xf>
    <xf numFmtId="272" fontId="142" fillId="0" borderId="10" xfId="0" applyNumberFormat="1" applyFont="1" applyBorder="1" applyAlignment="1">
      <alignment horizontal="center" vertical="center"/>
    </xf>
    <xf numFmtId="272" fontId="142" fillId="0" borderId="13" xfId="0" applyNumberFormat="1" applyFont="1" applyBorder="1" applyAlignment="1">
      <alignment horizontal="center" vertical="center"/>
    </xf>
    <xf numFmtId="272" fontId="142" fillId="0" borderId="5" xfId="0" applyNumberFormat="1" applyFont="1" applyBorder="1" applyAlignment="1">
      <alignment horizontal="center" vertical="center"/>
    </xf>
    <xf numFmtId="272" fontId="142" fillId="0" borderId="16" xfId="0" applyNumberFormat="1" applyFont="1" applyBorder="1" applyAlignment="1">
      <alignment horizontal="center" vertical="center"/>
    </xf>
    <xf numFmtId="272" fontId="142" fillId="0" borderId="11" xfId="0" applyNumberFormat="1" applyFont="1" applyBorder="1" applyAlignment="1">
      <alignment horizontal="center" vertical="center"/>
    </xf>
    <xf numFmtId="272" fontId="142" fillId="0" borderId="6" xfId="0" applyNumberFormat="1" applyFont="1" applyBorder="1" applyAlignment="1">
      <alignment horizontal="center" vertical="center"/>
    </xf>
    <xf numFmtId="275" fontId="142" fillId="0" borderId="10" xfId="0" applyNumberFormat="1" applyFont="1" applyBorder="1" applyAlignment="1">
      <alignment horizontal="center" vertical="center"/>
    </xf>
    <xf numFmtId="275" fontId="142" fillId="0" borderId="5" xfId="0" applyNumberFormat="1" applyFont="1" applyBorder="1" applyAlignment="1">
      <alignment horizontal="center" vertical="center"/>
    </xf>
    <xf numFmtId="275" fontId="142" fillId="0" borderId="11" xfId="0" applyNumberFormat="1" applyFont="1" applyBorder="1" applyAlignment="1">
      <alignment horizontal="center" vertical="center"/>
    </xf>
    <xf numFmtId="237" fontId="16" fillId="0" borderId="14" xfId="0" applyNumberFormat="1" applyFont="1" applyBorder="1" applyAlignment="1">
      <alignment horizontal="center" vertical="center"/>
    </xf>
    <xf numFmtId="237" fontId="16" fillId="0" borderId="0" xfId="0" applyNumberFormat="1" applyFont="1" applyBorder="1" applyAlignment="1">
      <alignment horizontal="center" vertical="center"/>
    </xf>
    <xf numFmtId="237" fontId="16" fillId="0" borderId="2" xfId="0" applyNumberFormat="1" applyFont="1" applyBorder="1" applyAlignment="1">
      <alignment horizontal="center" vertical="center"/>
    </xf>
    <xf numFmtId="222" fontId="142" fillId="0" borderId="10" xfId="0" applyNumberFormat="1" applyFont="1" applyBorder="1" applyAlignment="1">
      <alignment horizontal="center" vertical="center"/>
    </xf>
    <xf numFmtId="222" fontId="142" fillId="0" borderId="13" xfId="0" applyNumberFormat="1" applyFont="1" applyBorder="1" applyAlignment="1">
      <alignment horizontal="center" vertical="center"/>
    </xf>
    <xf numFmtId="222" fontId="142" fillId="0" borderId="5" xfId="0" applyNumberFormat="1" applyFont="1" applyBorder="1" applyAlignment="1">
      <alignment horizontal="center" vertical="center"/>
    </xf>
    <xf numFmtId="222" fontId="142" fillId="0" borderId="16" xfId="0" applyNumberFormat="1" applyFont="1" applyBorder="1" applyAlignment="1">
      <alignment horizontal="center" vertical="center"/>
    </xf>
    <xf numFmtId="222" fontId="142" fillId="0" borderId="11" xfId="0" applyNumberFormat="1" applyFont="1" applyBorder="1" applyAlignment="1">
      <alignment horizontal="center" vertical="center"/>
    </xf>
    <xf numFmtId="222" fontId="142" fillId="0" borderId="6" xfId="0" applyNumberFormat="1" applyFont="1" applyBorder="1" applyAlignment="1">
      <alignment horizontal="center" vertical="center"/>
    </xf>
    <xf numFmtId="217" fontId="142" fillId="4" borderId="4" xfId="0" applyNumberFormat="1" applyFont="1" applyFill="1" applyBorder="1" applyAlignment="1">
      <alignment horizontal="center" vertical="center"/>
    </xf>
    <xf numFmtId="217" fontId="142" fillId="4" borderId="7" xfId="0" applyNumberFormat="1" applyFont="1" applyFill="1" applyBorder="1" applyAlignment="1">
      <alignment horizontal="center" vertical="center"/>
    </xf>
    <xf numFmtId="237" fontId="142" fillId="4" borderId="10" xfId="0" applyNumberFormat="1" applyFont="1" applyFill="1" applyBorder="1" applyAlignment="1">
      <alignment horizontal="center" vertical="center"/>
    </xf>
    <xf numFmtId="237" fontId="142" fillId="4" borderId="5" xfId="0" applyNumberFormat="1" applyFont="1" applyFill="1" applyBorder="1" applyAlignment="1">
      <alignment horizontal="center" vertical="center"/>
    </xf>
    <xf numFmtId="237" fontId="142" fillId="4" borderId="11" xfId="0" applyNumberFormat="1" applyFont="1" applyFill="1" applyBorder="1" applyAlignment="1">
      <alignment horizontal="center" vertical="center"/>
    </xf>
    <xf numFmtId="237" fontId="16" fillId="4" borderId="14" xfId="0" applyNumberFormat="1" applyFont="1" applyFill="1" applyBorder="1" applyAlignment="1">
      <alignment horizontal="center" vertical="center"/>
    </xf>
    <xf numFmtId="237" fontId="16" fillId="4" borderId="0" xfId="0" applyNumberFormat="1" applyFont="1" applyFill="1" applyBorder="1" applyAlignment="1">
      <alignment horizontal="center" vertical="center"/>
    </xf>
    <xf numFmtId="237" fontId="16" fillId="4" borderId="2" xfId="0" applyNumberFormat="1" applyFont="1" applyFill="1" applyBorder="1" applyAlignment="1">
      <alignment horizontal="center" vertical="center"/>
    </xf>
    <xf numFmtId="222" fontId="142" fillId="4" borderId="10" xfId="0" applyNumberFormat="1" applyFont="1" applyFill="1" applyBorder="1" applyAlignment="1">
      <alignment horizontal="center" vertical="center"/>
    </xf>
    <xf numFmtId="222" fontId="142" fillId="4" borderId="13" xfId="0" applyNumberFormat="1" applyFont="1" applyFill="1" applyBorder="1" applyAlignment="1">
      <alignment horizontal="center" vertical="center"/>
    </xf>
    <xf numFmtId="222" fontId="142" fillId="4" borderId="5" xfId="0" applyNumberFormat="1" applyFont="1" applyFill="1" applyBorder="1" applyAlignment="1">
      <alignment horizontal="center" vertical="center"/>
    </xf>
    <xf numFmtId="222" fontId="142" fillId="4" borderId="16" xfId="0" applyNumberFormat="1" applyFont="1" applyFill="1" applyBorder="1" applyAlignment="1">
      <alignment horizontal="center" vertical="center"/>
    </xf>
    <xf numFmtId="222" fontId="142" fillId="4" borderId="11" xfId="0" applyNumberFormat="1" applyFont="1" applyFill="1" applyBorder="1" applyAlignment="1">
      <alignment horizontal="center" vertical="center"/>
    </xf>
    <xf numFmtId="222" fontId="142" fillId="4" borderId="6" xfId="0" applyNumberFormat="1" applyFont="1" applyFill="1" applyBorder="1" applyAlignment="1">
      <alignment horizontal="center" vertical="center"/>
    </xf>
    <xf numFmtId="268" fontId="142" fillId="0" borderId="3" xfId="0" applyNumberFormat="1" applyFont="1" applyBorder="1" applyAlignment="1">
      <alignment horizontal="left" vertical="center"/>
    </xf>
    <xf numFmtId="269" fontId="142" fillId="0" borderId="3" xfId="0" applyNumberFormat="1" applyFont="1" applyBorder="1" applyAlignment="1">
      <alignment horizontal="left" vertical="center"/>
    </xf>
    <xf numFmtId="181" fontId="142" fillId="0" borderId="4" xfId="0" applyNumberFormat="1" applyFont="1" applyBorder="1" applyAlignment="1">
      <alignment horizontal="left" vertical="center" wrapText="1"/>
    </xf>
    <xf numFmtId="181" fontId="142" fillId="0" borderId="3" xfId="0" applyNumberFormat="1" applyFont="1" applyBorder="1" applyAlignment="1">
      <alignment horizontal="left" vertical="center" wrapText="1"/>
    </xf>
    <xf numFmtId="181" fontId="142" fillId="0" borderId="7" xfId="0" applyNumberFormat="1" applyFont="1" applyBorder="1" applyAlignment="1">
      <alignment horizontal="left" vertical="center" wrapText="1"/>
    </xf>
    <xf numFmtId="184" fontId="142" fillId="0" borderId="14" xfId="0" applyNumberFormat="1" applyFont="1" applyBorder="1" applyAlignment="1">
      <alignment horizontal="center" vertical="center"/>
    </xf>
    <xf numFmtId="184" fontId="142" fillId="0" borderId="0" xfId="0" applyNumberFormat="1" applyFont="1" applyBorder="1" applyAlignment="1">
      <alignment horizontal="center" vertical="center"/>
    </xf>
    <xf numFmtId="0" fontId="141" fillId="0" borderId="0" xfId="0" applyFont="1" applyBorder="1" applyAlignment="1">
      <alignment horizontal="center" vertical="center"/>
    </xf>
    <xf numFmtId="271" fontId="141" fillId="0" borderId="0" xfId="0" applyNumberFormat="1" applyFont="1" applyBorder="1" applyAlignment="1">
      <alignment horizontal="center"/>
    </xf>
    <xf numFmtId="0" fontId="141" fillId="0" borderId="5" xfId="0" applyNumberFormat="1" applyFont="1" applyBorder="1" applyAlignment="1">
      <alignment horizontal="right" vertical="center" textRotation="90" wrapText="1"/>
    </xf>
    <xf numFmtId="271" fontId="141" fillId="0" borderId="0" xfId="0" applyNumberFormat="1" applyFont="1" applyFill="1" applyBorder="1" applyAlignment="1">
      <alignment horizontal="center" vertical="center" textRotation="90" shrinkToFit="1"/>
    </xf>
    <xf numFmtId="268" fontId="142" fillId="7" borderId="14" xfId="0" applyNumberFormat="1" applyFont="1" applyFill="1" applyBorder="1" applyAlignment="1">
      <alignment horizontal="center" vertical="center"/>
    </xf>
    <xf numFmtId="0" fontId="152" fillId="0" borderId="1" xfId="0" applyFont="1" applyFill="1" applyBorder="1" applyAlignment="1">
      <alignment horizontal="center" vertical="center" wrapText="1"/>
    </xf>
    <xf numFmtId="0" fontId="150" fillId="0" borderId="5" xfId="0" applyNumberFormat="1" applyFont="1" applyBorder="1" applyAlignment="1">
      <alignment horizontal="center" vertical="center" textRotation="90" wrapText="1"/>
    </xf>
    <xf numFmtId="0" fontId="150" fillId="0" borderId="0" xfId="0" applyFont="1" applyBorder="1" applyAlignment="1">
      <alignment horizontal="left" vertical="top" textRotation="90"/>
    </xf>
    <xf numFmtId="268" fontId="142" fillId="0" borderId="14" xfId="0" applyNumberFormat="1" applyFont="1" applyBorder="1" applyAlignment="1">
      <alignment horizontal="center" vertical="center"/>
    </xf>
    <xf numFmtId="268" fontId="142" fillId="0" borderId="14" xfId="0" applyNumberFormat="1" applyFont="1" applyBorder="1" applyAlignment="1">
      <alignment horizontal="left" vertical="center"/>
    </xf>
    <xf numFmtId="269" fontId="142" fillId="0" borderId="14" xfId="0" applyNumberFormat="1" applyFont="1" applyBorder="1" applyAlignment="1">
      <alignment horizontal="left" vertical="center"/>
    </xf>
    <xf numFmtId="181" fontId="142" fillId="0" borderId="11" xfId="0" applyNumberFormat="1" applyFont="1" applyBorder="1" applyAlignment="1">
      <alignment horizontal="left" vertical="center" wrapText="1"/>
    </xf>
    <xf numFmtId="181" fontId="142" fillId="0" borderId="2" xfId="0" applyNumberFormat="1" applyFont="1" applyBorder="1" applyAlignment="1">
      <alignment horizontal="left" vertical="center" wrapText="1"/>
    </xf>
    <xf numFmtId="184" fontId="142" fillId="0" borderId="13" xfId="0" applyNumberFormat="1" applyFont="1" applyBorder="1" applyAlignment="1">
      <alignment horizontal="center" vertical="center"/>
    </xf>
    <xf numFmtId="0" fontId="0" fillId="0" borderId="16" xfId="0" applyBorder="1">
      <alignment vertical="center"/>
    </xf>
    <xf numFmtId="181" fontId="142" fillId="0" borderId="4" xfId="0" applyNumberFormat="1" applyFont="1" applyBorder="1" applyAlignment="1">
      <alignment horizontal="left" vertical="center"/>
    </xf>
    <xf numFmtId="181" fontId="142" fillId="0" borderId="3" xfId="0" applyNumberFormat="1" applyFont="1" applyBorder="1" applyAlignment="1">
      <alignment horizontal="left" vertical="center"/>
    </xf>
    <xf numFmtId="267" fontId="142" fillId="0" borderId="9" xfId="0" applyNumberFormat="1" applyFont="1" applyFill="1" applyBorder="1" applyAlignment="1">
      <alignment horizontal="center" vertical="center" wrapText="1"/>
    </xf>
    <xf numFmtId="267" fontId="142" fillId="0" borderId="12" xfId="0" applyNumberFormat="1" applyFont="1" applyFill="1" applyBorder="1" applyAlignment="1">
      <alignment horizontal="center" vertical="center" wrapText="1"/>
    </xf>
    <xf numFmtId="0" fontId="142" fillId="0" borderId="9" xfId="0" applyFont="1" applyFill="1" applyBorder="1" applyAlignment="1">
      <alignment horizontal="center" vertical="center"/>
    </xf>
    <xf numFmtId="0" fontId="0" fillId="0" borderId="4" xfId="0" applyFill="1" applyBorder="1" applyAlignment="1">
      <alignment horizontal="center" vertical="center"/>
    </xf>
    <xf numFmtId="181" fontId="0" fillId="0" borderId="1" xfId="0" applyNumberFormat="1" applyBorder="1" applyAlignment="1">
      <alignment horizontal="center" vertical="center"/>
    </xf>
    <xf numFmtId="181" fontId="0" fillId="7" borderId="1" xfId="0" applyNumberFormat="1" applyFill="1" applyBorder="1" applyAlignment="1">
      <alignment horizontal="center" vertical="center"/>
    </xf>
    <xf numFmtId="176" fontId="142" fillId="0" borderId="4" xfId="0" applyNumberFormat="1" applyFont="1" applyBorder="1" applyAlignment="1">
      <alignment vertical="center"/>
    </xf>
    <xf numFmtId="176" fontId="142" fillId="0" borderId="7" xfId="0" applyNumberFormat="1" applyFont="1" applyBorder="1" applyAlignment="1">
      <alignment vertical="center"/>
    </xf>
    <xf numFmtId="293" fontId="142" fillId="0" borderId="1" xfId="0" applyNumberFormat="1" applyFont="1" applyBorder="1" applyAlignment="1">
      <alignment horizontal="center" vertical="center"/>
    </xf>
    <xf numFmtId="228" fontId="142" fillId="0" borderId="1" xfId="0" applyNumberFormat="1" applyFont="1" applyBorder="1" applyAlignment="1">
      <alignment horizontal="center" vertical="center"/>
    </xf>
    <xf numFmtId="176" fontId="142" fillId="0" borderId="3" xfId="0" applyNumberFormat="1" applyFont="1" applyBorder="1" applyAlignment="1">
      <alignment horizontal="center" vertical="center"/>
    </xf>
    <xf numFmtId="49" fontId="142" fillId="4" borderId="1" xfId="17" applyNumberFormat="1" applyFont="1" applyFill="1" applyBorder="1" applyAlignment="1">
      <alignment horizontal="center" vertical="center"/>
    </xf>
    <xf numFmtId="176" fontId="142" fillId="7" borderId="4" xfId="0" applyNumberFormat="1" applyFont="1" applyFill="1" applyBorder="1" applyAlignment="1">
      <alignment horizontal="center" vertical="center" wrapText="1"/>
    </xf>
    <xf numFmtId="176" fontId="142" fillId="7" borderId="7" xfId="0" applyNumberFormat="1" applyFont="1" applyFill="1" applyBorder="1" applyAlignment="1">
      <alignment horizontal="center" vertical="center" wrapText="1"/>
    </xf>
    <xf numFmtId="238" fontId="142" fillId="4" borderId="4" xfId="0" applyNumberFormat="1" applyFont="1" applyFill="1" applyBorder="1" applyAlignment="1">
      <alignment horizontal="center" vertical="center"/>
    </xf>
    <xf numFmtId="238" fontId="142" fillId="4" borderId="3" xfId="0" applyNumberFormat="1" applyFont="1" applyFill="1" applyBorder="1" applyAlignment="1">
      <alignment horizontal="center" vertical="center"/>
    </xf>
    <xf numFmtId="238" fontId="142" fillId="4" borderId="7" xfId="0" applyNumberFormat="1" applyFont="1" applyFill="1" applyBorder="1" applyAlignment="1">
      <alignment horizontal="center" vertical="center"/>
    </xf>
    <xf numFmtId="176" fontId="142" fillId="7" borderId="3" xfId="0" applyNumberFormat="1" applyFont="1" applyFill="1" applyBorder="1" applyAlignment="1">
      <alignment horizontal="center" vertical="center"/>
    </xf>
    <xf numFmtId="0" fontId="142" fillId="6" borderId="0" xfId="0" applyFont="1" applyFill="1" applyAlignment="1">
      <alignment horizontal="center" vertical="center" wrapText="1"/>
    </xf>
    <xf numFmtId="0" fontId="0" fillId="6" borderId="0" xfId="0" applyFill="1" applyAlignment="1">
      <alignment horizontal="center" vertical="center" wrapText="1"/>
    </xf>
    <xf numFmtId="0" fontId="106" fillId="0" borderId="10" xfId="0" applyFont="1" applyBorder="1" applyAlignment="1">
      <alignment horizontal="center" vertical="center"/>
    </xf>
    <xf numFmtId="0" fontId="106" fillId="0" borderId="14" xfId="0" applyFont="1" applyBorder="1" applyAlignment="1">
      <alignment horizontal="center" vertical="center"/>
    </xf>
    <xf numFmtId="0" fontId="106" fillId="0" borderId="13" xfId="0" applyFont="1" applyBorder="1" applyAlignment="1">
      <alignment horizontal="center" vertical="center"/>
    </xf>
    <xf numFmtId="261" fontId="106" fillId="0" borderId="4" xfId="0" applyNumberFormat="1" applyFont="1" applyBorder="1" applyAlignment="1">
      <alignment horizontal="center" vertical="center" wrapText="1"/>
    </xf>
    <xf numFmtId="261" fontId="106" fillId="0" borderId="7" xfId="0" applyNumberFormat="1" applyFont="1" applyBorder="1" applyAlignment="1">
      <alignment horizontal="center" vertical="center" wrapText="1"/>
    </xf>
    <xf numFmtId="260" fontId="106" fillId="0" borderId="4" xfId="0" applyNumberFormat="1" applyFont="1" applyBorder="1" applyAlignment="1">
      <alignment horizontal="center" vertical="center" wrapText="1"/>
    </xf>
    <xf numFmtId="260" fontId="106" fillId="0" borderId="3" xfId="0" applyNumberFormat="1" applyFont="1" applyBorder="1" applyAlignment="1">
      <alignment horizontal="center" vertical="center" wrapText="1"/>
    </xf>
    <xf numFmtId="260" fontId="106" fillId="0" borderId="7" xfId="0" applyNumberFormat="1" applyFont="1" applyBorder="1" applyAlignment="1">
      <alignment horizontal="center" vertical="center" wrapText="1"/>
    </xf>
    <xf numFmtId="264" fontId="106" fillId="0" borderId="4" xfId="0" applyNumberFormat="1" applyFont="1" applyBorder="1" applyAlignment="1">
      <alignment horizontal="center" vertical="center" wrapText="1"/>
    </xf>
    <xf numFmtId="264" fontId="106" fillId="0" borderId="7" xfId="0" applyNumberFormat="1" applyFont="1" applyBorder="1" applyAlignment="1">
      <alignment horizontal="center" vertical="center" wrapText="1"/>
    </xf>
    <xf numFmtId="240" fontId="142" fillId="0" borderId="1" xfId="0" applyNumberFormat="1" applyFont="1" applyBorder="1" applyAlignment="1">
      <alignment horizontal="center" vertical="center"/>
    </xf>
    <xf numFmtId="239" fontId="142" fillId="5" borderId="1" xfId="0" applyNumberFormat="1" applyFont="1" applyFill="1" applyBorder="1" applyAlignment="1">
      <alignment horizontal="center" vertical="center"/>
    </xf>
    <xf numFmtId="239" fontId="142" fillId="0" borderId="1" xfId="0" applyNumberFormat="1" applyFont="1" applyBorder="1" applyAlignment="1">
      <alignment horizontal="center" vertical="center"/>
    </xf>
    <xf numFmtId="239" fontId="149" fillId="4" borderId="1" xfId="0" applyNumberFormat="1" applyFont="1" applyFill="1" applyBorder="1" applyAlignment="1">
      <alignment horizontal="center" vertical="center"/>
    </xf>
    <xf numFmtId="240" fontId="142" fillId="7" borderId="1" xfId="0" applyNumberFormat="1" applyFont="1" applyFill="1" applyBorder="1" applyAlignment="1">
      <alignment horizontal="center" vertical="center"/>
    </xf>
    <xf numFmtId="239" fontId="142" fillId="5" borderId="4" xfId="0" applyNumberFormat="1" applyFont="1" applyFill="1" applyBorder="1" applyAlignment="1">
      <alignment horizontal="center" vertical="center"/>
    </xf>
    <xf numFmtId="239" fontId="142" fillId="5" borderId="3" xfId="0" applyNumberFormat="1" applyFont="1" applyFill="1" applyBorder="1" applyAlignment="1">
      <alignment horizontal="center" vertical="center"/>
    </xf>
    <xf numFmtId="239" fontId="142" fillId="5" borderId="7" xfId="0" applyNumberFormat="1" applyFont="1" applyFill="1" applyBorder="1" applyAlignment="1">
      <alignment horizontal="center" vertical="center"/>
    </xf>
    <xf numFmtId="0" fontId="142" fillId="5" borderId="4" xfId="0" applyFont="1" applyFill="1" applyBorder="1" applyAlignment="1">
      <alignment vertical="center"/>
    </xf>
    <xf numFmtId="0" fontId="142" fillId="5" borderId="3" xfId="0" applyFont="1" applyFill="1" applyBorder="1" applyAlignment="1">
      <alignment vertical="center"/>
    </xf>
    <xf numFmtId="0" fontId="144" fillId="0" borderId="11" xfId="0" applyFont="1" applyBorder="1" applyAlignment="1">
      <alignment horizontal="center" vertical="center"/>
    </xf>
    <xf numFmtId="0" fontId="1" fillId="5" borderId="1" xfId="0" applyFont="1" applyFill="1" applyBorder="1" applyAlignment="1">
      <alignment horizontal="center" vertical="center"/>
    </xf>
    <xf numFmtId="176" fontId="0" fillId="4" borderId="10" xfId="0" applyNumberFormat="1" applyFill="1" applyBorder="1" applyAlignment="1">
      <alignment horizontal="center" vertical="center"/>
    </xf>
    <xf numFmtId="176" fontId="0" fillId="4" borderId="14" xfId="0" applyNumberFormat="1" applyFill="1" applyBorder="1" applyAlignment="1">
      <alignment horizontal="center" vertical="center"/>
    </xf>
    <xf numFmtId="176" fontId="0" fillId="4" borderId="13" xfId="0" applyNumberFormat="1" applyFill="1" applyBorder="1" applyAlignment="1">
      <alignment horizontal="center" vertical="center"/>
    </xf>
    <xf numFmtId="242" fontId="142" fillId="7" borderId="4" xfId="0" applyNumberFormat="1" applyFont="1" applyFill="1" applyBorder="1" applyAlignment="1">
      <alignment horizontal="center" vertical="center"/>
    </xf>
    <xf numFmtId="242" fontId="142" fillId="7" borderId="3" xfId="0" applyNumberFormat="1" applyFont="1" applyFill="1" applyBorder="1" applyAlignment="1">
      <alignment horizontal="center" vertical="center"/>
    </xf>
    <xf numFmtId="242" fontId="142" fillId="7" borderId="7" xfId="0" applyNumberFormat="1" applyFont="1" applyFill="1" applyBorder="1" applyAlignment="1">
      <alignment horizontal="center" vertical="center"/>
    </xf>
    <xf numFmtId="241" fontId="145" fillId="5" borderId="1" xfId="0" applyNumberFormat="1" applyFont="1" applyFill="1" applyBorder="1" applyAlignment="1">
      <alignment horizontal="center" vertical="center"/>
    </xf>
    <xf numFmtId="0" fontId="0" fillId="4" borderId="13" xfId="0" applyFill="1" applyBorder="1" applyAlignment="1">
      <alignment horizontal="center" vertical="center"/>
    </xf>
    <xf numFmtId="219" fontId="145" fillId="15" borderId="10" xfId="1" applyNumberFormat="1" applyFont="1" applyFill="1" applyBorder="1" applyAlignment="1">
      <alignment horizontal="center" vertical="center"/>
    </xf>
    <xf numFmtId="219" fontId="145" fillId="15" borderId="5" xfId="1" applyNumberFormat="1" applyFont="1" applyFill="1" applyBorder="1" applyAlignment="1">
      <alignment horizontal="center" vertical="center"/>
    </xf>
    <xf numFmtId="0" fontId="146" fillId="7" borderId="4" xfId="0" applyFont="1" applyFill="1" applyBorder="1" applyAlignment="1">
      <alignment horizontal="center" vertical="center"/>
    </xf>
    <xf numFmtId="0" fontId="145" fillId="15" borderId="9" xfId="0" applyFont="1" applyFill="1" applyBorder="1" applyAlignment="1">
      <alignment horizontal="center" vertical="center" wrapText="1"/>
    </xf>
    <xf numFmtId="0" fontId="145" fillId="15" borderId="12" xfId="0" applyFont="1" applyFill="1" applyBorder="1" applyAlignment="1">
      <alignment horizontal="center" vertical="center" wrapText="1"/>
    </xf>
    <xf numFmtId="0" fontId="176" fillId="0" borderId="4" xfId="0" applyFont="1" applyBorder="1" applyAlignment="1">
      <alignment horizontal="center" vertical="center"/>
    </xf>
    <xf numFmtId="0" fontId="14" fillId="0" borderId="0" xfId="0" applyFont="1">
      <alignment vertical="center"/>
    </xf>
    <xf numFmtId="219" fontId="145" fillId="0" borderId="8" xfId="0" applyNumberFormat="1" applyFont="1" applyBorder="1" applyAlignment="1">
      <alignment vertical="center"/>
    </xf>
    <xf numFmtId="219" fontId="0" fillId="0" borderId="8" xfId="0" applyNumberFormat="1" applyBorder="1" applyAlignment="1">
      <alignment vertical="center"/>
    </xf>
    <xf numFmtId="219" fontId="0" fillId="0" borderId="12" xfId="0" applyNumberFormat="1" applyBorder="1" applyAlignment="1">
      <alignment vertical="center"/>
    </xf>
    <xf numFmtId="0" fontId="145" fillId="0" borderId="11" xfId="0" applyFont="1" applyFill="1" applyBorder="1">
      <alignment vertical="center"/>
    </xf>
    <xf numFmtId="0" fontId="145" fillId="0" borderId="6" xfId="0" applyFont="1" applyFill="1" applyBorder="1">
      <alignment vertical="center"/>
    </xf>
    <xf numFmtId="243" fontId="145" fillId="0" borderId="10" xfId="0" applyNumberFormat="1" applyFont="1" applyBorder="1" applyAlignment="1">
      <alignment horizontal="center" vertical="center"/>
    </xf>
    <xf numFmtId="243" fontId="145" fillId="0" borderId="13" xfId="0" applyNumberFormat="1" applyFont="1" applyBorder="1" applyAlignment="1">
      <alignment horizontal="center" vertical="center"/>
    </xf>
    <xf numFmtId="243" fontId="145" fillId="0" borderId="5" xfId="0" applyNumberFormat="1" applyFont="1" applyBorder="1" applyAlignment="1">
      <alignment horizontal="center" vertical="center"/>
    </xf>
    <xf numFmtId="243" fontId="145" fillId="0" borderId="16" xfId="0" applyNumberFormat="1" applyFont="1" applyBorder="1" applyAlignment="1">
      <alignment horizontal="center" vertical="center"/>
    </xf>
    <xf numFmtId="243" fontId="145" fillId="0" borderId="11" xfId="0" applyNumberFormat="1" applyFont="1" applyBorder="1" applyAlignment="1">
      <alignment horizontal="center" vertical="center"/>
    </xf>
    <xf numFmtId="243" fontId="145" fillId="0" borderId="6" xfId="0" applyNumberFormat="1" applyFont="1" applyBorder="1" applyAlignment="1">
      <alignment horizontal="center" vertical="center"/>
    </xf>
    <xf numFmtId="219" fontId="145" fillId="15" borderId="9" xfId="0" applyNumberFormat="1" applyFont="1" applyFill="1" applyBorder="1" applyAlignment="1">
      <alignment vertical="center"/>
    </xf>
    <xf numFmtId="219" fontId="0" fillId="15" borderId="8" xfId="0" applyNumberFormat="1" applyFill="1" applyBorder="1" applyAlignment="1">
      <alignment vertical="center"/>
    </xf>
    <xf numFmtId="219" fontId="0" fillId="15" borderId="12" xfId="0" applyNumberFormat="1" applyFill="1" applyBorder="1" applyAlignment="1">
      <alignment vertical="center"/>
    </xf>
    <xf numFmtId="219" fontId="145" fillId="0" borderId="9" xfId="0" applyNumberFormat="1" applyFont="1" applyBorder="1" applyAlignment="1">
      <alignment horizontal="center" vertical="center"/>
    </xf>
    <xf numFmtId="219" fontId="145" fillId="0" borderId="8" xfId="0" applyNumberFormat="1" applyFont="1" applyBorder="1" applyAlignment="1">
      <alignment horizontal="center" vertical="center"/>
    </xf>
    <xf numFmtId="219" fontId="145" fillId="0" borderId="5" xfId="0" applyNumberFormat="1" applyFont="1" applyBorder="1" applyAlignment="1">
      <alignment horizontal="center" vertical="center"/>
    </xf>
    <xf numFmtId="245" fontId="142" fillId="0" borderId="4" xfId="0" applyNumberFormat="1" applyFont="1" applyBorder="1" applyAlignment="1">
      <alignment horizontal="center" vertical="center"/>
    </xf>
    <xf numFmtId="245" fontId="142" fillId="0" borderId="7" xfId="0" applyNumberFormat="1" applyFont="1" applyBorder="1" applyAlignment="1">
      <alignment horizontal="center" vertical="center"/>
    </xf>
    <xf numFmtId="219" fontId="145" fillId="0" borderId="12" xfId="0" applyNumberFormat="1" applyFont="1" applyBorder="1" applyAlignment="1">
      <alignment horizontal="center" vertical="center"/>
    </xf>
    <xf numFmtId="245" fontId="142" fillId="2" borderId="4" xfId="0" applyNumberFormat="1" applyFont="1" applyFill="1" applyBorder="1" applyAlignment="1">
      <alignment horizontal="center" vertical="center"/>
    </xf>
    <xf numFmtId="245" fontId="142" fillId="2" borderId="7" xfId="0" applyNumberFormat="1" applyFont="1" applyFill="1" applyBorder="1" applyAlignment="1">
      <alignment horizontal="center" vertical="center"/>
    </xf>
    <xf numFmtId="244" fontId="149" fillId="0" borderId="11" xfId="0" applyNumberFormat="1" applyFont="1" applyBorder="1" applyAlignment="1">
      <alignment horizontal="center" vertical="center"/>
    </xf>
    <xf numFmtId="244" fontId="149" fillId="0" borderId="6" xfId="0" applyNumberFormat="1" applyFont="1" applyBorder="1" applyAlignment="1">
      <alignment horizontal="center" vertical="center"/>
    </xf>
    <xf numFmtId="244" fontId="142" fillId="0" borderId="10" xfId="0" applyNumberFormat="1" applyFont="1" applyBorder="1" applyAlignment="1">
      <alignment horizontal="center" vertical="center"/>
    </xf>
    <xf numFmtId="244" fontId="142" fillId="0" borderId="13" xfId="0" applyNumberFormat="1" applyFont="1" applyBorder="1" applyAlignment="1">
      <alignment horizontal="center" vertical="center"/>
    </xf>
    <xf numFmtId="244" fontId="142" fillId="0" borderId="5" xfId="0" applyNumberFormat="1" applyFont="1" applyBorder="1" applyAlignment="1">
      <alignment horizontal="center" vertical="center"/>
    </xf>
    <xf numFmtId="244" fontId="142" fillId="0" borderId="16" xfId="0" applyNumberFormat="1" applyFont="1" applyBorder="1" applyAlignment="1">
      <alignment horizontal="center" vertical="center"/>
    </xf>
    <xf numFmtId="244" fontId="142" fillId="0" borderId="11" xfId="0" applyNumberFormat="1" applyFont="1" applyBorder="1" applyAlignment="1">
      <alignment horizontal="center" vertical="center"/>
    </xf>
    <xf numFmtId="244" fontId="142" fillId="0" borderId="6" xfId="0" applyNumberFormat="1" applyFont="1" applyBorder="1" applyAlignment="1">
      <alignment horizontal="center" vertical="center"/>
    </xf>
    <xf numFmtId="0" fontId="155" fillId="0" borderId="0" xfId="0" applyFont="1" applyBorder="1" applyAlignment="1">
      <alignment horizontal="center" vertical="center"/>
    </xf>
    <xf numFmtId="0" fontId="0" fillId="5" borderId="7" xfId="0" applyFont="1" applyFill="1" applyBorder="1" applyAlignment="1">
      <alignment horizontal="center" vertical="center"/>
    </xf>
    <xf numFmtId="0" fontId="0" fillId="5" borderId="4" xfId="0" applyFont="1" applyFill="1" applyBorder="1" applyAlignment="1">
      <alignment horizontal="center" vertical="center"/>
    </xf>
    <xf numFmtId="186" fontId="142" fillId="0" borderId="1" xfId="0" applyNumberFormat="1" applyFont="1" applyBorder="1" applyAlignment="1">
      <alignment horizontal="center" vertical="center"/>
    </xf>
    <xf numFmtId="240" fontId="142" fillId="0" borderId="4" xfId="0" applyNumberFormat="1" applyFont="1" applyBorder="1" applyAlignment="1">
      <alignment horizontal="center" vertical="center"/>
    </xf>
    <xf numFmtId="240" fontId="142" fillId="0" borderId="3" xfId="0" applyNumberFormat="1" applyFont="1" applyBorder="1" applyAlignment="1">
      <alignment horizontal="center" vertical="center"/>
    </xf>
    <xf numFmtId="240" fontId="142" fillId="0" borderId="7" xfId="0" applyNumberFormat="1" applyFont="1" applyBorder="1" applyAlignment="1">
      <alignment horizontal="center" vertical="center"/>
    </xf>
    <xf numFmtId="207" fontId="142" fillId="0" borderId="8" xfId="0" applyNumberFormat="1" applyFont="1" applyBorder="1" applyAlignment="1">
      <alignment horizontal="center" vertical="top" wrapText="1"/>
    </xf>
    <xf numFmtId="207" fontId="142" fillId="0" borderId="12" xfId="0" applyNumberFormat="1" applyFont="1" applyBorder="1" applyAlignment="1">
      <alignment horizontal="center" vertical="top" wrapText="1"/>
    </xf>
    <xf numFmtId="186" fontId="142" fillId="0" borderId="4" xfId="0" applyNumberFormat="1" applyFont="1" applyBorder="1" applyAlignment="1">
      <alignment horizontal="center" vertical="center"/>
    </xf>
    <xf numFmtId="186" fontId="142" fillId="0" borderId="3" xfId="0" applyNumberFormat="1" applyFont="1" applyBorder="1" applyAlignment="1">
      <alignment horizontal="center" vertical="center"/>
    </xf>
    <xf numFmtId="186" fontId="142" fillId="0" borderId="7" xfId="0" applyNumberFormat="1" applyFont="1" applyBorder="1" applyAlignment="1">
      <alignment horizontal="center" vertical="center"/>
    </xf>
    <xf numFmtId="244" fontId="142" fillId="0" borderId="9" xfId="0" applyNumberFormat="1" applyFont="1" applyBorder="1" applyAlignment="1">
      <alignment horizontal="center" wrapText="1"/>
    </xf>
    <xf numFmtId="244" fontId="142" fillId="0" borderId="8" xfId="0" applyNumberFormat="1" applyFont="1" applyBorder="1" applyAlignment="1">
      <alignment horizontal="center" wrapText="1"/>
    </xf>
    <xf numFmtId="176" fontId="142" fillId="0" borderId="9" xfId="0" applyNumberFormat="1" applyFont="1" applyBorder="1" applyAlignment="1">
      <alignment horizontal="center" vertical="center"/>
    </xf>
    <xf numFmtId="176" fontId="142" fillId="0" borderId="8" xfId="0" applyNumberFormat="1" applyFont="1" applyBorder="1" applyAlignment="1">
      <alignment horizontal="center" vertical="center"/>
    </xf>
    <xf numFmtId="246" fontId="145" fillId="0" borderId="9" xfId="0" applyNumberFormat="1" applyFont="1" applyBorder="1" applyAlignment="1">
      <alignment horizontal="center" vertical="center"/>
    </xf>
    <xf numFmtId="246" fontId="145" fillId="0" borderId="8" xfId="0" applyNumberFormat="1" applyFont="1" applyBorder="1" applyAlignment="1">
      <alignment horizontal="center" vertical="center"/>
    </xf>
    <xf numFmtId="246" fontId="145" fillId="0" borderId="12" xfId="0" applyNumberFormat="1" applyFont="1" applyBorder="1" applyAlignment="1">
      <alignment horizontal="center" vertical="center"/>
    </xf>
    <xf numFmtId="186" fontId="142" fillId="4" borderId="1" xfId="0" applyNumberFormat="1" applyFont="1" applyFill="1" applyBorder="1" applyAlignment="1">
      <alignment horizontal="center" vertical="center"/>
    </xf>
    <xf numFmtId="207" fontId="142" fillId="5" borderId="8" xfId="0" applyNumberFormat="1" applyFont="1" applyFill="1" applyBorder="1" applyAlignment="1">
      <alignment horizontal="center" vertical="top" wrapText="1"/>
    </xf>
    <xf numFmtId="207" fontId="142" fillId="5" borderId="12" xfId="0" applyNumberFormat="1" applyFont="1" applyFill="1" applyBorder="1" applyAlignment="1">
      <alignment horizontal="center" vertical="top" wrapText="1"/>
    </xf>
    <xf numFmtId="243" fontId="142" fillId="5" borderId="9" xfId="0" applyNumberFormat="1" applyFont="1" applyFill="1" applyBorder="1" applyAlignment="1">
      <alignment horizontal="center" wrapText="1"/>
    </xf>
    <xf numFmtId="243" fontId="142" fillId="5" borderId="8" xfId="0" applyNumberFormat="1" applyFont="1" applyFill="1" applyBorder="1" applyAlignment="1">
      <alignment horizontal="center" wrapText="1"/>
    </xf>
    <xf numFmtId="176" fontId="142" fillId="5" borderId="9" xfId="0" applyNumberFormat="1" applyFont="1" applyFill="1" applyBorder="1" applyAlignment="1">
      <alignment horizontal="center" vertical="center"/>
    </xf>
    <xf numFmtId="176" fontId="142" fillId="5" borderId="8" xfId="0" applyNumberFormat="1" applyFont="1" applyFill="1" applyBorder="1" applyAlignment="1">
      <alignment horizontal="center" vertical="center"/>
    </xf>
    <xf numFmtId="0" fontId="1" fillId="0" borderId="0" xfId="0" applyFont="1">
      <alignment vertical="center"/>
    </xf>
    <xf numFmtId="179" fontId="145" fillId="18" borderId="4" xfId="2" applyNumberFormat="1" applyFont="1" applyFill="1" applyBorder="1" applyAlignment="1">
      <alignment horizontal="right" vertical="center"/>
    </xf>
    <xf numFmtId="179" fontId="145" fillId="18" borderId="3" xfId="2" applyNumberFormat="1" applyFont="1" applyFill="1" applyBorder="1" applyAlignment="1">
      <alignment horizontal="right" vertical="center"/>
    </xf>
    <xf numFmtId="256" fontId="145" fillId="5" borderId="4" xfId="2" applyNumberFormat="1" applyFont="1" applyFill="1" applyBorder="1" applyAlignment="1">
      <alignment horizontal="right" vertical="center"/>
    </xf>
    <xf numFmtId="256" fontId="145" fillId="5" borderId="3" xfId="2" applyNumberFormat="1" applyFont="1" applyFill="1" applyBorder="1" applyAlignment="1">
      <alignment horizontal="right" vertical="center"/>
    </xf>
    <xf numFmtId="178" fontId="145" fillId="18" borderId="4" xfId="2" applyNumberFormat="1" applyFont="1" applyFill="1" applyBorder="1" applyAlignment="1">
      <alignment horizontal="right" vertical="center"/>
    </xf>
    <xf numFmtId="178" fontId="145" fillId="18" borderId="3" xfId="2" applyNumberFormat="1" applyFont="1" applyFill="1" applyBorder="1" applyAlignment="1">
      <alignment horizontal="right" vertical="center"/>
    </xf>
    <xf numFmtId="181" fontId="145" fillId="0" borderId="10" xfId="2" applyNumberFormat="1" applyFont="1" applyBorder="1" applyAlignment="1">
      <alignment horizontal="center" vertical="center"/>
    </xf>
    <xf numFmtId="181" fontId="145" fillId="0" borderId="14" xfId="2" applyNumberFormat="1" applyFont="1" applyBorder="1" applyAlignment="1">
      <alignment horizontal="center" vertical="center"/>
    </xf>
    <xf numFmtId="181" fontId="145" fillId="0" borderId="13" xfId="2" applyNumberFormat="1" applyFont="1" applyBorder="1" applyAlignment="1">
      <alignment horizontal="center" vertical="center"/>
    </xf>
    <xf numFmtId="181" fontId="145" fillId="0" borderId="5" xfId="2" applyNumberFormat="1" applyFont="1" applyBorder="1" applyAlignment="1">
      <alignment horizontal="center" vertical="center"/>
    </xf>
    <xf numFmtId="181" fontId="145" fillId="0" borderId="0" xfId="2" applyNumberFormat="1" applyFont="1" applyBorder="1" applyAlignment="1">
      <alignment horizontal="center" vertical="center"/>
    </xf>
    <xf numFmtId="181" fontId="145" fillId="0" borderId="16" xfId="2" applyNumberFormat="1" applyFont="1" applyBorder="1" applyAlignment="1">
      <alignment horizontal="center" vertical="center"/>
    </xf>
    <xf numFmtId="181" fontId="145" fillId="0" borderId="11" xfId="2" applyNumberFormat="1" applyFont="1" applyBorder="1" applyAlignment="1">
      <alignment horizontal="center" vertical="center"/>
    </xf>
    <xf numFmtId="181" fontId="145" fillId="0" borderId="2" xfId="2" applyNumberFormat="1" applyFont="1" applyBorder="1" applyAlignment="1">
      <alignment horizontal="center" vertical="center"/>
    </xf>
    <xf numFmtId="181" fontId="145" fillId="0" borderId="6" xfId="2" applyNumberFormat="1" applyFont="1" applyBorder="1" applyAlignment="1">
      <alignment horizontal="center" vertical="center"/>
    </xf>
    <xf numFmtId="249" fontId="145" fillId="0" borderId="3" xfId="2" applyNumberFormat="1" applyFont="1" applyBorder="1" applyAlignment="1">
      <alignment horizontal="center" vertical="center"/>
    </xf>
    <xf numFmtId="0" fontId="145" fillId="0" borderId="3" xfId="2" applyNumberFormat="1" applyFont="1" applyBorder="1" applyAlignment="1">
      <alignment horizontal="center" vertical="center"/>
    </xf>
    <xf numFmtId="0" fontId="145" fillId="0" borderId="4" xfId="2" applyFont="1" applyBorder="1" applyAlignment="1">
      <alignment horizontal="center" vertical="center"/>
    </xf>
    <xf numFmtId="0" fontId="145" fillId="0" borderId="3" xfId="2" applyFont="1" applyBorder="1" applyAlignment="1">
      <alignment horizontal="center" vertical="center"/>
    </xf>
    <xf numFmtId="0" fontId="145" fillId="0" borderId="7" xfId="2" applyFont="1" applyBorder="1" applyAlignment="1">
      <alignment horizontal="center" vertical="center"/>
    </xf>
    <xf numFmtId="0" fontId="145" fillId="0" borderId="4" xfId="2" applyFont="1" applyBorder="1" applyAlignment="1">
      <alignment horizontal="left" vertical="center"/>
    </xf>
    <xf numFmtId="0" fontId="145" fillId="0" borderId="3" xfId="2" applyFont="1" applyBorder="1" applyAlignment="1">
      <alignment horizontal="left" vertical="center"/>
    </xf>
    <xf numFmtId="202" fontId="145" fillId="0" borderId="3" xfId="2" applyNumberFormat="1" applyFont="1" applyBorder="1" applyAlignment="1">
      <alignment horizontal="center" vertical="center"/>
    </xf>
    <xf numFmtId="180" fontId="145" fillId="4" borderId="4" xfId="2" applyNumberFormat="1" applyFont="1" applyFill="1" applyBorder="1" applyAlignment="1">
      <alignment horizontal="center" vertical="center"/>
    </xf>
    <xf numFmtId="180" fontId="145" fillId="4" borderId="3" xfId="2" applyNumberFormat="1" applyFont="1" applyFill="1" applyBorder="1" applyAlignment="1">
      <alignment horizontal="center" vertical="center"/>
    </xf>
    <xf numFmtId="180" fontId="145" fillId="4" borderId="7" xfId="2" applyNumberFormat="1" applyFont="1" applyFill="1" applyBorder="1" applyAlignment="1">
      <alignment horizontal="center" vertical="center"/>
    </xf>
    <xf numFmtId="181" fontId="145" fillId="4" borderId="4" xfId="2" applyNumberFormat="1" applyFont="1" applyFill="1" applyBorder="1" applyAlignment="1">
      <alignment horizontal="center" vertical="center"/>
    </xf>
    <xf numFmtId="181" fontId="145" fillId="4" borderId="3" xfId="2" applyNumberFormat="1" applyFont="1" applyFill="1" applyBorder="1" applyAlignment="1">
      <alignment horizontal="center" vertical="center"/>
    </xf>
    <xf numFmtId="255" fontId="145" fillId="11" borderId="4" xfId="2" applyNumberFormat="1" applyFont="1" applyFill="1" applyBorder="1" applyAlignment="1">
      <alignment horizontal="center" vertical="center"/>
    </xf>
    <xf numFmtId="255" fontId="145" fillId="11" borderId="3" xfId="2" applyNumberFormat="1" applyFont="1" applyFill="1" applyBorder="1" applyAlignment="1">
      <alignment horizontal="center" vertical="center"/>
    </xf>
    <xf numFmtId="2" fontId="145" fillId="0" borderId="10" xfId="5" applyNumberFormat="1" applyFont="1" applyBorder="1" applyAlignment="1">
      <alignment horizontal="center" vertical="center"/>
    </xf>
    <xf numFmtId="2" fontId="145" fillId="0" borderId="14" xfId="5" applyNumberFormat="1" applyFont="1" applyBorder="1" applyAlignment="1">
      <alignment horizontal="center" vertical="center"/>
    </xf>
    <xf numFmtId="181" fontId="145" fillId="0" borderId="10" xfId="5" applyNumberFormat="1" applyFont="1" applyBorder="1" applyAlignment="1">
      <alignment horizontal="center" vertical="center"/>
    </xf>
    <xf numFmtId="181" fontId="145" fillId="0" borderId="14" xfId="5" applyNumberFormat="1" applyFont="1" applyBorder="1" applyAlignment="1">
      <alignment horizontal="center" vertical="center"/>
    </xf>
    <xf numFmtId="248" fontId="145" fillId="0" borderId="4" xfId="5" applyNumberFormat="1" applyFont="1" applyBorder="1" applyAlignment="1">
      <alignment horizontal="center" vertical="center"/>
    </xf>
    <xf numFmtId="248" fontId="145" fillId="0" borderId="3" xfId="5" applyNumberFormat="1" applyFont="1" applyBorder="1" applyAlignment="1">
      <alignment horizontal="center" vertical="center"/>
    </xf>
    <xf numFmtId="2" fontId="145" fillId="0" borderId="1" xfId="5" applyNumberFormat="1" applyFont="1" applyBorder="1" applyAlignment="1">
      <alignment horizontal="center" vertical="center"/>
    </xf>
    <xf numFmtId="181" fontId="145" fillId="0" borderId="1" xfId="5" applyNumberFormat="1" applyFont="1" applyBorder="1" applyAlignment="1">
      <alignment horizontal="center" vertical="center"/>
    </xf>
    <xf numFmtId="252" fontId="145" fillId="0" borderId="1" xfId="5" applyNumberFormat="1" applyFont="1" applyBorder="1" applyAlignment="1">
      <alignment horizontal="center" vertical="center"/>
    </xf>
    <xf numFmtId="251" fontId="145" fillId="0" borderId="1" xfId="5" applyNumberFormat="1" applyFont="1" applyBorder="1" applyAlignment="1">
      <alignment horizontal="center" vertical="center"/>
    </xf>
    <xf numFmtId="176" fontId="145" fillId="0" borderId="10" xfId="5" applyNumberFormat="1" applyFont="1" applyBorder="1" applyAlignment="1">
      <alignment horizontal="center" vertical="center"/>
    </xf>
    <xf numFmtId="176" fontId="145" fillId="0" borderId="14" xfId="5" applyNumberFormat="1" applyFont="1" applyBorder="1" applyAlignment="1">
      <alignment horizontal="center" vertical="center"/>
    </xf>
    <xf numFmtId="0" fontId="145" fillId="0" borderId="4" xfId="5" applyFont="1" applyBorder="1" applyAlignment="1">
      <alignment horizontal="center" vertical="center"/>
    </xf>
    <xf numFmtId="0" fontId="145" fillId="0" borderId="3" xfId="5" applyFont="1" applyBorder="1" applyAlignment="1">
      <alignment horizontal="center" vertical="center"/>
    </xf>
    <xf numFmtId="0" fontId="145" fillId="0" borderId="7" xfId="5" applyFont="1" applyBorder="1" applyAlignment="1">
      <alignment horizontal="center" vertical="center"/>
    </xf>
    <xf numFmtId="0" fontId="145" fillId="0" borderId="10" xfId="5" applyFont="1" applyBorder="1" applyAlignment="1">
      <alignment horizontal="center" vertical="center"/>
    </xf>
    <xf numFmtId="0" fontId="145" fillId="0" borderId="14" xfId="5" applyFont="1" applyBorder="1" applyAlignment="1">
      <alignment horizontal="center" vertical="center"/>
    </xf>
    <xf numFmtId="250" fontId="145" fillId="0" borderId="1" xfId="5" applyNumberFormat="1" applyFont="1" applyBorder="1" applyAlignment="1">
      <alignment horizontal="center" vertical="center"/>
    </xf>
    <xf numFmtId="181" fontId="145" fillId="0" borderId="13" xfId="5" applyNumberFormat="1" applyFont="1" applyBorder="1" applyAlignment="1">
      <alignment horizontal="center" vertical="center"/>
    </xf>
    <xf numFmtId="181" fontId="145" fillId="0" borderId="5" xfId="5" applyNumberFormat="1" applyFont="1" applyBorder="1" applyAlignment="1">
      <alignment horizontal="center" vertical="center"/>
    </xf>
    <xf numFmtId="181" fontId="145" fillId="0" borderId="0" xfId="5" applyNumberFormat="1" applyFont="1" applyBorder="1" applyAlignment="1">
      <alignment horizontal="center" vertical="center"/>
    </xf>
    <xf numFmtId="181" fontId="145" fillId="0" borderId="16" xfId="5" applyNumberFormat="1" applyFont="1" applyBorder="1" applyAlignment="1">
      <alignment horizontal="center" vertical="center"/>
    </xf>
    <xf numFmtId="181" fontId="145" fillId="0" borderId="11" xfId="5" applyNumberFormat="1" applyFont="1" applyBorder="1" applyAlignment="1">
      <alignment horizontal="center" vertical="center"/>
    </xf>
    <xf numFmtId="181" fontId="145" fillId="0" borderId="2" xfId="5" applyNumberFormat="1" applyFont="1" applyBorder="1" applyAlignment="1">
      <alignment horizontal="center" vertical="center"/>
    </xf>
    <xf numFmtId="181" fontId="145" fillId="0" borderId="6" xfId="5" applyNumberFormat="1" applyFont="1" applyBorder="1" applyAlignment="1">
      <alignment horizontal="center" vertical="center"/>
    </xf>
    <xf numFmtId="0" fontId="154" fillId="0" borderId="4" xfId="5" applyFont="1" applyBorder="1" applyAlignment="1">
      <alignment horizontal="center" vertical="center"/>
    </xf>
    <xf numFmtId="0" fontId="154" fillId="0" borderId="3" xfId="5" applyFont="1" applyBorder="1" applyAlignment="1">
      <alignment horizontal="center" vertical="center"/>
    </xf>
    <xf numFmtId="0" fontId="145" fillId="0" borderId="1" xfId="5" applyFont="1" applyBorder="1" applyAlignment="1">
      <alignment horizontal="center" vertical="center"/>
    </xf>
    <xf numFmtId="0" fontId="145" fillId="0" borderId="4" xfId="5" applyFont="1" applyBorder="1" applyAlignment="1">
      <alignment horizontal="left" vertical="center"/>
    </xf>
    <xf numFmtId="0" fontId="145" fillId="0" borderId="3" xfId="5" applyFont="1" applyBorder="1" applyAlignment="1">
      <alignment horizontal="left" vertical="center"/>
    </xf>
    <xf numFmtId="202" fontId="145" fillId="0" borderId="3" xfId="5" applyNumberFormat="1" applyFont="1" applyBorder="1" applyAlignment="1">
      <alignment horizontal="center" vertical="center"/>
    </xf>
    <xf numFmtId="249" fontId="145" fillId="0" borderId="3" xfId="5" applyNumberFormat="1" applyFont="1" applyBorder="1" applyAlignment="1">
      <alignment horizontal="center" vertical="center"/>
    </xf>
    <xf numFmtId="0" fontId="145" fillId="0" borderId="3" xfId="5" applyNumberFormat="1" applyFont="1" applyBorder="1" applyAlignment="1">
      <alignment horizontal="center" vertical="center"/>
    </xf>
    <xf numFmtId="181" fontId="145" fillId="4" borderId="1" xfId="5" applyNumberFormat="1" applyFont="1" applyFill="1" applyBorder="1" applyAlignment="1">
      <alignment horizontal="center" vertical="center"/>
    </xf>
    <xf numFmtId="181" fontId="145" fillId="4" borderId="10" xfId="5" applyNumberFormat="1" applyFont="1" applyFill="1" applyBorder="1" applyAlignment="1">
      <alignment horizontal="center" vertical="center"/>
    </xf>
    <xf numFmtId="181" fontId="145" fillId="4" borderId="14" xfId="5" applyNumberFormat="1" applyFont="1" applyFill="1" applyBorder="1" applyAlignment="1">
      <alignment horizontal="center" vertical="center"/>
    </xf>
    <xf numFmtId="248" fontId="145" fillId="5" borderId="4" xfId="5" applyNumberFormat="1" applyFont="1" applyFill="1" applyBorder="1" applyAlignment="1">
      <alignment horizontal="center" vertical="center"/>
    </xf>
    <xf numFmtId="248" fontId="145" fillId="5" borderId="3" xfId="5" applyNumberFormat="1" applyFont="1" applyFill="1" applyBorder="1" applyAlignment="1">
      <alignment horizontal="center" vertical="center"/>
    </xf>
    <xf numFmtId="252" fontId="145" fillId="5" borderId="1" xfId="5" applyNumberFormat="1" applyFont="1" applyFill="1" applyBorder="1" applyAlignment="1">
      <alignment horizontal="center" vertical="center"/>
    </xf>
    <xf numFmtId="251" fontId="145" fillId="5" borderId="1" xfId="5" applyNumberFormat="1" applyFont="1" applyFill="1" applyBorder="1" applyAlignment="1">
      <alignment horizontal="center" vertical="center"/>
    </xf>
    <xf numFmtId="176" fontId="145" fillId="4" borderId="10" xfId="5" applyNumberFormat="1" applyFont="1" applyFill="1" applyBorder="1" applyAlignment="1">
      <alignment horizontal="center" vertical="center"/>
    </xf>
    <xf numFmtId="176" fontId="145" fillId="4" borderId="14" xfId="5" applyNumberFormat="1" applyFont="1" applyFill="1" applyBorder="1" applyAlignment="1">
      <alignment horizontal="center" vertical="center"/>
    </xf>
    <xf numFmtId="179" fontId="145" fillId="0" borderId="4" xfId="5" applyNumberFormat="1" applyFont="1" applyBorder="1" applyAlignment="1">
      <alignment horizontal="center" vertical="center"/>
    </xf>
    <xf numFmtId="179" fontId="145" fillId="0" borderId="3" xfId="5" applyNumberFormat="1" applyFont="1" applyBorder="1" applyAlignment="1">
      <alignment horizontal="center" vertical="center"/>
    </xf>
    <xf numFmtId="179" fontId="145" fillId="0" borderId="7" xfId="5" applyNumberFormat="1" applyFont="1" applyBorder="1" applyAlignment="1">
      <alignment horizontal="center" vertical="center"/>
    </xf>
    <xf numFmtId="250" fontId="145" fillId="5" borderId="1" xfId="5" applyNumberFormat="1" applyFont="1" applyFill="1" applyBorder="1" applyAlignment="1">
      <alignment horizontal="center" vertical="center"/>
    </xf>
    <xf numFmtId="178" fontId="145" fillId="0" borderId="4" xfId="5" applyNumberFormat="1" applyFont="1" applyBorder="1" applyAlignment="1">
      <alignment horizontal="center" vertical="center"/>
    </xf>
    <xf numFmtId="178" fontId="145" fillId="0" borderId="3" xfId="5" applyNumberFormat="1" applyFont="1" applyBorder="1" applyAlignment="1">
      <alignment horizontal="center" vertical="center"/>
    </xf>
    <xf numFmtId="178" fontId="145" fillId="0" borderId="7" xfId="5" applyNumberFormat="1" applyFont="1" applyBorder="1" applyAlignment="1">
      <alignment horizontal="center" vertical="center"/>
    </xf>
    <xf numFmtId="0" fontId="145" fillId="0" borderId="5" xfId="5" applyFont="1" applyBorder="1" applyAlignment="1">
      <alignment horizontal="center" vertical="center"/>
    </xf>
    <xf numFmtId="0" fontId="145" fillId="0" borderId="0" xfId="5" applyFont="1" applyBorder="1" applyAlignment="1">
      <alignment horizontal="center" vertical="center"/>
    </xf>
    <xf numFmtId="0" fontId="145" fillId="0" borderId="16" xfId="5" applyFont="1" applyBorder="1" applyAlignment="1">
      <alignment horizontal="center" vertical="center"/>
    </xf>
    <xf numFmtId="0" fontId="145" fillId="0" borderId="11" xfId="5" applyFont="1" applyBorder="1" applyAlignment="1">
      <alignment horizontal="center" vertical="center"/>
    </xf>
    <xf numFmtId="0" fontId="145" fillId="0" borderId="2" xfId="5" applyFont="1" applyBorder="1" applyAlignment="1">
      <alignment horizontal="center" vertical="center"/>
    </xf>
    <xf numFmtId="0" fontId="145" fillId="0" borderId="6" xfId="5" applyFont="1" applyBorder="1" applyAlignment="1">
      <alignment horizontal="center" vertical="center"/>
    </xf>
    <xf numFmtId="0" fontId="145" fillId="0" borderId="13" xfId="5" applyFont="1" applyBorder="1" applyAlignment="1">
      <alignment horizontal="center" vertical="center"/>
    </xf>
    <xf numFmtId="179" fontId="145" fillId="4" borderId="4" xfId="5" applyNumberFormat="1" applyFont="1" applyFill="1" applyBorder="1" applyAlignment="1">
      <alignment horizontal="center" vertical="center"/>
    </xf>
    <xf numFmtId="179" fontId="145" fillId="4" borderId="3" xfId="5" applyNumberFormat="1" applyFont="1" applyFill="1" applyBorder="1" applyAlignment="1">
      <alignment horizontal="center" vertical="center"/>
    </xf>
    <xf numFmtId="179" fontId="145" fillId="4" borderId="7" xfId="5" applyNumberFormat="1" applyFont="1" applyFill="1" applyBorder="1" applyAlignment="1">
      <alignment horizontal="center" vertical="center"/>
    </xf>
    <xf numFmtId="181" fontId="145" fillId="4" borderId="4" xfId="5" applyNumberFormat="1" applyFont="1" applyFill="1" applyBorder="1" applyAlignment="1">
      <alignment horizontal="center" vertical="center"/>
    </xf>
    <xf numFmtId="181" fontId="145" fillId="4" borderId="3" xfId="5" applyNumberFormat="1" applyFont="1" applyFill="1" applyBorder="1" applyAlignment="1">
      <alignment horizontal="center" vertical="center"/>
    </xf>
    <xf numFmtId="181" fontId="145" fillId="4" borderId="7" xfId="5" applyNumberFormat="1" applyFont="1" applyFill="1" applyBorder="1" applyAlignment="1">
      <alignment horizontal="center" vertical="center"/>
    </xf>
    <xf numFmtId="0" fontId="145" fillId="15" borderId="1" xfId="5" applyFont="1" applyFill="1" applyBorder="1" applyAlignment="1">
      <alignment horizontal="center" vertical="center" wrapText="1"/>
    </xf>
    <xf numFmtId="0" fontId="145" fillId="15" borderId="1" xfId="5" applyFont="1" applyFill="1" applyBorder="1" applyAlignment="1">
      <alignment horizontal="center" vertical="center"/>
    </xf>
    <xf numFmtId="181" fontId="145" fillId="0" borderId="4" xfId="2" applyNumberFormat="1" applyFont="1" applyBorder="1" applyAlignment="1">
      <alignment horizontal="center" vertical="center"/>
    </xf>
    <xf numFmtId="181" fontId="145" fillId="0" borderId="3" xfId="2" applyNumberFormat="1" applyFont="1" applyBorder="1" applyAlignment="1">
      <alignment horizontal="center" vertical="center"/>
    </xf>
    <xf numFmtId="181" fontId="145" fillId="0" borderId="7" xfId="2" applyNumberFormat="1" applyFont="1" applyBorder="1" applyAlignment="1">
      <alignment horizontal="center" vertical="center"/>
    </xf>
    <xf numFmtId="248" fontId="145" fillId="0" borderId="4" xfId="2" applyNumberFormat="1" applyFont="1" applyBorder="1" applyAlignment="1">
      <alignment horizontal="center" vertical="center"/>
    </xf>
    <xf numFmtId="248" fontId="145" fillId="0" borderId="3" xfId="2" applyNumberFormat="1" applyFont="1" applyBorder="1" applyAlignment="1">
      <alignment horizontal="center" vertical="center"/>
    </xf>
    <xf numFmtId="179" fontId="145" fillId="0" borderId="4" xfId="2" applyNumberFormat="1" applyFont="1" applyBorder="1" applyAlignment="1">
      <alignment horizontal="center" vertical="center"/>
    </xf>
    <xf numFmtId="179" fontId="145" fillId="0" borderId="3" xfId="2" applyNumberFormat="1" applyFont="1" applyBorder="1" applyAlignment="1">
      <alignment horizontal="center" vertical="center"/>
    </xf>
    <xf numFmtId="179" fontId="145" fillId="0" borderId="7" xfId="2" applyNumberFormat="1" applyFont="1" applyBorder="1" applyAlignment="1">
      <alignment horizontal="center" vertical="center"/>
    </xf>
    <xf numFmtId="0" fontId="145" fillId="0" borderId="5" xfId="2" applyFont="1" applyBorder="1" applyAlignment="1">
      <alignment horizontal="center" vertical="center"/>
    </xf>
    <xf numFmtId="0" fontId="145" fillId="0" borderId="0" xfId="2" applyFont="1" applyBorder="1" applyAlignment="1">
      <alignment horizontal="center" vertical="center"/>
    </xf>
    <xf numFmtId="0" fontId="145" fillId="0" borderId="16" xfId="2" applyFont="1" applyBorder="1" applyAlignment="1">
      <alignment horizontal="center" vertical="center"/>
    </xf>
    <xf numFmtId="0" fontId="145" fillId="0" borderId="11" xfId="2" applyFont="1" applyBorder="1" applyAlignment="1">
      <alignment horizontal="center" vertical="center"/>
    </xf>
    <xf numFmtId="0" fontId="145" fillId="0" borderId="2" xfId="2" applyFont="1" applyBorder="1" applyAlignment="1">
      <alignment horizontal="center" vertical="center"/>
    </xf>
    <xf numFmtId="0" fontId="145" fillId="0" borderId="6" xfId="2" applyFont="1" applyBorder="1" applyAlignment="1">
      <alignment horizontal="center" vertical="center"/>
    </xf>
    <xf numFmtId="0" fontId="178" fillId="0" borderId="9" xfId="0" applyFont="1" applyBorder="1" applyAlignment="1">
      <alignment horizontal="center" vertical="center"/>
    </xf>
    <xf numFmtId="0" fontId="178" fillId="0" borderId="8" xfId="0" applyFont="1" applyBorder="1" applyAlignment="1">
      <alignment horizontal="center" vertical="center"/>
    </xf>
    <xf numFmtId="0" fontId="178" fillId="0" borderId="12" xfId="0" applyFont="1" applyBorder="1" applyAlignment="1">
      <alignment horizontal="center" vertical="center"/>
    </xf>
    <xf numFmtId="256" fontId="1" fillId="0" borderId="4" xfId="0" applyNumberFormat="1" applyFont="1" applyBorder="1" applyAlignment="1">
      <alignment horizontal="center" vertical="center"/>
    </xf>
    <xf numFmtId="256" fontId="1" fillId="0" borderId="7" xfId="0" applyNumberFormat="1" applyFont="1" applyBorder="1" applyAlignment="1">
      <alignment horizontal="center" vertical="center"/>
    </xf>
    <xf numFmtId="180" fontId="1" fillId="2" borderId="1" xfId="0" applyNumberFormat="1" applyFont="1" applyFill="1" applyBorder="1" applyAlignment="1">
      <alignment horizontal="center" vertical="center"/>
    </xf>
    <xf numFmtId="250" fontId="1" fillId="2" borderId="4" xfId="0" applyNumberFormat="1" applyFont="1" applyFill="1" applyBorder="1" applyAlignment="1">
      <alignment horizontal="center" vertical="center"/>
    </xf>
    <xf numFmtId="250" fontId="1" fillId="2" borderId="7" xfId="0" applyNumberFormat="1" applyFont="1" applyFill="1" applyBorder="1" applyAlignment="1">
      <alignment horizontal="center" vertical="center"/>
    </xf>
    <xf numFmtId="0" fontId="1" fillId="2" borderId="4" xfId="0" applyFont="1" applyFill="1" applyBorder="1" applyAlignment="1">
      <alignment horizontal="center" vertical="center"/>
    </xf>
    <xf numFmtId="0" fontId="1" fillId="2" borderId="7" xfId="0" applyFont="1" applyFill="1" applyBorder="1" applyAlignment="1">
      <alignment horizontal="center" vertical="center"/>
    </xf>
    <xf numFmtId="250" fontId="1" fillId="0" borderId="4" xfId="0" applyNumberFormat="1" applyFont="1" applyBorder="1" applyAlignment="1">
      <alignment horizontal="center" vertical="center"/>
    </xf>
    <xf numFmtId="250" fontId="1" fillId="0" borderId="7" xfId="0" applyNumberFormat="1" applyFont="1" applyBorder="1" applyAlignment="1">
      <alignment horizontal="center" vertical="center"/>
    </xf>
    <xf numFmtId="256" fontId="1" fillId="0" borderId="14" xfId="0" applyNumberFormat="1" applyFont="1" applyBorder="1" applyAlignment="1">
      <alignment horizontal="center" vertical="center"/>
    </xf>
    <xf numFmtId="180" fontId="1" fillId="0" borderId="1" xfId="0" applyNumberFormat="1" applyFont="1" applyBorder="1" applyAlignment="1">
      <alignment horizontal="center" vertical="center"/>
    </xf>
    <xf numFmtId="0" fontId="1" fillId="0" borderId="27" xfId="0" applyFont="1" applyBorder="1" applyAlignment="1">
      <alignment horizontal="center" vertical="center"/>
    </xf>
    <xf numFmtId="0" fontId="1" fillId="0" borderId="28" xfId="0" applyFont="1" applyBorder="1" applyAlignment="1">
      <alignment horizontal="center" vertical="center"/>
    </xf>
    <xf numFmtId="0" fontId="1" fillId="0" borderId="29" xfId="0" applyFont="1" applyBorder="1" applyAlignment="1">
      <alignment horizontal="center" vertical="center"/>
    </xf>
    <xf numFmtId="0" fontId="1" fillId="0" borderId="30" xfId="0" applyFont="1" applyBorder="1" applyAlignment="1">
      <alignment horizontal="center" vertical="center"/>
    </xf>
    <xf numFmtId="0" fontId="1" fillId="0" borderId="31" xfId="0" applyFont="1" applyBorder="1" applyAlignment="1">
      <alignment horizontal="center" vertical="center"/>
    </xf>
    <xf numFmtId="0" fontId="1" fillId="0" borderId="32" xfId="0" applyFont="1" applyBorder="1" applyAlignment="1">
      <alignment horizontal="center" vertical="center"/>
    </xf>
    <xf numFmtId="0" fontId="1" fillId="0" borderId="14" xfId="0" applyFont="1" applyBorder="1" applyAlignment="1">
      <alignment horizontal="center" vertical="center"/>
    </xf>
    <xf numFmtId="0" fontId="1" fillId="0" borderId="1" xfId="0" applyNumberFormat="1" applyFont="1" applyBorder="1" applyAlignment="1">
      <alignment horizontal="center" vertical="center"/>
    </xf>
    <xf numFmtId="186" fontId="1" fillId="0" borderId="1" xfId="0" applyNumberFormat="1" applyFont="1" applyBorder="1" applyAlignment="1">
      <alignment horizontal="center" vertical="center"/>
    </xf>
    <xf numFmtId="49" fontId="1" fillId="0" borderId="1" xfId="0" applyNumberFormat="1" applyFont="1" applyBorder="1" applyAlignment="1">
      <alignment horizontal="center" vertical="center"/>
    </xf>
    <xf numFmtId="271" fontId="1" fillId="0" borderId="1" xfId="0" applyNumberFormat="1" applyFont="1" applyBorder="1" applyAlignment="1">
      <alignment horizontal="center" vertical="center"/>
    </xf>
    <xf numFmtId="284" fontId="1" fillId="0" borderId="1" xfId="0" applyNumberFormat="1" applyFont="1" applyBorder="1" applyAlignment="1">
      <alignment horizontal="center" vertical="center"/>
    </xf>
    <xf numFmtId="49" fontId="27" fillId="0" borderId="1" xfId="0" applyNumberFormat="1" applyFont="1" applyBorder="1" applyAlignment="1">
      <alignment horizontal="center" vertical="center"/>
    </xf>
    <xf numFmtId="256" fontId="10" fillId="0" borderId="1" xfId="0" applyNumberFormat="1" applyFont="1" applyBorder="1" applyAlignment="1">
      <alignment horizontal="center" vertical="center"/>
    </xf>
    <xf numFmtId="284" fontId="27" fillId="0" borderId="1" xfId="0" applyNumberFormat="1" applyFont="1" applyBorder="1" applyAlignment="1">
      <alignment horizontal="center" vertical="center"/>
    </xf>
    <xf numFmtId="181" fontId="1" fillId="0" borderId="1" xfId="0" applyNumberFormat="1" applyFont="1" applyBorder="1" applyAlignment="1">
      <alignment horizontal="center" vertical="center"/>
    </xf>
    <xf numFmtId="176" fontId="1" fillId="0" borderId="1" xfId="0" applyNumberFormat="1" applyFont="1" applyBorder="1" applyAlignment="1">
      <alignment horizontal="center" vertical="center"/>
    </xf>
    <xf numFmtId="49" fontId="1" fillId="0" borderId="1" xfId="0" applyNumberFormat="1" applyFont="1" applyBorder="1" applyAlignment="1">
      <alignment horizontal="center" vertical="center" wrapText="1"/>
    </xf>
    <xf numFmtId="0" fontId="10" fillId="0" borderId="4" xfId="0" applyFont="1" applyBorder="1" applyAlignment="1">
      <alignment horizontal="center" vertical="center" wrapText="1"/>
    </xf>
    <xf numFmtId="0" fontId="10" fillId="0" borderId="3" xfId="0" applyFont="1" applyBorder="1" applyAlignment="1">
      <alignment horizontal="center" vertical="center" wrapText="1"/>
    </xf>
    <xf numFmtId="0" fontId="10" fillId="0" borderId="7" xfId="0" applyFont="1" applyBorder="1" applyAlignment="1">
      <alignment horizontal="center" vertical="center" wrapText="1"/>
    </xf>
    <xf numFmtId="180" fontId="1" fillId="0" borderId="4" xfId="0" applyNumberFormat="1" applyFont="1" applyFill="1" applyBorder="1" applyAlignment="1">
      <alignment horizontal="center" vertical="center"/>
    </xf>
    <xf numFmtId="180" fontId="1" fillId="0" borderId="3" xfId="0" applyNumberFormat="1" applyFont="1" applyFill="1" applyBorder="1" applyAlignment="1">
      <alignment horizontal="center" vertical="center"/>
    </xf>
    <xf numFmtId="180" fontId="1" fillId="0" borderId="7" xfId="0" applyNumberFormat="1" applyFont="1" applyFill="1" applyBorder="1" applyAlignment="1">
      <alignment horizontal="center" vertical="center"/>
    </xf>
    <xf numFmtId="49" fontId="1" fillId="0" borderId="1" xfId="0" applyNumberFormat="1" applyFont="1" applyFill="1" applyBorder="1" applyAlignment="1">
      <alignment horizontal="center" vertical="center"/>
    </xf>
    <xf numFmtId="0" fontId="1" fillId="0" borderId="1" xfId="0" applyNumberFormat="1" applyFont="1" applyFill="1" applyBorder="1" applyAlignment="1">
      <alignment horizontal="center" vertical="center"/>
    </xf>
    <xf numFmtId="180" fontId="1" fillId="0" borderId="1" xfId="0" applyNumberFormat="1" applyFont="1" applyFill="1" applyBorder="1" applyAlignment="1">
      <alignment horizontal="center" vertical="center"/>
    </xf>
    <xf numFmtId="179" fontId="1" fillId="0" borderId="4" xfId="0" applyNumberFormat="1" applyFont="1" applyFill="1" applyBorder="1" applyAlignment="1">
      <alignment horizontal="center" vertical="center"/>
    </xf>
    <xf numFmtId="179" fontId="1" fillId="0" borderId="3" xfId="0" applyNumberFormat="1" applyFont="1" applyFill="1" applyBorder="1" applyAlignment="1">
      <alignment horizontal="center" vertical="center"/>
    </xf>
    <xf numFmtId="179" fontId="1" fillId="0" borderId="7" xfId="0" applyNumberFormat="1" applyFont="1" applyFill="1" applyBorder="1" applyAlignment="1">
      <alignment horizontal="center" vertical="center"/>
    </xf>
    <xf numFmtId="49" fontId="1" fillId="0" borderId="4" xfId="0" applyNumberFormat="1" applyFont="1" applyFill="1" applyBorder="1" applyAlignment="1">
      <alignment horizontal="center" vertical="center"/>
    </xf>
    <xf numFmtId="49" fontId="1" fillId="0" borderId="3" xfId="0" applyNumberFormat="1" applyFont="1" applyFill="1" applyBorder="1" applyAlignment="1">
      <alignment horizontal="center" vertical="center"/>
    </xf>
    <xf numFmtId="49" fontId="1" fillId="0" borderId="7" xfId="0" applyNumberFormat="1" applyFont="1" applyFill="1" applyBorder="1" applyAlignment="1">
      <alignment horizontal="center" vertical="center"/>
    </xf>
    <xf numFmtId="0" fontId="1" fillId="0" borderId="5" xfId="0" applyNumberFormat="1" applyFont="1" applyBorder="1" applyAlignment="1">
      <alignment horizontal="center" vertical="center"/>
    </xf>
    <xf numFmtId="0" fontId="1" fillId="0" borderId="16" xfId="0" applyNumberFormat="1" applyFont="1" applyBorder="1" applyAlignment="1">
      <alignment horizontal="center" vertical="center"/>
    </xf>
    <xf numFmtId="0" fontId="1" fillId="0" borderId="11" xfId="0" applyNumberFormat="1" applyFont="1" applyBorder="1" applyAlignment="1">
      <alignment horizontal="center" vertical="center"/>
    </xf>
    <xf numFmtId="0" fontId="1" fillId="0" borderId="6" xfId="0" applyNumberFormat="1" applyFont="1" applyBorder="1" applyAlignment="1">
      <alignment horizontal="center" vertical="center"/>
    </xf>
    <xf numFmtId="0" fontId="1" fillId="0" borderId="10" xfId="0" applyNumberFormat="1" applyFont="1" applyBorder="1" applyAlignment="1">
      <alignment horizontal="center" vertical="center"/>
    </xf>
    <xf numFmtId="0" fontId="1" fillId="0" borderId="13" xfId="0" applyNumberFormat="1" applyFont="1" applyBorder="1" applyAlignment="1">
      <alignment horizontal="center" vertical="center"/>
    </xf>
    <xf numFmtId="176" fontId="1" fillId="0" borderId="1" xfId="0" applyNumberFormat="1" applyFont="1" applyFill="1" applyBorder="1" applyAlignment="1">
      <alignment horizontal="center" vertical="center"/>
    </xf>
    <xf numFmtId="49" fontId="27" fillId="0" borderId="4" xfId="0" applyNumberFormat="1" applyFont="1" applyBorder="1" applyAlignment="1">
      <alignment horizontal="center" vertical="center"/>
    </xf>
    <xf numFmtId="49" fontId="27" fillId="0" borderId="3" xfId="0" applyNumberFormat="1" applyFont="1" applyBorder="1" applyAlignment="1">
      <alignment horizontal="center" vertical="center"/>
    </xf>
    <xf numFmtId="49" fontId="27" fillId="0" borderId="7" xfId="0" applyNumberFormat="1" applyFont="1" applyBorder="1" applyAlignment="1">
      <alignment horizontal="center" vertical="center"/>
    </xf>
    <xf numFmtId="0" fontId="1" fillId="0" borderId="10" xfId="0" applyNumberFormat="1" applyFont="1" applyFill="1" applyBorder="1" applyAlignment="1">
      <alignment horizontal="center" vertical="center"/>
    </xf>
    <xf numFmtId="0" fontId="1" fillId="0" borderId="13" xfId="0" applyNumberFormat="1" applyFont="1" applyFill="1" applyBorder="1" applyAlignment="1">
      <alignment horizontal="center" vertical="center"/>
    </xf>
    <xf numFmtId="0" fontId="1" fillId="0" borderId="5" xfId="0" applyNumberFormat="1" applyFont="1" applyFill="1" applyBorder="1" applyAlignment="1">
      <alignment horizontal="center" vertical="center"/>
    </xf>
    <xf numFmtId="0" fontId="1" fillId="0" borderId="16" xfId="0" applyNumberFormat="1" applyFont="1" applyFill="1" applyBorder="1" applyAlignment="1">
      <alignment horizontal="center" vertical="center"/>
    </xf>
    <xf numFmtId="0" fontId="1" fillId="0" borderId="11" xfId="0" applyNumberFormat="1" applyFont="1" applyFill="1" applyBorder="1" applyAlignment="1">
      <alignment horizontal="center" vertical="center"/>
    </xf>
    <xf numFmtId="0" fontId="1" fillId="0" borderId="6" xfId="0" applyNumberFormat="1" applyFont="1" applyFill="1" applyBorder="1" applyAlignment="1">
      <alignment horizontal="center" vertical="center"/>
    </xf>
    <xf numFmtId="181" fontId="1" fillId="0" borderId="1" xfId="0" applyNumberFormat="1" applyFont="1" applyFill="1" applyBorder="1" applyAlignment="1">
      <alignment horizontal="center" vertical="center"/>
    </xf>
    <xf numFmtId="176" fontId="1" fillId="0" borderId="10" xfId="0" applyNumberFormat="1" applyFont="1" applyFill="1" applyBorder="1" applyAlignment="1">
      <alignment horizontal="center" vertical="center"/>
    </xf>
    <xf numFmtId="176" fontId="1" fillId="0" borderId="14" xfId="0" applyNumberFormat="1" applyFont="1" applyFill="1" applyBorder="1" applyAlignment="1">
      <alignment horizontal="center" vertical="center"/>
    </xf>
    <xf numFmtId="176" fontId="1" fillId="0" borderId="13" xfId="0" applyNumberFormat="1" applyFont="1" applyFill="1" applyBorder="1" applyAlignment="1">
      <alignment horizontal="center" vertical="center"/>
    </xf>
    <xf numFmtId="176" fontId="1" fillId="0" borderId="5" xfId="0" applyNumberFormat="1" applyFont="1" applyFill="1" applyBorder="1" applyAlignment="1">
      <alignment horizontal="center" vertical="center"/>
    </xf>
    <xf numFmtId="176" fontId="1" fillId="0" borderId="0" xfId="0" applyNumberFormat="1" applyFont="1" applyFill="1" applyBorder="1" applyAlignment="1">
      <alignment horizontal="center" vertical="center"/>
    </xf>
    <xf numFmtId="176" fontId="1" fillId="0" borderId="16" xfId="0" applyNumberFormat="1" applyFont="1" applyFill="1" applyBorder="1" applyAlignment="1">
      <alignment horizontal="center" vertical="center"/>
    </xf>
    <xf numFmtId="176" fontId="1" fillId="0" borderId="11" xfId="0" applyNumberFormat="1" applyFont="1" applyFill="1" applyBorder="1" applyAlignment="1">
      <alignment horizontal="center" vertical="center"/>
    </xf>
    <xf numFmtId="176" fontId="1" fillId="0" borderId="2" xfId="0" applyNumberFormat="1" applyFont="1" applyFill="1" applyBorder="1" applyAlignment="1">
      <alignment horizontal="center" vertical="center"/>
    </xf>
    <xf numFmtId="176" fontId="1" fillId="0" borderId="6" xfId="0" applyNumberFormat="1" applyFont="1" applyFill="1" applyBorder="1" applyAlignment="1">
      <alignment horizontal="center" vertical="center"/>
    </xf>
    <xf numFmtId="49" fontId="1" fillId="0" borderId="4" xfId="0" applyNumberFormat="1" applyFont="1" applyBorder="1" applyAlignment="1">
      <alignment horizontal="center" vertical="center" wrapText="1"/>
    </xf>
    <xf numFmtId="49" fontId="1" fillId="0" borderId="7" xfId="0" applyNumberFormat="1" applyFont="1" applyBorder="1" applyAlignment="1">
      <alignment horizontal="center" vertical="center" wrapText="1"/>
    </xf>
    <xf numFmtId="49" fontId="1" fillId="0" borderId="4" xfId="0" applyNumberFormat="1" applyFont="1" applyBorder="1" applyAlignment="1">
      <alignment horizontal="center" vertical="center"/>
    </xf>
    <xf numFmtId="49" fontId="1" fillId="0" borderId="7" xfId="0" applyNumberFormat="1" applyFont="1" applyBorder="1" applyAlignment="1">
      <alignment horizontal="center" vertical="center"/>
    </xf>
    <xf numFmtId="49" fontId="1" fillId="0" borderId="3" xfId="0" applyNumberFormat="1" applyFont="1" applyBorder="1" applyAlignment="1">
      <alignment horizontal="center" vertical="center"/>
    </xf>
    <xf numFmtId="271" fontId="1" fillId="0" borderId="4" xfId="0" applyNumberFormat="1" applyFont="1" applyBorder="1" applyAlignment="1">
      <alignment horizontal="center" vertical="center"/>
    </xf>
    <xf numFmtId="271" fontId="1" fillId="0" borderId="3" xfId="0" applyNumberFormat="1" applyFont="1" applyBorder="1" applyAlignment="1">
      <alignment horizontal="center" vertical="center"/>
    </xf>
    <xf numFmtId="271" fontId="1" fillId="0" borderId="7" xfId="0" applyNumberFormat="1" applyFont="1" applyBorder="1" applyAlignment="1">
      <alignment horizontal="center" vertical="center"/>
    </xf>
    <xf numFmtId="49" fontId="16" fillId="0" borderId="4" xfId="0" applyNumberFormat="1" applyFont="1" applyBorder="1" applyAlignment="1">
      <alignment horizontal="center" vertical="center"/>
    </xf>
    <xf numFmtId="0" fontId="16" fillId="0" borderId="3" xfId="0" applyNumberFormat="1" applyFont="1" applyBorder="1" applyAlignment="1">
      <alignment horizontal="center" vertical="center"/>
    </xf>
    <xf numFmtId="0" fontId="16" fillId="0" borderId="7" xfId="0" applyNumberFormat="1" applyFont="1" applyBorder="1" applyAlignment="1">
      <alignment horizontal="center" vertical="center"/>
    </xf>
    <xf numFmtId="180" fontId="16" fillId="0" borderId="4" xfId="0" applyNumberFormat="1" applyFont="1" applyBorder="1" applyAlignment="1">
      <alignment horizontal="center" vertical="center"/>
    </xf>
    <xf numFmtId="180" fontId="16" fillId="0" borderId="3" xfId="0" applyNumberFormat="1" applyFont="1" applyBorder="1" applyAlignment="1">
      <alignment horizontal="center" vertical="center"/>
    </xf>
    <xf numFmtId="180" fontId="16" fillId="0" borderId="7" xfId="0" applyNumberFormat="1" applyFont="1" applyBorder="1" applyAlignment="1">
      <alignment horizontal="center" vertical="center"/>
    </xf>
    <xf numFmtId="181" fontId="16" fillId="2" borderId="1" xfId="0" applyNumberFormat="1" applyFont="1" applyFill="1" applyBorder="1" applyAlignment="1">
      <alignment horizontal="center" vertical="center"/>
    </xf>
    <xf numFmtId="179" fontId="16" fillId="0" borderId="4" xfId="0" applyNumberFormat="1" applyFont="1" applyBorder="1" applyAlignment="1">
      <alignment horizontal="center" vertical="center"/>
    </xf>
    <xf numFmtId="179" fontId="16" fillId="0" borderId="3" xfId="0" applyNumberFormat="1" applyFont="1" applyBorder="1" applyAlignment="1">
      <alignment horizontal="center" vertical="center"/>
    </xf>
    <xf numFmtId="179" fontId="16" fillId="0" borderId="7" xfId="0" applyNumberFormat="1" applyFont="1" applyBorder="1" applyAlignment="1">
      <alignment horizontal="center" vertical="center"/>
    </xf>
    <xf numFmtId="179" fontId="16" fillId="2" borderId="4" xfId="0" applyNumberFormat="1" applyFont="1" applyFill="1" applyBorder="1" applyAlignment="1">
      <alignment horizontal="center" vertical="center"/>
    </xf>
    <xf numFmtId="179" fontId="16" fillId="2" borderId="3" xfId="0" applyNumberFormat="1" applyFont="1" applyFill="1" applyBorder="1" applyAlignment="1">
      <alignment horizontal="center" vertical="center"/>
    </xf>
    <xf numFmtId="179" fontId="16" fillId="2" borderId="7" xfId="0" applyNumberFormat="1" applyFont="1" applyFill="1" applyBorder="1" applyAlignment="1">
      <alignment horizontal="center" vertical="center"/>
    </xf>
    <xf numFmtId="181" fontId="16" fillId="0" borderId="1" xfId="0" applyNumberFormat="1" applyFont="1" applyBorder="1" applyAlignment="1">
      <alignment horizontal="center" vertical="center"/>
    </xf>
    <xf numFmtId="186" fontId="16" fillId="0" borderId="1" xfId="0" applyNumberFormat="1" applyFont="1" applyBorder="1" applyAlignment="1">
      <alignment horizontal="center" vertical="center"/>
    </xf>
    <xf numFmtId="49" fontId="16" fillId="0" borderId="1" xfId="0" applyNumberFormat="1" applyFont="1" applyBorder="1" applyAlignment="1">
      <alignment horizontal="center" vertical="center"/>
    </xf>
    <xf numFmtId="176" fontId="16" fillId="0" borderId="1" xfId="0" applyNumberFormat="1" applyFont="1" applyBorder="1" applyAlignment="1">
      <alignment horizontal="center" vertical="center"/>
    </xf>
    <xf numFmtId="49" fontId="41" fillId="0" borderId="4" xfId="0" applyNumberFormat="1" applyFont="1" applyBorder="1" applyAlignment="1">
      <alignment horizontal="center" vertical="center"/>
    </xf>
    <xf numFmtId="49" fontId="41" fillId="0" borderId="3" xfId="0" applyNumberFormat="1" applyFont="1" applyBorder="1" applyAlignment="1">
      <alignment horizontal="center" vertical="center"/>
    </xf>
    <xf numFmtId="49" fontId="41" fillId="0" borderId="7" xfId="0" applyNumberFormat="1" applyFont="1" applyBorder="1" applyAlignment="1">
      <alignment horizontal="center" vertical="center"/>
    </xf>
    <xf numFmtId="0" fontId="16" fillId="0" borderId="10" xfId="0" applyNumberFormat="1" applyFont="1" applyBorder="1" applyAlignment="1">
      <alignment horizontal="center" vertical="center"/>
    </xf>
    <xf numFmtId="0" fontId="16" fillId="0" borderId="13" xfId="0" applyNumberFormat="1" applyFont="1" applyBorder="1" applyAlignment="1">
      <alignment horizontal="center" vertical="center"/>
    </xf>
    <xf numFmtId="0" fontId="16" fillId="0" borderId="5" xfId="0" applyNumberFormat="1" applyFont="1" applyBorder="1" applyAlignment="1">
      <alignment horizontal="center" vertical="center"/>
    </xf>
    <xf numFmtId="0" fontId="16" fillId="0" borderId="16" xfId="0" applyNumberFormat="1" applyFont="1" applyBorder="1" applyAlignment="1">
      <alignment horizontal="center" vertical="center"/>
    </xf>
    <xf numFmtId="0" fontId="16" fillId="0" borderId="11" xfId="0" applyNumberFormat="1" applyFont="1" applyBorder="1" applyAlignment="1">
      <alignment horizontal="center" vertical="center"/>
    </xf>
    <xf numFmtId="0" fontId="16" fillId="0" borderId="6" xfId="0" applyNumberFormat="1" applyFont="1" applyBorder="1" applyAlignment="1">
      <alignment horizontal="center" vertical="center"/>
    </xf>
    <xf numFmtId="176" fontId="16" fillId="0" borderId="10" xfId="0" applyNumberFormat="1" applyFont="1" applyBorder="1" applyAlignment="1">
      <alignment horizontal="center" vertical="center"/>
    </xf>
    <xf numFmtId="176" fontId="16" fillId="0" borderId="14" xfId="0" applyNumberFormat="1" applyFont="1" applyBorder="1" applyAlignment="1">
      <alignment horizontal="center" vertical="center"/>
    </xf>
    <xf numFmtId="176" fontId="16" fillId="0" borderId="13" xfId="0" applyNumberFormat="1" applyFont="1" applyBorder="1" applyAlignment="1">
      <alignment horizontal="center" vertical="center"/>
    </xf>
    <xf numFmtId="176" fontId="16" fillId="0" borderId="5" xfId="0" applyNumberFormat="1" applyFont="1" applyBorder="1" applyAlignment="1">
      <alignment horizontal="center" vertical="center"/>
    </xf>
    <xf numFmtId="176" fontId="16" fillId="0" borderId="0" xfId="0" applyNumberFormat="1" applyFont="1" applyBorder="1" applyAlignment="1">
      <alignment horizontal="center" vertical="center"/>
    </xf>
    <xf numFmtId="176" fontId="16" fillId="0" borderId="16" xfId="0" applyNumberFormat="1" applyFont="1" applyBorder="1" applyAlignment="1">
      <alignment horizontal="center" vertical="center"/>
    </xf>
    <xf numFmtId="176" fontId="16" fillId="0" borderId="11" xfId="0" applyNumberFormat="1" applyFont="1" applyBorder="1" applyAlignment="1">
      <alignment horizontal="center" vertical="center"/>
    </xf>
    <xf numFmtId="176" fontId="16" fillId="0" borderId="2" xfId="0" applyNumberFormat="1" applyFont="1" applyBorder="1" applyAlignment="1">
      <alignment horizontal="center" vertical="center"/>
    </xf>
    <xf numFmtId="176" fontId="16" fillId="0" borderId="6" xfId="0" applyNumberFormat="1" applyFont="1" applyBorder="1" applyAlignment="1">
      <alignment horizontal="center" vertical="center"/>
    </xf>
    <xf numFmtId="0" fontId="1" fillId="0" borderId="4" xfId="0" applyNumberFormat="1" applyFont="1" applyBorder="1" applyAlignment="1">
      <alignment horizontal="center" vertical="center" wrapText="1"/>
    </xf>
    <xf numFmtId="0" fontId="16" fillId="0" borderId="7" xfId="0" applyNumberFormat="1" applyFont="1" applyBorder="1" applyAlignment="1">
      <alignment horizontal="center" vertical="center" wrapText="1"/>
    </xf>
    <xf numFmtId="49" fontId="16" fillId="0" borderId="7" xfId="0" applyNumberFormat="1" applyFont="1" applyBorder="1" applyAlignment="1">
      <alignment horizontal="center" vertical="center"/>
    </xf>
    <xf numFmtId="49" fontId="16" fillId="0" borderId="3" xfId="0" applyNumberFormat="1" applyFont="1" applyBorder="1" applyAlignment="1">
      <alignment horizontal="center" vertical="center"/>
    </xf>
    <xf numFmtId="271" fontId="16" fillId="0" borderId="4" xfId="0" applyNumberFormat="1" applyFont="1" applyBorder="1" applyAlignment="1">
      <alignment horizontal="center" vertical="center"/>
    </xf>
    <xf numFmtId="271" fontId="16" fillId="0" borderId="3" xfId="0" applyNumberFormat="1" applyFont="1" applyBorder="1" applyAlignment="1">
      <alignment horizontal="center" vertical="center"/>
    </xf>
    <xf numFmtId="271" fontId="16" fillId="0" borderId="7" xfId="0" applyNumberFormat="1" applyFont="1" applyBorder="1" applyAlignment="1">
      <alignment horizontal="center" vertical="center"/>
    </xf>
    <xf numFmtId="0" fontId="32" fillId="4" borderId="1" xfId="0" applyFont="1" applyFill="1" applyBorder="1" applyAlignment="1">
      <alignment horizontal="center" vertical="center"/>
    </xf>
    <xf numFmtId="0" fontId="35" fillId="22" borderId="1" xfId="0" applyFont="1" applyFill="1" applyBorder="1" applyAlignment="1">
      <alignment horizontal="center" vertical="center"/>
    </xf>
    <xf numFmtId="0" fontId="32" fillId="22" borderId="1" xfId="0" applyFont="1" applyFill="1" applyBorder="1">
      <alignment vertical="center"/>
    </xf>
    <xf numFmtId="0" fontId="35" fillId="4" borderId="1" xfId="0" applyFont="1" applyFill="1" applyBorder="1" applyAlignment="1">
      <alignment horizontal="center" vertical="center"/>
    </xf>
    <xf numFmtId="0" fontId="32" fillId="4" borderId="1" xfId="0" applyFont="1" applyFill="1" applyBorder="1">
      <alignment vertical="center"/>
    </xf>
    <xf numFmtId="0" fontId="41" fillId="8" borderId="1" xfId="0" applyFont="1" applyFill="1" applyBorder="1" applyAlignment="1">
      <alignment horizontal="center" vertical="center"/>
    </xf>
    <xf numFmtId="0" fontId="16" fillId="8" borderId="1" xfId="0" applyFont="1" applyFill="1" applyBorder="1">
      <alignment vertical="center"/>
    </xf>
    <xf numFmtId="0" fontId="16" fillId="8" borderId="1" xfId="0" applyFont="1" applyFill="1" applyBorder="1" applyAlignment="1">
      <alignment horizontal="center" vertical="center"/>
    </xf>
    <xf numFmtId="0" fontId="32" fillId="4" borderId="10" xfId="0" applyFont="1" applyFill="1" applyBorder="1" applyAlignment="1">
      <alignment horizontal="center" vertical="center"/>
    </xf>
    <xf numFmtId="0" fontId="32" fillId="4" borderId="13" xfId="0" applyFont="1" applyFill="1" applyBorder="1" applyAlignment="1">
      <alignment horizontal="center" vertical="center"/>
    </xf>
    <xf numFmtId="0" fontId="32" fillId="4" borderId="11" xfId="0" applyFont="1" applyFill="1" applyBorder="1" applyAlignment="1">
      <alignment horizontal="center" vertical="center"/>
    </xf>
    <xf numFmtId="0" fontId="32" fillId="4" borderId="6" xfId="0" applyFont="1" applyFill="1" applyBorder="1" applyAlignment="1">
      <alignment horizontal="center" vertical="center"/>
    </xf>
    <xf numFmtId="0" fontId="32" fillId="22" borderId="1" xfId="0" applyFont="1" applyFill="1" applyBorder="1" applyAlignment="1">
      <alignment horizontal="center" vertical="center"/>
    </xf>
    <xf numFmtId="0" fontId="1" fillId="8" borderId="1" xfId="0" applyFont="1" applyFill="1" applyBorder="1" applyAlignment="1">
      <alignment horizontal="center" vertical="center"/>
    </xf>
    <xf numFmtId="0" fontId="32" fillId="8" borderId="1" xfId="0" applyFont="1" applyFill="1" applyBorder="1" applyAlignment="1">
      <alignment horizontal="center" vertical="center"/>
    </xf>
    <xf numFmtId="0" fontId="35" fillId="8" borderId="1" xfId="0" applyFont="1" applyFill="1" applyBorder="1" applyAlignment="1">
      <alignment horizontal="center" vertical="center"/>
    </xf>
    <xf numFmtId="0" fontId="41" fillId="8" borderId="4" xfId="0" applyFont="1" applyFill="1" applyBorder="1" applyAlignment="1">
      <alignment horizontal="center" vertical="center"/>
    </xf>
    <xf numFmtId="0" fontId="41" fillId="8" borderId="7" xfId="0" applyFont="1" applyFill="1" applyBorder="1" applyAlignment="1">
      <alignment horizontal="center" vertical="center"/>
    </xf>
    <xf numFmtId="0" fontId="41" fillId="8" borderId="4" xfId="0" applyFont="1" applyFill="1" applyBorder="1" applyAlignment="1">
      <alignment vertical="center"/>
    </xf>
    <xf numFmtId="0" fontId="16" fillId="8" borderId="7" xfId="0" applyFont="1" applyFill="1" applyBorder="1" applyAlignment="1">
      <alignment vertical="center"/>
    </xf>
    <xf numFmtId="176" fontId="32" fillId="22" borderId="1" xfId="0" applyNumberFormat="1" applyFont="1" applyFill="1" applyBorder="1" applyAlignment="1">
      <alignment horizontal="center" vertical="center"/>
    </xf>
    <xf numFmtId="178" fontId="32" fillId="16" borderId="1" xfId="0" applyNumberFormat="1" applyFont="1" applyFill="1" applyBorder="1" applyAlignment="1">
      <alignment horizontal="center" vertical="center"/>
    </xf>
    <xf numFmtId="179" fontId="32" fillId="16" borderId="1" xfId="0" applyNumberFormat="1" applyFont="1" applyFill="1" applyBorder="1" applyAlignment="1">
      <alignment horizontal="center" vertical="center"/>
    </xf>
    <xf numFmtId="0" fontId="1" fillId="8" borderId="4" xfId="0" applyFont="1" applyFill="1" applyBorder="1" applyAlignment="1">
      <alignment horizontal="center" vertical="center"/>
    </xf>
    <xf numFmtId="0" fontId="32" fillId="8" borderId="7" xfId="0" applyFont="1" applyFill="1" applyBorder="1" applyAlignment="1">
      <alignment horizontal="center" vertical="center"/>
    </xf>
    <xf numFmtId="0" fontId="27" fillId="8" borderId="1" xfId="0" applyFont="1" applyFill="1" applyBorder="1" applyAlignment="1">
      <alignment horizontal="center" vertical="center"/>
    </xf>
    <xf numFmtId="0" fontId="32" fillId="5" borderId="1" xfId="0" applyFont="1" applyFill="1" applyBorder="1" applyAlignment="1">
      <alignment horizontal="center" vertical="center"/>
    </xf>
    <xf numFmtId="179" fontId="32" fillId="4" borderId="1" xfId="0" applyNumberFormat="1" applyFont="1" applyFill="1" applyBorder="1" applyAlignment="1">
      <alignment horizontal="center" vertical="center"/>
    </xf>
    <xf numFmtId="0" fontId="67" fillId="22" borderId="10" xfId="0" applyFont="1" applyFill="1" applyBorder="1" applyAlignment="1">
      <alignment horizontal="center" vertical="center" wrapText="1"/>
    </xf>
    <xf numFmtId="0" fontId="32" fillId="22" borderId="13" xfId="0" applyFont="1" applyFill="1" applyBorder="1" applyAlignment="1">
      <alignment horizontal="center" vertical="center" wrapText="1"/>
    </xf>
    <xf numFmtId="0" fontId="32" fillId="22" borderId="11" xfId="0" applyFont="1" applyFill="1" applyBorder="1" applyAlignment="1">
      <alignment horizontal="center" vertical="center" wrapText="1"/>
    </xf>
    <xf numFmtId="0" fontId="32" fillId="22" borderId="6" xfId="0" applyFont="1" applyFill="1" applyBorder="1" applyAlignment="1">
      <alignment horizontal="center" vertical="center" wrapText="1"/>
    </xf>
    <xf numFmtId="176" fontId="32" fillId="5" borderId="1" xfId="0" applyNumberFormat="1" applyFont="1" applyFill="1" applyBorder="1" applyAlignment="1">
      <alignment horizontal="center" vertical="center"/>
    </xf>
    <xf numFmtId="0" fontId="1" fillId="0" borderId="0" xfId="0" applyFont="1" applyAlignment="1">
      <alignment horizontal="left" vertical="center"/>
    </xf>
    <xf numFmtId="0" fontId="32" fillId="0" borderId="0" xfId="0" applyFont="1" applyAlignment="1">
      <alignment horizontal="left" vertical="center"/>
    </xf>
    <xf numFmtId="176" fontId="16" fillId="0" borderId="4" xfId="0" applyNumberFormat="1" applyFont="1" applyBorder="1" applyAlignment="1">
      <alignment horizontal="center" vertical="center"/>
    </xf>
    <xf numFmtId="176" fontId="16" fillId="0" borderId="7" xfId="0" applyNumberFormat="1" applyFont="1" applyBorder="1" applyAlignment="1">
      <alignment horizontal="center" vertical="center"/>
    </xf>
    <xf numFmtId="0" fontId="16" fillId="0" borderId="10" xfId="0" applyFont="1" applyBorder="1" applyAlignment="1">
      <alignment horizontal="center" vertical="center"/>
    </xf>
    <xf numFmtId="0" fontId="16" fillId="0" borderId="13" xfId="0" applyFont="1" applyBorder="1" applyAlignment="1">
      <alignment horizontal="center" vertical="center"/>
    </xf>
    <xf numFmtId="180" fontId="16" fillId="2" borderId="4" xfId="0" applyNumberFormat="1" applyFont="1" applyFill="1" applyBorder="1" applyAlignment="1">
      <alignment horizontal="center" vertical="center"/>
    </xf>
    <xf numFmtId="180" fontId="16" fillId="2" borderId="7" xfId="0" applyNumberFormat="1" applyFont="1" applyFill="1" applyBorder="1" applyAlignment="1">
      <alignment horizontal="center" vertical="center"/>
    </xf>
    <xf numFmtId="179" fontId="16" fillId="2" borderId="1" xfId="0" applyNumberFormat="1" applyFont="1" applyFill="1" applyBorder="1" applyAlignment="1">
      <alignment horizontal="center" vertical="center"/>
    </xf>
    <xf numFmtId="179" fontId="16" fillId="0" borderId="1" xfId="0" applyNumberFormat="1" applyFont="1" applyBorder="1" applyAlignment="1">
      <alignment horizontal="center" vertical="center"/>
    </xf>
    <xf numFmtId="0" fontId="16" fillId="0" borderId="1" xfId="0" applyFont="1" applyBorder="1" applyAlignment="1">
      <alignment horizontal="center" vertical="center" wrapText="1"/>
    </xf>
    <xf numFmtId="0" fontId="41" fillId="0" borderId="1" xfId="0" applyFont="1" applyBorder="1" applyAlignment="1">
      <alignment horizontal="center" vertical="center" wrapText="1"/>
    </xf>
    <xf numFmtId="0" fontId="16" fillId="0" borderId="4" xfId="0" applyFont="1" applyBorder="1" applyAlignment="1">
      <alignment horizontal="center" vertical="center" wrapText="1"/>
    </xf>
    <xf numFmtId="0" fontId="16" fillId="0" borderId="7" xfId="0" applyFont="1" applyBorder="1" applyAlignment="1">
      <alignment horizontal="center" vertical="center" wrapText="1"/>
    </xf>
    <xf numFmtId="0" fontId="32" fillId="22" borderId="10" xfId="0" applyFont="1" applyFill="1" applyBorder="1" applyAlignment="1">
      <alignment horizontal="center" vertical="center"/>
    </xf>
    <xf numFmtId="0" fontId="32" fillId="22" borderId="5" xfId="0" applyFont="1" applyFill="1" applyBorder="1" applyAlignment="1">
      <alignment horizontal="center" vertical="center"/>
    </xf>
    <xf numFmtId="0" fontId="32" fillId="22" borderId="11" xfId="0" applyFont="1" applyFill="1" applyBorder="1" applyAlignment="1">
      <alignment horizontal="center" vertical="center"/>
    </xf>
    <xf numFmtId="182" fontId="32" fillId="22" borderId="13" xfId="0" applyNumberFormat="1" applyFont="1" applyFill="1" applyBorder="1" applyAlignment="1">
      <alignment horizontal="center" vertical="center"/>
    </xf>
    <xf numFmtId="182" fontId="32" fillId="22" borderId="16" xfId="0" applyNumberFormat="1" applyFont="1" applyFill="1" applyBorder="1" applyAlignment="1">
      <alignment horizontal="center" vertical="center"/>
    </xf>
    <xf numFmtId="182" fontId="32" fillId="22" borderId="6" xfId="0" applyNumberFormat="1" applyFont="1" applyFill="1" applyBorder="1" applyAlignment="1">
      <alignment horizontal="center" vertical="center"/>
    </xf>
    <xf numFmtId="179" fontId="32" fillId="4" borderId="4" xfId="0" applyNumberFormat="1" applyFont="1" applyFill="1" applyBorder="1" applyAlignment="1">
      <alignment horizontal="center" vertical="center"/>
    </xf>
    <xf numFmtId="179" fontId="32" fillId="4" borderId="7" xfId="0" applyNumberFormat="1" applyFont="1" applyFill="1" applyBorder="1" applyAlignment="1">
      <alignment horizontal="center" vertical="center"/>
    </xf>
    <xf numFmtId="180" fontId="32" fillId="16" borderId="4" xfId="0" applyNumberFormat="1" applyFont="1" applyFill="1" applyBorder="1" applyAlignment="1">
      <alignment horizontal="center" vertical="center"/>
    </xf>
    <xf numFmtId="180" fontId="32" fillId="16" borderId="7" xfId="0" applyNumberFormat="1" applyFont="1" applyFill="1" applyBorder="1" applyAlignment="1">
      <alignment horizontal="center" vertical="center"/>
    </xf>
    <xf numFmtId="0" fontId="32" fillId="22" borderId="13" xfId="0" applyFont="1" applyFill="1" applyBorder="1" applyAlignment="1">
      <alignment horizontal="center" vertical="center"/>
    </xf>
    <xf numFmtId="0" fontId="32" fillId="22" borderId="16" xfId="0" applyFont="1" applyFill="1" applyBorder="1" applyAlignment="1">
      <alignment horizontal="center" vertical="center"/>
    </xf>
    <xf numFmtId="176" fontId="32" fillId="22" borderId="10" xfId="0" applyNumberFormat="1" applyFont="1" applyFill="1" applyBorder="1" applyAlignment="1">
      <alignment horizontal="center" vertical="center"/>
    </xf>
    <xf numFmtId="176" fontId="32" fillId="22" borderId="13" xfId="0" applyNumberFormat="1" applyFont="1" applyFill="1" applyBorder="1" applyAlignment="1">
      <alignment horizontal="center" vertical="center"/>
    </xf>
    <xf numFmtId="176" fontId="32" fillId="22" borderId="5" xfId="0" applyNumberFormat="1" applyFont="1" applyFill="1" applyBorder="1" applyAlignment="1">
      <alignment horizontal="center" vertical="center"/>
    </xf>
    <xf numFmtId="176" fontId="32" fillId="22" borderId="16" xfId="0" applyNumberFormat="1" applyFont="1" applyFill="1" applyBorder="1" applyAlignment="1">
      <alignment horizontal="center" vertical="center"/>
    </xf>
    <xf numFmtId="0" fontId="1" fillId="8" borderId="1" xfId="0" applyFont="1" applyFill="1" applyBorder="1" applyAlignment="1">
      <alignment horizontal="center" vertical="center" wrapText="1"/>
    </xf>
    <xf numFmtId="0" fontId="32" fillId="8" borderId="1" xfId="0" applyFont="1" applyFill="1" applyBorder="1" applyAlignment="1">
      <alignment horizontal="center" vertical="center" wrapText="1"/>
    </xf>
    <xf numFmtId="0" fontId="27" fillId="8" borderId="1" xfId="0" applyFont="1" applyFill="1" applyBorder="1" applyAlignment="1">
      <alignment horizontal="center" vertical="center" wrapText="1"/>
    </xf>
    <xf numFmtId="0" fontId="67" fillId="8" borderId="4" xfId="0" applyFont="1" applyFill="1" applyBorder="1" applyAlignment="1">
      <alignment horizontal="center" vertical="center" wrapText="1"/>
    </xf>
    <xf numFmtId="0" fontId="32" fillId="8" borderId="7" xfId="0" applyFont="1" applyFill="1" applyBorder="1" applyAlignment="1">
      <alignment horizontal="center" vertical="center" wrapText="1"/>
    </xf>
    <xf numFmtId="176" fontId="32" fillId="0" borderId="1" xfId="0" applyNumberFormat="1" applyFont="1" applyBorder="1" applyAlignment="1">
      <alignment horizontal="center" vertical="center"/>
    </xf>
    <xf numFmtId="49" fontId="32" fillId="2" borderId="1" xfId="0" applyNumberFormat="1" applyFont="1" applyFill="1" applyBorder="1" applyAlignment="1">
      <alignment horizontal="center" vertical="center"/>
    </xf>
    <xf numFmtId="179" fontId="32" fillId="2" borderId="4" xfId="0" applyNumberFormat="1" applyFont="1" applyFill="1" applyBorder="1" applyAlignment="1">
      <alignment horizontal="center" vertical="center"/>
    </xf>
    <xf numFmtId="179" fontId="32" fillId="2" borderId="7" xfId="0" applyNumberFormat="1" applyFont="1" applyFill="1" applyBorder="1" applyAlignment="1">
      <alignment horizontal="center" vertical="center"/>
    </xf>
    <xf numFmtId="0" fontId="32" fillId="0" borderId="10" xfId="0" applyFont="1" applyBorder="1" applyAlignment="1">
      <alignment horizontal="center" vertical="center"/>
    </xf>
    <xf numFmtId="0" fontId="32" fillId="0" borderId="14" xfId="0" applyFont="1" applyBorder="1" applyAlignment="1">
      <alignment horizontal="center" vertical="center"/>
    </xf>
    <xf numFmtId="0" fontId="32" fillId="0" borderId="5" xfId="0" applyFont="1" applyBorder="1" applyAlignment="1">
      <alignment horizontal="center" vertical="center"/>
    </xf>
    <xf numFmtId="0" fontId="32" fillId="0" borderId="0" xfId="0" applyFont="1" applyBorder="1" applyAlignment="1">
      <alignment horizontal="center" vertical="center"/>
    </xf>
    <xf numFmtId="0" fontId="32" fillId="0" borderId="11" xfId="0" applyFont="1" applyBorder="1" applyAlignment="1">
      <alignment horizontal="center" vertical="center"/>
    </xf>
    <xf numFmtId="0" fontId="32" fillId="0" borderId="2" xfId="0" applyFont="1" applyBorder="1" applyAlignment="1">
      <alignment horizontal="center" vertical="center"/>
    </xf>
    <xf numFmtId="0" fontId="32" fillId="0" borderId="7" xfId="0" applyFont="1" applyBorder="1" applyAlignment="1">
      <alignment horizontal="center" vertical="center"/>
    </xf>
    <xf numFmtId="179" fontId="32" fillId="0" borderId="1" xfId="0" applyNumberFormat="1" applyFont="1" applyBorder="1" applyAlignment="1">
      <alignment horizontal="center" vertical="center"/>
    </xf>
    <xf numFmtId="180" fontId="32" fillId="0" borderId="1" xfId="0" applyNumberFormat="1" applyFont="1" applyBorder="1" applyAlignment="1">
      <alignment horizontal="center" vertical="center"/>
    </xf>
    <xf numFmtId="180" fontId="32" fillId="2" borderId="1" xfId="0" applyNumberFormat="1" applyFont="1" applyFill="1" applyBorder="1" applyAlignment="1">
      <alignment horizontal="center" vertical="center"/>
    </xf>
    <xf numFmtId="179" fontId="36" fillId="2" borderId="1" xfId="0" applyNumberFormat="1" applyFont="1" applyFill="1" applyBorder="1" applyAlignment="1">
      <alignment horizontal="center" vertical="center"/>
    </xf>
    <xf numFmtId="179" fontId="36" fillId="2" borderId="4" xfId="0" applyNumberFormat="1" applyFont="1" applyFill="1" applyBorder="1" applyAlignment="1">
      <alignment horizontal="center" vertical="center"/>
    </xf>
    <xf numFmtId="179" fontId="36" fillId="2" borderId="7" xfId="0" applyNumberFormat="1" applyFont="1" applyFill="1" applyBorder="1" applyAlignment="1">
      <alignment horizontal="center" vertical="center"/>
    </xf>
    <xf numFmtId="180" fontId="36" fillId="2" borderId="4" xfId="0" applyNumberFormat="1" applyFont="1" applyFill="1" applyBorder="1" applyAlignment="1">
      <alignment horizontal="center" vertical="center"/>
    </xf>
    <xf numFmtId="180" fontId="36" fillId="2" borderId="7" xfId="0" applyNumberFormat="1" applyFont="1" applyFill="1" applyBorder="1" applyAlignment="1">
      <alignment horizontal="center" vertical="center"/>
    </xf>
    <xf numFmtId="49" fontId="32" fillId="0" borderId="4" xfId="0" applyNumberFormat="1" applyFont="1" applyBorder="1" applyAlignment="1">
      <alignment horizontal="center" vertical="center"/>
    </xf>
    <xf numFmtId="49" fontId="32" fillId="0" borderId="7" xfId="0" applyNumberFormat="1" applyFont="1" applyBorder="1" applyAlignment="1">
      <alignment horizontal="center" vertical="center"/>
    </xf>
    <xf numFmtId="179" fontId="32" fillId="0" borderId="4" xfId="0" applyNumberFormat="1" applyFont="1" applyBorder="1" applyAlignment="1">
      <alignment horizontal="center" vertical="center"/>
    </xf>
    <xf numFmtId="179" fontId="32" fillId="0" borderId="7" xfId="0" applyNumberFormat="1" applyFont="1" applyBorder="1" applyAlignment="1">
      <alignment horizontal="center" vertical="center"/>
    </xf>
    <xf numFmtId="180" fontId="32" fillId="2" borderId="4" xfId="0" applyNumberFormat="1" applyFont="1" applyFill="1" applyBorder="1" applyAlignment="1">
      <alignment horizontal="center" vertical="center"/>
    </xf>
    <xf numFmtId="180" fontId="32" fillId="2" borderId="7" xfId="0" applyNumberFormat="1" applyFont="1" applyFill="1" applyBorder="1" applyAlignment="1">
      <alignment horizontal="center" vertical="center"/>
    </xf>
    <xf numFmtId="0" fontId="32" fillId="0" borderId="13" xfId="0" applyFont="1" applyBorder="1" applyAlignment="1">
      <alignment horizontal="center" vertical="center"/>
    </xf>
    <xf numFmtId="0" fontId="32" fillId="0" borderId="16" xfId="0" applyFont="1" applyBorder="1" applyAlignment="1">
      <alignment horizontal="center" vertical="center"/>
    </xf>
    <xf numFmtId="0" fontId="32" fillId="0" borderId="6" xfId="0" applyFont="1" applyBorder="1" applyAlignment="1">
      <alignment horizontal="center" vertical="center"/>
    </xf>
    <xf numFmtId="176" fontId="32" fillId="0" borderId="10" xfId="0" applyNumberFormat="1" applyFont="1" applyBorder="1" applyAlignment="1">
      <alignment horizontal="center" vertical="center"/>
    </xf>
    <xf numFmtId="0" fontId="0" fillId="0" borderId="13" xfId="0" applyBorder="1">
      <alignment vertical="center"/>
    </xf>
    <xf numFmtId="0" fontId="0" fillId="0" borderId="11" xfId="0" applyBorder="1">
      <alignment vertical="center"/>
    </xf>
    <xf numFmtId="0" fontId="0" fillId="0" borderId="6" xfId="0" applyBorder="1">
      <alignment vertical="center"/>
    </xf>
    <xf numFmtId="176" fontId="32" fillId="0" borderId="4" xfId="0" applyNumberFormat="1" applyFont="1" applyBorder="1" applyAlignment="1">
      <alignment horizontal="center" vertical="center"/>
    </xf>
    <xf numFmtId="0" fontId="0" fillId="0" borderId="7" xfId="0" applyBorder="1">
      <alignment vertical="center"/>
    </xf>
    <xf numFmtId="179" fontId="32" fillId="16" borderId="4" xfId="0" applyNumberFormat="1" applyFont="1" applyFill="1" applyBorder="1" applyAlignment="1">
      <alignment horizontal="center" vertical="center"/>
    </xf>
    <xf numFmtId="179" fontId="32" fillId="16" borderId="7" xfId="0" applyNumberFormat="1" applyFont="1" applyFill="1" applyBorder="1" applyAlignment="1">
      <alignment horizontal="center" vertical="center"/>
    </xf>
    <xf numFmtId="49" fontId="32" fillId="5" borderId="4" xfId="0" applyNumberFormat="1" applyFont="1" applyFill="1" applyBorder="1" applyAlignment="1">
      <alignment horizontal="center" vertical="center"/>
    </xf>
    <xf numFmtId="49" fontId="32" fillId="5" borderId="7" xfId="0" applyNumberFormat="1" applyFont="1" applyFill="1" applyBorder="1" applyAlignment="1">
      <alignment horizontal="center" vertical="center"/>
    </xf>
    <xf numFmtId="0" fontId="32" fillId="0" borderId="6" xfId="0" applyFont="1" applyFill="1" applyBorder="1" applyAlignment="1">
      <alignment horizontal="center" vertical="center" wrapText="1"/>
    </xf>
    <xf numFmtId="0" fontId="0" fillId="0" borderId="13" xfId="0" applyFill="1" applyBorder="1" applyAlignment="1">
      <alignment horizontal="center" vertical="center" wrapText="1"/>
    </xf>
    <xf numFmtId="0" fontId="0" fillId="0" borderId="9" xfId="0" applyFill="1" applyBorder="1" applyAlignment="1">
      <alignment horizontal="center" vertical="center" wrapText="1"/>
    </xf>
    <xf numFmtId="0" fontId="32" fillId="5" borderId="10" xfId="0" applyFont="1" applyFill="1" applyBorder="1" applyAlignment="1">
      <alignment horizontal="center" vertical="center"/>
    </xf>
    <xf numFmtId="0" fontId="32" fillId="5" borderId="13" xfId="0" applyFont="1" applyFill="1" applyBorder="1" applyAlignment="1">
      <alignment horizontal="center" vertical="center"/>
    </xf>
    <xf numFmtId="0" fontId="32" fillId="5" borderId="5" xfId="0" applyFont="1" applyFill="1" applyBorder="1" applyAlignment="1">
      <alignment horizontal="center" vertical="center"/>
    </xf>
    <xf numFmtId="0" fontId="32" fillId="5" borderId="16" xfId="0" applyFont="1" applyFill="1" applyBorder="1" applyAlignment="1">
      <alignment horizontal="center" vertical="center"/>
    </xf>
    <xf numFmtId="0" fontId="32" fillId="5" borderId="11" xfId="0" applyFont="1" applyFill="1" applyBorder="1" applyAlignment="1">
      <alignment horizontal="center" vertical="center"/>
    </xf>
    <xf numFmtId="0" fontId="32" fillId="5" borderId="6" xfId="0" applyFont="1" applyFill="1" applyBorder="1" applyAlignment="1">
      <alignment horizontal="center" vertical="center"/>
    </xf>
    <xf numFmtId="0" fontId="41" fillId="8" borderId="1" xfId="0" applyFont="1" applyFill="1" applyBorder="1" applyAlignment="1">
      <alignment horizontal="center" vertical="center" wrapText="1"/>
    </xf>
    <xf numFmtId="0" fontId="0" fillId="5" borderId="14" xfId="0" applyFill="1" applyBorder="1">
      <alignment vertical="center"/>
    </xf>
    <xf numFmtId="0" fontId="0" fillId="5" borderId="5" xfId="0" applyFill="1" applyBorder="1">
      <alignment vertical="center"/>
    </xf>
    <xf numFmtId="0" fontId="0" fillId="5" borderId="0" xfId="0" applyFill="1" applyBorder="1">
      <alignment vertical="center"/>
    </xf>
    <xf numFmtId="0" fontId="0" fillId="5" borderId="11" xfId="0" applyFill="1" applyBorder="1">
      <alignment vertical="center"/>
    </xf>
    <xf numFmtId="0" fontId="0" fillId="5" borderId="2" xfId="0" applyFill="1" applyBorder="1">
      <alignment vertical="center"/>
    </xf>
    <xf numFmtId="176" fontId="32" fillId="5" borderId="10" xfId="0" applyNumberFormat="1" applyFont="1" applyFill="1" applyBorder="1" applyAlignment="1">
      <alignment horizontal="center" vertical="center"/>
    </xf>
    <xf numFmtId="176" fontId="32" fillId="5" borderId="13" xfId="0" applyNumberFormat="1" applyFont="1" applyFill="1" applyBorder="1" applyAlignment="1">
      <alignment horizontal="center" vertical="center"/>
    </xf>
    <xf numFmtId="176" fontId="32" fillId="5" borderId="5" xfId="0" applyNumberFormat="1" applyFont="1" applyFill="1" applyBorder="1" applyAlignment="1">
      <alignment horizontal="center" vertical="center"/>
    </xf>
    <xf numFmtId="176" fontId="32" fillId="5" borderId="16" xfId="0" applyNumberFormat="1" applyFont="1" applyFill="1" applyBorder="1" applyAlignment="1">
      <alignment horizontal="center" vertical="center"/>
    </xf>
    <xf numFmtId="176" fontId="32" fillId="5" borderId="11" xfId="0" applyNumberFormat="1" applyFont="1" applyFill="1" applyBorder="1" applyAlignment="1">
      <alignment horizontal="center" vertical="center"/>
    </xf>
    <xf numFmtId="176" fontId="32" fillId="5" borderId="6" xfId="0" applyNumberFormat="1" applyFont="1" applyFill="1" applyBorder="1" applyAlignment="1">
      <alignment horizontal="center" vertical="center"/>
    </xf>
    <xf numFmtId="0" fontId="1" fillId="8" borderId="4" xfId="0" applyFont="1" applyFill="1" applyBorder="1" applyAlignment="1">
      <alignment horizontal="center" vertical="center" wrapText="1"/>
    </xf>
    <xf numFmtId="0" fontId="128" fillId="0" borderId="1" xfId="0" applyFont="1" applyBorder="1" applyAlignment="1">
      <alignment horizontal="center" vertical="center"/>
    </xf>
    <xf numFmtId="0" fontId="16" fillId="0" borderId="1" xfId="0" applyFont="1" applyBorder="1" applyAlignment="1">
      <alignment horizontal="center" vertical="center"/>
    </xf>
    <xf numFmtId="0" fontId="11" fillId="0" borderId="1" xfId="0" quotePrefix="1" applyFont="1" applyBorder="1" applyAlignment="1">
      <alignment horizontal="center" vertical="center"/>
    </xf>
    <xf numFmtId="0" fontId="11" fillId="0" borderId="1" xfId="0" applyFont="1" applyBorder="1" applyAlignment="1">
      <alignment horizontal="center" vertical="center"/>
    </xf>
    <xf numFmtId="0" fontId="34" fillId="0" borderId="1" xfId="0" applyFont="1" applyBorder="1" applyAlignment="1">
      <alignment horizontal="left" vertical="center"/>
    </xf>
    <xf numFmtId="0" fontId="11" fillId="0" borderId="1" xfId="0" applyFont="1" applyBorder="1" applyAlignment="1">
      <alignment horizontal="left" vertical="center"/>
    </xf>
    <xf numFmtId="0" fontId="49" fillId="0" borderId="1" xfId="0" applyFont="1" applyBorder="1" applyAlignment="1">
      <alignment horizontal="center" vertical="center"/>
    </xf>
    <xf numFmtId="0" fontId="11" fillId="0" borderId="4" xfId="0" applyFont="1" applyBorder="1" applyAlignment="1">
      <alignment horizontal="center" vertical="center"/>
    </xf>
    <xf numFmtId="0" fontId="11" fillId="0" borderId="3" xfId="0" applyFont="1" applyBorder="1" applyAlignment="1">
      <alignment horizontal="center" vertical="center"/>
    </xf>
    <xf numFmtId="0" fontId="11" fillId="0" borderId="7" xfId="0" applyFont="1" applyBorder="1" applyAlignment="1">
      <alignment horizontal="center" vertical="center"/>
    </xf>
    <xf numFmtId="0" fontId="11" fillId="0" borderId="3" xfId="0" quotePrefix="1" applyFont="1" applyBorder="1" applyAlignment="1">
      <alignment horizontal="center" vertical="center"/>
    </xf>
    <xf numFmtId="0" fontId="11" fillId="0" borderId="7" xfId="0" quotePrefix="1" applyFont="1" applyBorder="1" applyAlignment="1">
      <alignment horizontal="center" vertical="center"/>
    </xf>
    <xf numFmtId="0" fontId="34" fillId="0" borderId="4" xfId="0" applyFont="1" applyBorder="1" applyAlignment="1">
      <alignment horizontal="center" vertical="center"/>
    </xf>
    <xf numFmtId="0" fontId="11" fillId="0" borderId="4" xfId="0" quotePrefix="1" applyFont="1" applyBorder="1" applyAlignment="1">
      <alignment horizontal="center" vertical="center"/>
    </xf>
    <xf numFmtId="0" fontId="16" fillId="0" borderId="4" xfId="0" applyFont="1" applyBorder="1" applyAlignment="1">
      <alignment horizontal="center" vertical="center"/>
    </xf>
    <xf numFmtId="0" fontId="16" fillId="0" borderId="3" xfId="0" applyFont="1" applyBorder="1" applyAlignment="1">
      <alignment horizontal="center" vertical="center"/>
    </xf>
    <xf numFmtId="0" fontId="16" fillId="0" borderId="7" xfId="0" applyFont="1" applyBorder="1" applyAlignment="1">
      <alignment horizontal="center" vertical="center"/>
    </xf>
    <xf numFmtId="0" fontId="34" fillId="0" borderId="10" xfId="0" applyFont="1" applyBorder="1" applyAlignment="1">
      <alignment horizontal="center" vertical="center" wrapText="1"/>
    </xf>
    <xf numFmtId="0" fontId="11" fillId="0" borderId="14" xfId="0" applyFont="1" applyBorder="1" applyAlignment="1">
      <alignment horizontal="center" vertical="center" wrapText="1"/>
    </xf>
    <xf numFmtId="0" fontId="11" fillId="0" borderId="13" xfId="0" applyFont="1" applyBorder="1" applyAlignment="1">
      <alignment horizontal="center" vertical="center" wrapText="1"/>
    </xf>
    <xf numFmtId="0" fontId="11" fillId="0" borderId="11" xfId="0" applyFont="1" applyBorder="1" applyAlignment="1">
      <alignment horizontal="center" vertical="center" wrapText="1"/>
    </xf>
    <xf numFmtId="0" fontId="11" fillId="0" borderId="2" xfId="0" applyFont="1" applyBorder="1" applyAlignment="1">
      <alignment horizontal="center" vertical="center" wrapText="1"/>
    </xf>
    <xf numFmtId="0" fontId="11" fillId="0" borderId="6" xfId="0" applyFont="1" applyBorder="1" applyAlignment="1">
      <alignment horizontal="center" vertical="center" wrapText="1"/>
    </xf>
    <xf numFmtId="0" fontId="32" fillId="0" borderId="4" xfId="0" applyFont="1" applyBorder="1" applyAlignment="1">
      <alignment horizontal="center" vertical="center"/>
    </xf>
    <xf numFmtId="0" fontId="49" fillId="0" borderId="4" xfId="0" applyFont="1" applyBorder="1" applyAlignment="1">
      <alignment horizontal="center" vertical="center"/>
    </xf>
    <xf numFmtId="0" fontId="9" fillId="0" borderId="4" xfId="0" applyFont="1" applyBorder="1" applyAlignment="1">
      <alignment horizontal="center" vertical="center"/>
    </xf>
    <xf numFmtId="0" fontId="34" fillId="0" borderId="1" xfId="0" applyFont="1" applyBorder="1" applyAlignment="1">
      <alignment horizontal="center" vertical="center"/>
    </xf>
    <xf numFmtId="0" fontId="34" fillId="0" borderId="1" xfId="0" applyFont="1" applyBorder="1" applyAlignment="1">
      <alignment horizontal="center" vertical="center" wrapText="1"/>
    </xf>
    <xf numFmtId="0" fontId="11" fillId="0" borderId="9" xfId="0" applyFont="1" applyBorder="1" applyAlignment="1">
      <alignment horizontal="left" vertical="center"/>
    </xf>
    <xf numFmtId="0" fontId="34" fillId="0" borderId="10" xfId="0" applyFont="1" applyBorder="1" applyAlignment="1">
      <alignment horizontal="center" vertical="center"/>
    </xf>
    <xf numFmtId="0" fontId="11" fillId="0" borderId="14" xfId="0" applyFont="1" applyBorder="1" applyAlignment="1">
      <alignment horizontal="center" vertical="center"/>
    </xf>
    <xf numFmtId="0" fontId="11" fillId="0" borderId="13" xfId="0" applyFont="1" applyBorder="1" applyAlignment="1">
      <alignment horizontal="center" vertical="center"/>
    </xf>
    <xf numFmtId="0" fontId="130" fillId="0" borderId="10" xfId="0" applyFont="1" applyBorder="1" applyAlignment="1">
      <alignment horizontal="center" vertical="center"/>
    </xf>
    <xf numFmtId="0" fontId="11" fillId="11" borderId="1" xfId="0" applyFont="1" applyFill="1" applyBorder="1" applyAlignment="1">
      <alignment horizontal="center" vertical="center"/>
    </xf>
    <xf numFmtId="0" fontId="11" fillId="11" borderId="4" xfId="0" applyFont="1" applyFill="1" applyBorder="1" applyAlignment="1">
      <alignment horizontal="center" vertical="center"/>
    </xf>
    <xf numFmtId="0" fontId="11" fillId="7" borderId="1" xfId="0" quotePrefix="1" applyFont="1" applyFill="1" applyBorder="1" applyAlignment="1">
      <alignment horizontal="center" vertical="center"/>
    </xf>
    <xf numFmtId="0" fontId="11" fillId="7" borderId="1" xfId="0" applyFont="1" applyFill="1" applyBorder="1" applyAlignment="1">
      <alignment horizontal="center" vertical="center"/>
    </xf>
    <xf numFmtId="0" fontId="68" fillId="11" borderId="1" xfId="0" applyFont="1" applyFill="1" applyBorder="1" applyAlignment="1">
      <alignment horizontal="left" vertical="center"/>
    </xf>
    <xf numFmtId="0" fontId="11" fillId="11" borderId="1" xfId="0" applyFont="1" applyFill="1" applyBorder="1" applyAlignment="1">
      <alignment horizontal="left" vertical="center"/>
    </xf>
    <xf numFmtId="0" fontId="11" fillId="11" borderId="9" xfId="0" applyFont="1" applyFill="1" applyBorder="1" applyAlignment="1">
      <alignment horizontal="left" vertical="center"/>
    </xf>
    <xf numFmtId="0" fontId="49" fillId="5" borderId="1" xfId="0" applyFont="1" applyFill="1" applyBorder="1" applyAlignment="1">
      <alignment horizontal="center" vertical="center"/>
    </xf>
    <xf numFmtId="0" fontId="11" fillId="5" borderId="4" xfId="0" applyFont="1" applyFill="1" applyBorder="1" applyAlignment="1">
      <alignment horizontal="center" vertical="center"/>
    </xf>
    <xf numFmtId="0" fontId="11" fillId="5" borderId="3" xfId="0" applyFont="1" applyFill="1" applyBorder="1" applyAlignment="1">
      <alignment horizontal="center" vertical="center"/>
    </xf>
    <xf numFmtId="0" fontId="11" fillId="5" borderId="7" xfId="0" applyFont="1" applyFill="1" applyBorder="1" applyAlignment="1">
      <alignment horizontal="center" vertical="center"/>
    </xf>
    <xf numFmtId="0" fontId="11" fillId="2" borderId="4" xfId="0" applyFont="1" applyFill="1" applyBorder="1" applyAlignment="1">
      <alignment horizontal="center" vertical="center"/>
    </xf>
    <xf numFmtId="0" fontId="11" fillId="2" borderId="3" xfId="0" quotePrefix="1" applyFont="1" applyFill="1" applyBorder="1" applyAlignment="1">
      <alignment horizontal="center" vertical="center"/>
    </xf>
    <xf numFmtId="0" fontId="11" fillId="2" borderId="7" xfId="0" quotePrefix="1" applyFont="1" applyFill="1" applyBorder="1" applyAlignment="1">
      <alignment horizontal="center" vertical="center"/>
    </xf>
    <xf numFmtId="0" fontId="11" fillId="2" borderId="3" xfId="0" applyFont="1" applyFill="1" applyBorder="1" applyAlignment="1">
      <alignment horizontal="center" vertical="center"/>
    </xf>
    <xf numFmtId="0" fontId="11" fillId="2" borderId="7" xfId="0" applyFont="1" applyFill="1" applyBorder="1" applyAlignment="1">
      <alignment horizontal="center" vertical="center"/>
    </xf>
    <xf numFmtId="0" fontId="34" fillId="5" borderId="1" xfId="0" applyFont="1" applyFill="1" applyBorder="1" applyAlignment="1">
      <alignment horizontal="center" vertical="center"/>
    </xf>
    <xf numFmtId="0" fontId="11" fillId="5" borderId="1" xfId="0" quotePrefix="1" applyFont="1" applyFill="1" applyBorder="1" applyAlignment="1">
      <alignment horizontal="center" vertical="center"/>
    </xf>
    <xf numFmtId="0" fontId="11" fillId="0" borderId="1" xfId="0" applyFont="1" applyFill="1" applyBorder="1" applyAlignment="1">
      <alignment horizontal="center" vertical="center"/>
    </xf>
    <xf numFmtId="0" fontId="34" fillId="5" borderId="10" xfId="0" applyFont="1" applyFill="1" applyBorder="1" applyAlignment="1">
      <alignment horizontal="center" vertical="center"/>
    </xf>
    <xf numFmtId="0" fontId="11" fillId="5" borderId="14" xfId="0" applyFont="1" applyFill="1" applyBorder="1" applyAlignment="1">
      <alignment horizontal="center" vertical="center"/>
    </xf>
    <xf numFmtId="0" fontId="11" fillId="5" borderId="13" xfId="0" applyFont="1" applyFill="1" applyBorder="1" applyAlignment="1">
      <alignment horizontal="center" vertical="center"/>
    </xf>
    <xf numFmtId="0" fontId="34" fillId="5" borderId="1" xfId="0" applyFont="1" applyFill="1" applyBorder="1" applyAlignment="1">
      <alignment horizontal="center" vertical="center" wrapText="1"/>
    </xf>
    <xf numFmtId="0" fontId="67" fillId="0" borderId="0" xfId="0" applyFont="1" applyBorder="1" applyAlignment="1">
      <alignment horizontal="center" vertical="top" wrapText="1"/>
    </xf>
    <xf numFmtId="0" fontId="67" fillId="0" borderId="0" xfId="0" applyFont="1" applyBorder="1" applyAlignment="1">
      <alignment horizontal="center" vertical="center"/>
    </xf>
    <xf numFmtId="0" fontId="0" fillId="0" borderId="1" xfId="0" applyFont="1" applyBorder="1" applyAlignment="1">
      <alignment horizontal="center" vertical="center"/>
    </xf>
    <xf numFmtId="0" fontId="67" fillId="0" borderId="1" xfId="0" applyFont="1" applyBorder="1" applyAlignment="1">
      <alignment horizontal="center" vertical="center"/>
    </xf>
    <xf numFmtId="219" fontId="67" fillId="0" borderId="1" xfId="0" applyNumberFormat="1" applyFont="1" applyBorder="1" applyAlignment="1">
      <alignment horizontal="center" vertical="center"/>
    </xf>
    <xf numFmtId="0" fontId="16" fillId="0" borderId="0" xfId="0" applyFont="1" applyBorder="1" applyAlignment="1">
      <alignment horizontal="center" vertical="center"/>
    </xf>
    <xf numFmtId="0" fontId="68" fillId="8" borderId="1" xfId="0" applyFont="1" applyFill="1" applyBorder="1" applyAlignment="1">
      <alignment horizontal="center" vertical="center" wrapText="1"/>
    </xf>
    <xf numFmtId="0" fontId="68" fillId="8" borderId="1" xfId="0" applyFont="1" applyFill="1" applyBorder="1" applyAlignment="1">
      <alignment horizontal="center" vertical="center"/>
    </xf>
    <xf numFmtId="0" fontId="11" fillId="8" borderId="1" xfId="0" applyFont="1" applyFill="1" applyBorder="1" applyAlignment="1">
      <alignment horizontal="center" vertical="center"/>
    </xf>
    <xf numFmtId="0" fontId="68" fillId="8" borderId="1" xfId="0" quotePrefix="1" applyFont="1" applyFill="1" applyBorder="1" applyAlignment="1">
      <alignment horizontal="center" vertical="center"/>
    </xf>
    <xf numFmtId="0" fontId="67" fillId="0" borderId="0" xfId="0" applyFont="1" applyBorder="1" applyAlignment="1">
      <alignment horizontal="right" vertical="center"/>
    </xf>
    <xf numFmtId="0" fontId="0" fillId="6" borderId="1" xfId="0" applyFont="1" applyFill="1" applyBorder="1" applyAlignment="1">
      <alignment horizontal="center" vertical="center"/>
    </xf>
    <xf numFmtId="0" fontId="0" fillId="6" borderId="1" xfId="0" applyFill="1" applyBorder="1" applyAlignment="1">
      <alignment horizontal="center" vertical="center"/>
    </xf>
    <xf numFmtId="10" fontId="0" fillId="0" borderId="1" xfId="0" applyNumberFormat="1" applyFont="1" applyBorder="1" applyAlignment="1">
      <alignment horizontal="center" vertical="center"/>
    </xf>
    <xf numFmtId="10" fontId="67" fillId="0" borderId="1" xfId="0" applyNumberFormat="1" applyFont="1" applyBorder="1" applyAlignment="1">
      <alignment horizontal="center" vertical="center"/>
    </xf>
    <xf numFmtId="0" fontId="49" fillId="6" borderId="1" xfId="0" applyFont="1" applyFill="1" applyBorder="1" applyAlignment="1">
      <alignment horizontal="center" vertical="center"/>
    </xf>
    <xf numFmtId="0" fontId="11" fillId="6" borderId="1" xfId="0" applyFont="1" applyFill="1" applyBorder="1" applyAlignment="1">
      <alignment horizontal="center" vertical="center"/>
    </xf>
    <xf numFmtId="0" fontId="11" fillId="6" borderId="4" xfId="0" applyFont="1" applyFill="1" applyBorder="1" applyAlignment="1">
      <alignment horizontal="center" vertical="center"/>
    </xf>
    <xf numFmtId="0" fontId="11" fillId="6" borderId="3" xfId="0" applyFont="1" applyFill="1" applyBorder="1" applyAlignment="1">
      <alignment horizontal="center" vertical="center"/>
    </xf>
    <xf numFmtId="0" fontId="11" fillId="6" borderId="7" xfId="0" applyFont="1" applyFill="1" applyBorder="1" applyAlignment="1">
      <alignment horizontal="center" vertical="center"/>
    </xf>
    <xf numFmtId="0" fontId="49" fillId="6" borderId="4" xfId="0" applyFont="1" applyFill="1" applyBorder="1" applyAlignment="1">
      <alignment horizontal="center" vertical="center"/>
    </xf>
    <xf numFmtId="0" fontId="68" fillId="0" borderId="4" xfId="0" applyFont="1" applyBorder="1" applyAlignment="1">
      <alignment horizontal="center" vertical="center"/>
    </xf>
    <xf numFmtId="0" fontId="68" fillId="0" borderId="3" xfId="0" applyFont="1" applyBorder="1" applyAlignment="1">
      <alignment horizontal="center" vertical="center"/>
    </xf>
    <xf numFmtId="0" fontId="68" fillId="0" borderId="7" xfId="0" applyFont="1" applyBorder="1" applyAlignment="1">
      <alignment horizontal="center" vertical="center"/>
    </xf>
    <xf numFmtId="0" fontId="68" fillId="0" borderId="1" xfId="0" applyFont="1" applyBorder="1" applyAlignment="1">
      <alignment horizontal="center" vertical="center" wrapText="1"/>
    </xf>
    <xf numFmtId="0" fontId="68" fillId="0" borderId="1" xfId="0" applyFont="1" applyBorder="1" applyAlignment="1">
      <alignment horizontal="center" vertical="center"/>
    </xf>
    <xf numFmtId="0" fontId="68" fillId="0" borderId="4" xfId="0" applyFont="1" applyBorder="1" applyAlignment="1">
      <alignment horizontal="left" vertical="center"/>
    </xf>
    <xf numFmtId="0" fontId="68" fillId="0" borderId="3" xfId="0" applyFont="1" applyBorder="1" applyAlignment="1">
      <alignment horizontal="left" vertical="center"/>
    </xf>
    <xf numFmtId="0" fontId="68" fillId="0" borderId="7" xfId="0" applyFont="1" applyBorder="1" applyAlignment="1">
      <alignment horizontal="left" vertical="center"/>
    </xf>
    <xf numFmtId="0" fontId="16" fillId="0" borderId="0" xfId="0" applyFont="1" applyBorder="1" applyAlignment="1">
      <alignment horizontal="left" vertical="center"/>
    </xf>
    <xf numFmtId="0" fontId="16" fillId="0" borderId="14" xfId="0" applyFont="1" applyBorder="1" applyAlignment="1">
      <alignment horizontal="right" vertical="center"/>
    </xf>
    <xf numFmtId="0" fontId="68" fillId="0" borderId="10" xfId="0" applyFont="1" applyBorder="1" applyAlignment="1">
      <alignment horizontal="center" vertical="center" wrapText="1"/>
    </xf>
    <xf numFmtId="0" fontId="67" fillId="0" borderId="4" xfId="0" applyFont="1" applyBorder="1" applyAlignment="1">
      <alignment horizontal="center" vertical="center"/>
    </xf>
    <xf numFmtId="0" fontId="67" fillId="0" borderId="3" xfId="0" applyFont="1" applyBorder="1" applyAlignment="1">
      <alignment horizontal="center" vertical="center"/>
    </xf>
    <xf numFmtId="0" fontId="67" fillId="0" borderId="7" xfId="0" applyFont="1" applyBorder="1" applyAlignment="1">
      <alignment horizontal="center" vertical="center"/>
    </xf>
    <xf numFmtId="0" fontId="16" fillId="0" borderId="4" xfId="0" quotePrefix="1" applyFont="1" applyBorder="1" applyAlignment="1">
      <alignment horizontal="center" vertical="center"/>
    </xf>
    <xf numFmtId="0" fontId="16" fillId="0" borderId="3" xfId="0" quotePrefix="1" applyFont="1" applyBorder="1" applyAlignment="1">
      <alignment horizontal="center" vertical="center"/>
    </xf>
    <xf numFmtId="0" fontId="16" fillId="0" borderId="7" xfId="0" quotePrefix="1" applyFont="1" applyBorder="1" applyAlignment="1">
      <alignment horizontal="center" vertical="center"/>
    </xf>
    <xf numFmtId="49" fontId="16" fillId="0" borderId="4" xfId="0" quotePrefix="1" applyNumberFormat="1" applyFont="1" applyBorder="1" applyAlignment="1">
      <alignment horizontal="center" vertical="center"/>
    </xf>
    <xf numFmtId="49" fontId="16" fillId="0" borderId="3" xfId="0" quotePrefix="1" applyNumberFormat="1" applyFont="1" applyBorder="1" applyAlignment="1">
      <alignment horizontal="center" vertical="center"/>
    </xf>
    <xf numFmtId="49" fontId="16" fillId="0" borderId="7" xfId="0" quotePrefix="1" applyNumberFormat="1" applyFont="1" applyBorder="1" applyAlignment="1">
      <alignment horizontal="center" vertical="center"/>
    </xf>
    <xf numFmtId="0" fontId="128" fillId="0" borderId="4" xfId="0" applyFont="1" applyBorder="1" applyAlignment="1">
      <alignment horizontal="center" vertical="center"/>
    </xf>
    <xf numFmtId="0" fontId="11" fillId="8" borderId="4" xfId="0" applyFont="1" applyFill="1" applyBorder="1" applyAlignment="1">
      <alignment horizontal="center" vertical="center"/>
    </xf>
    <xf numFmtId="0" fontId="11" fillId="8" borderId="3" xfId="0" applyFont="1" applyFill="1" applyBorder="1" applyAlignment="1">
      <alignment horizontal="center" vertical="center"/>
    </xf>
    <xf numFmtId="0" fontId="11" fillId="8" borderId="7" xfId="0" applyFont="1" applyFill="1" applyBorder="1" applyAlignment="1">
      <alignment horizontal="center" vertical="center"/>
    </xf>
    <xf numFmtId="0" fontId="68" fillId="8" borderId="4" xfId="0" applyFont="1" applyFill="1" applyBorder="1" applyAlignment="1">
      <alignment horizontal="center" vertical="center"/>
    </xf>
    <xf numFmtId="0" fontId="68" fillId="8" borderId="3" xfId="0" applyFont="1" applyFill="1" applyBorder="1" applyAlignment="1">
      <alignment horizontal="center" vertical="center"/>
    </xf>
    <xf numFmtId="0" fontId="68" fillId="8" borderId="7" xfId="0" applyFont="1" applyFill="1" applyBorder="1" applyAlignment="1">
      <alignment horizontal="center" vertical="center"/>
    </xf>
    <xf numFmtId="0" fontId="41" fillId="0" borderId="4" xfId="0" applyFont="1" applyBorder="1" applyAlignment="1">
      <alignment horizontal="center" vertical="center"/>
    </xf>
    <xf numFmtId="0" fontId="128" fillId="0" borderId="4" xfId="0" applyFont="1" applyBorder="1" applyAlignment="1">
      <alignment horizontal="left" vertical="center"/>
    </xf>
    <xf numFmtId="0" fontId="16" fillId="0" borderId="3" xfId="0" applyFont="1" applyBorder="1" applyAlignment="1">
      <alignment horizontal="left" vertical="center"/>
    </xf>
    <xf numFmtId="0" fontId="16" fillId="0" borderId="7" xfId="0" applyFont="1" applyBorder="1" applyAlignment="1">
      <alignment horizontal="left" vertical="center"/>
    </xf>
    <xf numFmtId="181" fontId="16" fillId="0" borderId="1" xfId="0" quotePrefix="1" applyNumberFormat="1" applyFont="1" applyBorder="1" applyAlignment="1">
      <alignment horizontal="center" vertical="center"/>
    </xf>
    <xf numFmtId="0" fontId="16" fillId="0" borderId="1" xfId="0" quotePrefix="1" applyFont="1" applyBorder="1" applyAlignment="1">
      <alignment horizontal="center" vertical="center"/>
    </xf>
    <xf numFmtId="0" fontId="128" fillId="0" borderId="10" xfId="0" applyFont="1" applyBorder="1" applyAlignment="1">
      <alignment horizontal="center" vertical="center"/>
    </xf>
    <xf numFmtId="0" fontId="16" fillId="0" borderId="14" xfId="0" applyFont="1" applyBorder="1" applyAlignment="1">
      <alignment horizontal="center" vertical="center"/>
    </xf>
    <xf numFmtId="0" fontId="16" fillId="0" borderId="2" xfId="0" applyFont="1" applyBorder="1" applyAlignment="1">
      <alignment horizontal="center" vertical="center"/>
    </xf>
    <xf numFmtId="0" fontId="128" fillId="8" borderId="1" xfId="0" applyFont="1" applyFill="1" applyBorder="1" applyAlignment="1">
      <alignment horizontal="left" vertical="center"/>
    </xf>
    <xf numFmtId="0" fontId="16" fillId="8" borderId="1" xfId="0" applyFont="1" applyFill="1" applyBorder="1" applyAlignment="1">
      <alignment horizontal="left" vertical="center"/>
    </xf>
    <xf numFmtId="0" fontId="41" fillId="0" borderId="1" xfId="0" applyFont="1" applyBorder="1" applyAlignment="1">
      <alignment horizontal="center" vertical="center"/>
    </xf>
    <xf numFmtId="49" fontId="16" fillId="8" borderId="1" xfId="0" applyNumberFormat="1" applyFont="1" applyFill="1" applyBorder="1" applyAlignment="1">
      <alignment horizontal="center" vertical="center"/>
    </xf>
    <xf numFmtId="0" fontId="128" fillId="8" borderId="1" xfId="0" applyFont="1" applyFill="1" applyBorder="1" applyAlignment="1">
      <alignment horizontal="center" vertical="center"/>
    </xf>
    <xf numFmtId="0" fontId="133" fillId="8" borderId="10" xfId="0" applyFont="1" applyFill="1" applyBorder="1" applyAlignment="1">
      <alignment horizontal="center" vertical="center" wrapText="1"/>
    </xf>
    <xf numFmtId="0" fontId="45" fillId="8" borderId="13" xfId="0" applyFont="1" applyFill="1" applyBorder="1" applyAlignment="1">
      <alignment horizontal="center" vertical="center"/>
    </xf>
    <xf numFmtId="0" fontId="45" fillId="8" borderId="11" xfId="0" applyFont="1" applyFill="1" applyBorder="1" applyAlignment="1">
      <alignment horizontal="center" vertical="center"/>
    </xf>
    <xf numFmtId="0" fontId="45" fillId="8" borderId="6" xfId="0" applyFont="1" applyFill="1" applyBorder="1" applyAlignment="1">
      <alignment horizontal="center" vertical="center"/>
    </xf>
    <xf numFmtId="0" fontId="16" fillId="0" borderId="2" xfId="0" applyFont="1" applyBorder="1" applyAlignment="1">
      <alignment horizontal="left"/>
    </xf>
    <xf numFmtId="0" fontId="128" fillId="0" borderId="0" xfId="0" applyFont="1" applyAlignment="1">
      <alignment horizontal="center"/>
    </xf>
    <xf numFmtId="0" fontId="16" fillId="0" borderId="0" xfId="0" applyFont="1" applyAlignment="1">
      <alignment horizontal="center"/>
    </xf>
    <xf numFmtId="0" fontId="16" fillId="0" borderId="2" xfId="0" applyFont="1" applyBorder="1" applyAlignment="1">
      <alignment horizontal="center"/>
    </xf>
    <xf numFmtId="0" fontId="128" fillId="8" borderId="4" xfId="0" applyFont="1" applyFill="1" applyBorder="1" applyAlignment="1">
      <alignment horizontal="center" vertical="center"/>
    </xf>
    <xf numFmtId="0" fontId="16" fillId="8" borderId="3" xfId="0" applyFont="1" applyFill="1" applyBorder="1" applyAlignment="1">
      <alignment horizontal="center" vertical="center"/>
    </xf>
    <xf numFmtId="0" fontId="16" fillId="8" borderId="7" xfId="0" applyFont="1" applyFill="1" applyBorder="1" applyAlignment="1">
      <alignment horizontal="center" vertical="center"/>
    </xf>
    <xf numFmtId="0" fontId="16" fillId="8" borderId="4" xfId="0" applyFont="1" applyFill="1" applyBorder="1" applyAlignment="1">
      <alignment horizontal="center" vertical="center"/>
    </xf>
    <xf numFmtId="0" fontId="16" fillId="0" borderId="2" xfId="0" applyFont="1" applyBorder="1" applyAlignment="1">
      <alignment horizontal="right" vertical="center"/>
    </xf>
    <xf numFmtId="0" fontId="128" fillId="0" borderId="2" xfId="0" applyFont="1" applyBorder="1" applyAlignment="1">
      <alignment horizontal="center" vertical="center"/>
    </xf>
    <xf numFmtId="49" fontId="16" fillId="8" borderId="4" xfId="0" applyNumberFormat="1" applyFont="1" applyFill="1" applyBorder="1" applyAlignment="1">
      <alignment horizontal="center" vertical="center"/>
    </xf>
    <xf numFmtId="49" fontId="16" fillId="8" borderId="3" xfId="0" applyNumberFormat="1" applyFont="1" applyFill="1" applyBorder="1" applyAlignment="1">
      <alignment horizontal="center" vertical="center"/>
    </xf>
    <xf numFmtId="49" fontId="16" fillId="8" borderId="7" xfId="0" applyNumberFormat="1" applyFont="1" applyFill="1" applyBorder="1" applyAlignment="1">
      <alignment horizontal="center" vertical="center"/>
    </xf>
    <xf numFmtId="0" fontId="132" fillId="0" borderId="9" xfId="0" applyFont="1" applyBorder="1" applyAlignment="1">
      <alignment vertical="center" wrapText="1"/>
    </xf>
    <xf numFmtId="0" fontId="16" fillId="0" borderId="2" xfId="0" applyFont="1" applyBorder="1" applyAlignment="1">
      <alignment horizontal="left" vertical="center"/>
    </xf>
    <xf numFmtId="0" fontId="128" fillId="0" borderId="2" xfId="0" applyFont="1" applyBorder="1" applyAlignment="1">
      <alignment horizontal="left" vertical="center"/>
    </xf>
    <xf numFmtId="0" fontId="0" fillId="0" borderId="9" xfId="0" applyBorder="1" applyAlignment="1">
      <alignment horizontal="center" vertical="center" wrapText="1"/>
    </xf>
    <xf numFmtId="0" fontId="0" fillId="0" borderId="3" xfId="0" applyBorder="1" applyAlignment="1">
      <alignment horizontal="center" vertical="center" wrapText="1"/>
    </xf>
    <xf numFmtId="0" fontId="55" fillId="5" borderId="10" xfId="0" applyFont="1" applyFill="1" applyBorder="1" applyAlignment="1">
      <alignment horizontal="center" vertical="center"/>
    </xf>
    <xf numFmtId="0" fontId="55" fillId="5" borderId="13" xfId="0" applyFont="1" applyFill="1" applyBorder="1" applyAlignment="1">
      <alignment horizontal="center" vertical="center"/>
    </xf>
    <xf numFmtId="0" fontId="55" fillId="5" borderId="5" xfId="0" applyFont="1" applyFill="1" applyBorder="1" applyAlignment="1">
      <alignment horizontal="center" vertical="center"/>
    </xf>
    <xf numFmtId="0" fontId="55" fillId="5" borderId="16" xfId="0" applyFont="1" applyFill="1" applyBorder="1" applyAlignment="1">
      <alignment horizontal="center" vertical="center"/>
    </xf>
    <xf numFmtId="0" fontId="55" fillId="5" borderId="11" xfId="0" applyFont="1" applyFill="1" applyBorder="1" applyAlignment="1">
      <alignment horizontal="center" vertical="center"/>
    </xf>
    <xf numFmtId="0" fontId="55" fillId="5" borderId="6" xfId="0" applyFont="1" applyFill="1" applyBorder="1" applyAlignment="1">
      <alignment horizontal="center" vertical="center"/>
    </xf>
    <xf numFmtId="0" fontId="55" fillId="0" borderId="10" xfId="0" applyFont="1" applyBorder="1" applyAlignment="1">
      <alignment horizontal="center" vertical="center"/>
    </xf>
    <xf numFmtId="0" fontId="55" fillId="0" borderId="13" xfId="0" applyFont="1" applyBorder="1" applyAlignment="1">
      <alignment horizontal="center" vertical="center"/>
    </xf>
    <xf numFmtId="0" fontId="55" fillId="0" borderId="5" xfId="0" applyFont="1" applyBorder="1" applyAlignment="1">
      <alignment horizontal="center" vertical="center"/>
    </xf>
    <xf numFmtId="0" fontId="55" fillId="0" borderId="16" xfId="0" applyFont="1" applyBorder="1" applyAlignment="1">
      <alignment horizontal="center" vertical="center"/>
    </xf>
    <xf numFmtId="0" fontId="55" fillId="0" borderId="11" xfId="0" applyFont="1" applyBorder="1" applyAlignment="1">
      <alignment horizontal="center" vertical="center"/>
    </xf>
    <xf numFmtId="0" fontId="55" fillId="0" borderId="6" xfId="0" applyFont="1" applyBorder="1" applyAlignment="1">
      <alignment horizontal="center" vertical="center"/>
    </xf>
    <xf numFmtId="0" fontId="0" fillId="0" borderId="11" xfId="0" applyBorder="1" applyAlignment="1">
      <alignment horizontal="center" vertical="center" wrapText="1"/>
    </xf>
    <xf numFmtId="0" fontId="0" fillId="0" borderId="6" xfId="0" applyBorder="1" applyAlignment="1">
      <alignment horizontal="center" vertical="center" wrapText="1"/>
    </xf>
    <xf numFmtId="0" fontId="142" fillId="4" borderId="8" xfId="0" applyFont="1" applyFill="1" applyBorder="1" applyAlignment="1">
      <alignment horizontal="center" vertical="center" wrapText="1"/>
    </xf>
    <xf numFmtId="0" fontId="152" fillId="0" borderId="4" xfId="0" applyFont="1" applyBorder="1" applyAlignment="1">
      <alignment horizontal="center" vertical="center"/>
    </xf>
    <xf numFmtId="0" fontId="152" fillId="0" borderId="3" xfId="0" applyFont="1" applyBorder="1" applyAlignment="1">
      <alignment horizontal="center" vertical="center"/>
    </xf>
    <xf numFmtId="0" fontId="152" fillId="0" borderId="7" xfId="0" applyFont="1" applyBorder="1" applyAlignment="1">
      <alignment horizontal="center" vertical="center"/>
    </xf>
    <xf numFmtId="0" fontId="169" fillId="0" borderId="0" xfId="0" applyFont="1" applyAlignment="1">
      <alignment horizontal="left" vertical="center"/>
    </xf>
    <xf numFmtId="0" fontId="169" fillId="0" borderId="15" xfId="0" applyFont="1" applyBorder="1" applyAlignment="1">
      <alignment horizontal="left" vertical="center"/>
    </xf>
    <xf numFmtId="0" fontId="150" fillId="4" borderId="13" xfId="0" applyFont="1" applyFill="1" applyBorder="1" applyAlignment="1">
      <alignment horizontal="center" vertical="center"/>
    </xf>
    <xf numFmtId="0" fontId="150" fillId="4" borderId="16" xfId="0" applyFont="1" applyFill="1" applyBorder="1" applyAlignment="1">
      <alignment horizontal="center" vertical="center"/>
    </xf>
    <xf numFmtId="0" fontId="150" fillId="4" borderId="6" xfId="0" applyFont="1" applyFill="1" applyBorder="1" applyAlignment="1">
      <alignment horizontal="center" vertical="center"/>
    </xf>
    <xf numFmtId="181" fontId="150" fillId="7" borderId="14" xfId="0" applyNumberFormat="1" applyFont="1" applyFill="1" applyBorder="1" applyAlignment="1">
      <alignment horizontal="center" vertical="center"/>
    </xf>
    <xf numFmtId="181" fontId="150" fillId="7" borderId="0" xfId="0" applyNumberFormat="1" applyFont="1" applyFill="1" applyBorder="1" applyAlignment="1">
      <alignment horizontal="center" vertical="center"/>
    </xf>
    <xf numFmtId="181" fontId="150" fillId="7" borderId="2" xfId="0" applyNumberFormat="1" applyFont="1" applyFill="1" applyBorder="1" applyAlignment="1">
      <alignment horizontal="center" vertical="center"/>
    </xf>
    <xf numFmtId="0" fontId="150" fillId="0" borderId="10" xfId="0" applyFont="1" applyBorder="1" applyAlignment="1">
      <alignment horizontal="center" vertical="center"/>
    </xf>
    <xf numFmtId="0" fontId="150" fillId="4" borderId="10" xfId="0" applyFont="1" applyFill="1" applyBorder="1" applyAlignment="1">
      <alignment horizontal="right"/>
    </xf>
    <xf numFmtId="0" fontId="150" fillId="4" borderId="5" xfId="0" applyFont="1" applyFill="1" applyBorder="1" applyAlignment="1">
      <alignment horizontal="right"/>
    </xf>
    <xf numFmtId="0" fontId="150" fillId="4" borderId="13" xfId="0" applyFont="1" applyFill="1" applyBorder="1" applyAlignment="1">
      <alignment horizontal="left"/>
    </xf>
    <xf numFmtId="0" fontId="150" fillId="4" borderId="16" xfId="0" applyFont="1" applyFill="1" applyBorder="1" applyAlignment="1">
      <alignment horizontal="left"/>
    </xf>
    <xf numFmtId="181" fontId="150" fillId="7" borderId="9" xfId="0" applyNumberFormat="1" applyFont="1" applyFill="1" applyBorder="1" applyAlignment="1">
      <alignment horizontal="center" vertical="center"/>
    </xf>
    <xf numFmtId="181" fontId="150" fillId="7" borderId="8" xfId="0" applyNumberFormat="1" applyFont="1" applyFill="1" applyBorder="1" applyAlignment="1">
      <alignment horizontal="center" vertical="center"/>
    </xf>
    <xf numFmtId="181" fontId="150" fillId="7" borderId="12" xfId="0" applyNumberFormat="1" applyFont="1" applyFill="1" applyBorder="1" applyAlignment="1">
      <alignment horizontal="center" vertical="center"/>
    </xf>
    <xf numFmtId="0" fontId="150" fillId="4" borderId="5" xfId="0" applyFont="1" applyFill="1" applyBorder="1" applyAlignment="1">
      <alignment horizontal="center" vertical="center"/>
    </xf>
    <xf numFmtId="0" fontId="150" fillId="4" borderId="11" xfId="0" applyFont="1" applyFill="1" applyBorder="1" applyAlignment="1">
      <alignment horizontal="center" vertical="center"/>
    </xf>
    <xf numFmtId="0" fontId="150" fillId="4" borderId="14" xfId="0" applyFont="1" applyFill="1" applyBorder="1" applyAlignment="1">
      <alignment horizontal="left"/>
    </xf>
    <xf numFmtId="0" fontId="150" fillId="4" borderId="0" xfId="0" applyFont="1" applyFill="1" applyBorder="1" applyAlignment="1">
      <alignment horizontal="left"/>
    </xf>
    <xf numFmtId="0" fontId="150" fillId="4" borderId="0" xfId="0" applyFont="1" applyFill="1" applyBorder="1" applyAlignment="1">
      <alignment horizontal="center" vertical="center"/>
    </xf>
    <xf numFmtId="0" fontId="150" fillId="0" borderId="1" xfId="0" applyFont="1" applyBorder="1" applyAlignment="1">
      <alignment horizontal="center" vertical="center"/>
    </xf>
    <xf numFmtId="0" fontId="150" fillId="4" borderId="10" xfId="0" applyFont="1" applyFill="1" applyBorder="1" applyAlignment="1">
      <alignment horizontal="center" vertical="center"/>
    </xf>
    <xf numFmtId="0" fontId="0" fillId="0" borderId="8" xfId="0" applyBorder="1" applyAlignment="1">
      <alignment horizontal="center" vertical="center" wrapText="1"/>
    </xf>
    <xf numFmtId="0" fontId="142" fillId="5" borderId="9" xfId="0" applyFont="1" applyFill="1" applyBorder="1" applyAlignment="1">
      <alignment horizontal="center" vertical="center"/>
    </xf>
    <xf numFmtId="219" fontId="141" fillId="7" borderId="4" xfId="0" applyNumberFormat="1" applyFont="1" applyFill="1" applyBorder="1" applyAlignment="1">
      <alignment horizontal="center" vertical="center"/>
    </xf>
    <xf numFmtId="219" fontId="141" fillId="7" borderId="3" xfId="0" applyNumberFormat="1" applyFont="1" applyFill="1" applyBorder="1" applyAlignment="1">
      <alignment horizontal="center" vertical="center"/>
    </xf>
    <xf numFmtId="219" fontId="141" fillId="7" borderId="7" xfId="0" applyNumberFormat="1" applyFont="1" applyFill="1" applyBorder="1" applyAlignment="1">
      <alignment horizontal="center" vertical="center"/>
    </xf>
    <xf numFmtId="10" fontId="141" fillId="7" borderId="1" xfId="0" applyNumberFormat="1" applyFont="1" applyFill="1" applyBorder="1" applyAlignment="1">
      <alignment horizontal="center" vertical="center"/>
    </xf>
    <xf numFmtId="0" fontId="183" fillId="0" borderId="1" xfId="0" applyFont="1" applyBorder="1" applyAlignment="1">
      <alignment vertical="center" wrapText="1"/>
    </xf>
    <xf numFmtId="0" fontId="142" fillId="0" borderId="0" xfId="0" applyFont="1" applyFill="1" applyBorder="1" applyAlignment="1"/>
    <xf numFmtId="0" fontId="0" fillId="4" borderId="2" xfId="0" applyFill="1" applyBorder="1" applyAlignment="1">
      <alignment horizontal="center"/>
    </xf>
    <xf numFmtId="0" fontId="163" fillId="5" borderId="9" xfId="0" applyFont="1" applyFill="1" applyBorder="1" applyAlignment="1">
      <alignment horizontal="center" vertical="center" wrapText="1"/>
    </xf>
    <xf numFmtId="0" fontId="163" fillId="5" borderId="12" xfId="0" applyFont="1" applyFill="1" applyBorder="1" applyAlignment="1">
      <alignment horizontal="center" vertical="center" wrapText="1"/>
    </xf>
    <xf numFmtId="0" fontId="0" fillId="0" borderId="9" xfId="0" applyFill="1" applyBorder="1" applyAlignment="1">
      <alignment horizontal="center" vertical="center"/>
    </xf>
    <xf numFmtId="0" fontId="0" fillId="0" borderId="8" xfId="0" applyFill="1" applyBorder="1" applyAlignment="1">
      <alignment horizontal="center" vertical="center"/>
    </xf>
    <xf numFmtId="0" fontId="0" fillId="0" borderId="12" xfId="0" applyFill="1" applyBorder="1" applyAlignment="1">
      <alignment horizontal="center" vertical="center"/>
    </xf>
    <xf numFmtId="0" fontId="142" fillId="0" borderId="33" xfId="0" applyFont="1" applyBorder="1" applyAlignment="1">
      <alignment horizontal="left" vertical="center" wrapText="1"/>
    </xf>
    <xf numFmtId="0" fontId="142" fillId="0" borderId="34" xfId="0" applyFont="1" applyBorder="1" applyAlignment="1">
      <alignment horizontal="left" vertical="center" wrapText="1"/>
    </xf>
    <xf numFmtId="0" fontId="169" fillId="5" borderId="33" xfId="0" applyFont="1" applyFill="1" applyBorder="1" applyAlignment="1">
      <alignment horizontal="center" vertical="center" wrapText="1"/>
    </xf>
    <xf numFmtId="0" fontId="169" fillId="5" borderId="20" xfId="0" applyFont="1" applyFill="1" applyBorder="1" applyAlignment="1">
      <alignment horizontal="center" vertical="center" wrapText="1"/>
    </xf>
    <xf numFmtId="0" fontId="169" fillId="5" borderId="34" xfId="0" applyFont="1" applyFill="1" applyBorder="1" applyAlignment="1">
      <alignment horizontal="center" vertical="center" wrapText="1"/>
    </xf>
    <xf numFmtId="0" fontId="0" fillId="4" borderId="1" xfId="0" applyFill="1" applyBorder="1" applyAlignment="1">
      <alignment horizontal="center"/>
    </xf>
    <xf numFmtId="0" fontId="0" fillId="4" borderId="3" xfId="0" applyFill="1" applyBorder="1" applyAlignment="1">
      <alignment horizontal="center"/>
    </xf>
    <xf numFmtId="0" fontId="142" fillId="4" borderId="2" xfId="0" applyFont="1" applyFill="1" applyBorder="1" applyAlignment="1">
      <alignment horizontal="center"/>
    </xf>
    <xf numFmtId="0" fontId="0" fillId="0" borderId="0" xfId="0" applyAlignment="1">
      <alignment horizontal="left"/>
    </xf>
    <xf numFmtId="0" fontId="142" fillId="4" borderId="1" xfId="0" applyFont="1" applyFill="1" applyBorder="1" applyAlignment="1">
      <alignment horizontal="center"/>
    </xf>
    <xf numFmtId="0" fontId="142" fillId="6" borderId="22" xfId="0" applyFont="1" applyFill="1" applyBorder="1" applyAlignment="1">
      <alignment horizontal="center" vertical="center" wrapText="1"/>
    </xf>
    <xf numFmtId="0" fontId="0" fillId="6" borderId="23" xfId="0" applyFill="1" applyBorder="1" applyAlignment="1">
      <alignment horizontal="center" vertical="center" wrapText="1"/>
    </xf>
    <xf numFmtId="0" fontId="0" fillId="6" borderId="24"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15" xfId="0" applyFill="1" applyBorder="1" applyAlignment="1">
      <alignment horizontal="center" vertical="center" wrapText="1"/>
    </xf>
    <xf numFmtId="0" fontId="0" fillId="6" borderId="18" xfId="0" applyFill="1" applyBorder="1" applyAlignment="1">
      <alignment horizontal="center" vertical="center" wrapText="1"/>
    </xf>
    <xf numFmtId="0" fontId="142" fillId="0" borderId="22" xfId="0" applyFont="1" applyBorder="1" applyAlignment="1">
      <alignment horizontal="left" vertical="center" wrapText="1"/>
    </xf>
    <xf numFmtId="0" fontId="142" fillId="0" borderId="23" xfId="0" applyFont="1" applyBorder="1" applyAlignment="1">
      <alignment horizontal="left" vertical="center" wrapText="1"/>
    </xf>
    <xf numFmtId="0" fontId="142" fillId="0" borderId="25" xfId="0" applyFont="1" applyBorder="1" applyAlignment="1">
      <alignment horizontal="left" vertical="center" wrapText="1"/>
    </xf>
    <xf numFmtId="0" fontId="142" fillId="0" borderId="15" xfId="0" applyFont="1" applyBorder="1" applyAlignment="1">
      <alignment horizontal="left" vertical="center" wrapText="1"/>
    </xf>
    <xf numFmtId="0" fontId="0" fillId="4" borderId="3" xfId="0" applyFill="1" applyBorder="1" applyAlignment="1">
      <alignment horizontal="left"/>
    </xf>
    <xf numFmtId="0" fontId="0" fillId="11" borderId="1" xfId="0" applyNumberFormat="1" applyFill="1" applyBorder="1" applyAlignment="1">
      <alignment horizontal="center" vertical="center"/>
    </xf>
    <xf numFmtId="0" fontId="0" fillId="0" borderId="3" xfId="0" applyBorder="1" applyAlignment="1"/>
    <xf numFmtId="0" fontId="0" fillId="0" borderId="7" xfId="0" applyBorder="1" applyAlignment="1"/>
    <xf numFmtId="0" fontId="0" fillId="11" borderId="10" xfId="0" applyFill="1" applyBorder="1" applyAlignment="1">
      <alignment horizontal="center" vertical="center"/>
    </xf>
    <xf numFmtId="0" fontId="0" fillId="11" borderId="14" xfId="0" applyFill="1" applyBorder="1" applyAlignment="1">
      <alignment horizontal="center" vertical="center"/>
    </xf>
    <xf numFmtId="0" fontId="0" fillId="11" borderId="13" xfId="0" applyFill="1" applyBorder="1" applyAlignment="1">
      <alignment horizontal="center" vertical="center"/>
    </xf>
    <xf numFmtId="0" fontId="0" fillId="11" borderId="5" xfId="0" applyFill="1" applyBorder="1" applyAlignment="1">
      <alignment horizontal="center" vertical="center"/>
    </xf>
    <xf numFmtId="0" fontId="0" fillId="11" borderId="0" xfId="0" applyFill="1" applyBorder="1" applyAlignment="1">
      <alignment horizontal="center" vertical="center"/>
    </xf>
    <xf numFmtId="0" fontId="0" fillId="11" borderId="16" xfId="0" applyFill="1" applyBorder="1" applyAlignment="1">
      <alignment horizontal="center" vertical="center"/>
    </xf>
    <xf numFmtId="0" fontId="0" fillId="11" borderId="11" xfId="0" applyFill="1" applyBorder="1" applyAlignment="1">
      <alignment horizontal="center" vertical="center"/>
    </xf>
    <xf numFmtId="0" fontId="0" fillId="11" borderId="2" xfId="0" applyFill="1" applyBorder="1" applyAlignment="1">
      <alignment horizontal="center" vertical="center"/>
    </xf>
    <xf numFmtId="0" fontId="0" fillId="11" borderId="6" xfId="0" applyFill="1" applyBorder="1" applyAlignment="1">
      <alignment horizontal="center" vertical="center"/>
    </xf>
    <xf numFmtId="0" fontId="0" fillId="4" borderId="4" xfId="0" applyFill="1" applyBorder="1" applyAlignment="1">
      <alignment horizontal="center"/>
    </xf>
    <xf numFmtId="0" fontId="0" fillId="4" borderId="7" xfId="0" applyFill="1" applyBorder="1" applyAlignment="1">
      <alignment horizontal="center"/>
    </xf>
    <xf numFmtId="177" fontId="0" fillId="7" borderId="5" xfId="0" applyNumberFormat="1" applyFill="1" applyBorder="1" applyAlignment="1">
      <alignment horizontal="center" vertical="center"/>
    </xf>
    <xf numFmtId="177" fontId="0" fillId="7" borderId="0" xfId="0" applyNumberFormat="1" applyFill="1" applyBorder="1" applyAlignment="1">
      <alignment horizontal="center" vertical="center"/>
    </xf>
    <xf numFmtId="177" fontId="0" fillId="7" borderId="16" xfId="0" applyNumberFormat="1" applyFill="1" applyBorder="1" applyAlignment="1">
      <alignment horizontal="center" vertical="center"/>
    </xf>
    <xf numFmtId="177" fontId="0" fillId="7" borderId="11" xfId="0" applyNumberFormat="1" applyFill="1" applyBorder="1" applyAlignment="1">
      <alignment horizontal="center" vertical="center"/>
    </xf>
    <xf numFmtId="177" fontId="0" fillId="7" borderId="2" xfId="0" applyNumberFormat="1" applyFill="1" applyBorder="1" applyAlignment="1">
      <alignment horizontal="center" vertical="center"/>
    </xf>
    <xf numFmtId="177" fontId="0" fillId="7" borderId="6" xfId="0" applyNumberFormat="1" applyFill="1" applyBorder="1" applyAlignment="1">
      <alignment horizontal="center" vertical="center"/>
    </xf>
    <xf numFmtId="181" fontId="0" fillId="4" borderId="4" xfId="0" applyNumberFormat="1" applyFill="1" applyBorder="1" applyAlignment="1">
      <alignment horizontal="center"/>
    </xf>
    <xf numFmtId="181" fontId="0" fillId="4" borderId="7" xfId="0" applyNumberFormat="1" applyFill="1" applyBorder="1" applyAlignment="1">
      <alignment horizontal="center"/>
    </xf>
    <xf numFmtId="181" fontId="0" fillId="4" borderId="1" xfId="0" applyNumberFormat="1" applyFill="1" applyBorder="1" applyAlignment="1">
      <alignment horizontal="center"/>
    </xf>
    <xf numFmtId="181" fontId="142" fillId="4" borderId="1" xfId="0" applyNumberFormat="1" applyFont="1" applyFill="1" applyBorder="1" applyAlignment="1">
      <alignment horizontal="center"/>
    </xf>
    <xf numFmtId="177" fontId="0" fillId="7" borderId="14" xfId="0" applyNumberFormat="1" applyFill="1" applyBorder="1" applyAlignment="1">
      <alignment horizontal="center" vertical="center"/>
    </xf>
    <xf numFmtId="177" fontId="0" fillId="7" borderId="13" xfId="0" applyNumberFormat="1" applyFill="1" applyBorder="1" applyAlignment="1">
      <alignment horizontal="center" vertical="center"/>
    </xf>
    <xf numFmtId="0" fontId="142" fillId="11" borderId="10" xfId="0" applyNumberFormat="1" applyFont="1" applyFill="1" applyBorder="1" applyAlignment="1">
      <alignment horizontal="center" vertical="center"/>
    </xf>
    <xf numFmtId="0" fontId="0" fillId="11" borderId="14" xfId="0" applyNumberFormat="1" applyFill="1" applyBorder="1" applyAlignment="1">
      <alignment horizontal="center" vertical="center"/>
    </xf>
    <xf numFmtId="0" fontId="0" fillId="11" borderId="13" xfId="0" applyNumberFormat="1" applyFill="1" applyBorder="1" applyAlignment="1">
      <alignment horizontal="center" vertical="center"/>
    </xf>
    <xf numFmtId="0" fontId="0" fillId="11" borderId="5" xfId="0" applyNumberFormat="1" applyFill="1" applyBorder="1" applyAlignment="1">
      <alignment horizontal="center" vertical="center"/>
    </xf>
    <xf numFmtId="0" fontId="0" fillId="11" borderId="0" xfId="0" applyNumberFormat="1" applyFill="1" applyBorder="1" applyAlignment="1">
      <alignment horizontal="center" vertical="center"/>
    </xf>
    <xf numFmtId="0" fontId="0" fillId="11" borderId="16" xfId="0" applyNumberFormat="1" applyFill="1" applyBorder="1" applyAlignment="1">
      <alignment horizontal="center" vertical="center"/>
    </xf>
    <xf numFmtId="0" fontId="0" fillId="11" borderId="11" xfId="0" applyNumberFormat="1" applyFill="1" applyBorder="1" applyAlignment="1">
      <alignment horizontal="center" vertical="center"/>
    </xf>
    <xf numFmtId="0" fontId="0" fillId="11" borderId="2" xfId="0" applyNumberFormat="1" applyFill="1" applyBorder="1" applyAlignment="1">
      <alignment horizontal="center" vertical="center"/>
    </xf>
    <xf numFmtId="0" fontId="0" fillId="11" borderId="6" xfId="0" applyNumberFormat="1" applyFill="1" applyBorder="1" applyAlignment="1">
      <alignment horizontal="center" vertical="center"/>
    </xf>
    <xf numFmtId="0" fontId="150" fillId="19" borderId="1" xfId="0" applyFont="1" applyFill="1" applyBorder="1" applyAlignment="1">
      <alignment horizontal="center" vertical="center"/>
    </xf>
    <xf numFmtId="0" fontId="150" fillId="0" borderId="4" xfId="0" applyFont="1" applyBorder="1" applyAlignment="1">
      <alignment horizontal="center" vertical="center" wrapText="1"/>
    </xf>
    <xf numFmtId="0" fontId="150" fillId="0" borderId="7" xfId="0" applyFont="1" applyBorder="1" applyAlignment="1">
      <alignment horizontal="center" vertical="center" wrapText="1"/>
    </xf>
    <xf numFmtId="0" fontId="150" fillId="0" borderId="4" xfId="0" applyFont="1" applyFill="1" applyBorder="1" applyAlignment="1">
      <alignment horizontal="center" vertical="center" wrapText="1"/>
    </xf>
    <xf numFmtId="0" fontId="150" fillId="0" borderId="7" xfId="0" applyFont="1" applyFill="1" applyBorder="1" applyAlignment="1">
      <alignment horizontal="center" vertical="center" wrapText="1"/>
    </xf>
    <xf numFmtId="0" fontId="142" fillId="6" borderId="23" xfId="0" applyFont="1" applyFill="1" applyBorder="1" applyAlignment="1">
      <alignment horizontal="center" vertical="center" wrapText="1"/>
    </xf>
    <xf numFmtId="0" fontId="0" fillId="6" borderId="0" xfId="0" applyFill="1" applyBorder="1" applyAlignment="1">
      <alignment horizontal="center" vertical="center" wrapText="1"/>
    </xf>
    <xf numFmtId="0" fontId="0" fillId="6" borderId="26" xfId="0" applyFill="1" applyBorder="1" applyAlignment="1">
      <alignment horizontal="center" vertical="center" wrapText="1"/>
    </xf>
    <xf numFmtId="0" fontId="142" fillId="6" borderId="21" xfId="0" applyFont="1" applyFill="1" applyBorder="1" applyAlignment="1">
      <alignment horizontal="center" vertical="center" wrapText="1"/>
    </xf>
    <xf numFmtId="0" fontId="142" fillId="6" borderId="0" xfId="0" applyFont="1" applyFill="1" applyBorder="1" applyAlignment="1">
      <alignment horizontal="center" vertical="center" wrapText="1"/>
    </xf>
    <xf numFmtId="0" fontId="142" fillId="6" borderId="25" xfId="0" applyFont="1" applyFill="1" applyBorder="1" applyAlignment="1">
      <alignment horizontal="center" vertical="center" wrapText="1"/>
    </xf>
    <xf numFmtId="0" fontId="142" fillId="6" borderId="15" xfId="0" applyFont="1" applyFill="1" applyBorder="1" applyAlignment="1">
      <alignment horizontal="center" vertical="center" wrapText="1"/>
    </xf>
    <xf numFmtId="0" fontId="200" fillId="0" borderId="1" xfId="0" applyFont="1" applyBorder="1">
      <alignment vertical="center"/>
    </xf>
    <xf numFmtId="0" fontId="145" fillId="0" borderId="1" xfId="0" applyFont="1" applyBorder="1" applyAlignment="1">
      <alignment horizontal="center" vertical="center" wrapText="1"/>
    </xf>
    <xf numFmtId="0" fontId="38" fillId="0" borderId="1" xfId="0" applyFont="1" applyBorder="1" applyAlignment="1">
      <alignment horizontal="center" vertical="center" wrapText="1"/>
    </xf>
    <xf numFmtId="0" fontId="38" fillId="0" borderId="9" xfId="0" applyFont="1" applyBorder="1" applyAlignment="1">
      <alignment horizontal="center" vertical="center" wrapText="1"/>
    </xf>
    <xf numFmtId="0" fontId="38" fillId="0" borderId="8" xfId="0" applyFont="1" applyBorder="1" applyAlignment="1">
      <alignment horizontal="center" vertical="center" wrapText="1"/>
    </xf>
    <xf numFmtId="0" fontId="38" fillId="0" borderId="12" xfId="0" applyFont="1" applyBorder="1" applyAlignment="1">
      <alignment horizontal="center" vertical="center" wrapText="1"/>
    </xf>
    <xf numFmtId="0" fontId="142" fillId="0" borderId="8" xfId="0" applyFont="1" applyFill="1" applyBorder="1" applyAlignment="1">
      <alignment horizontal="center" vertical="center" wrapText="1"/>
    </xf>
    <xf numFmtId="0" fontId="142" fillId="0" borderId="12" xfId="0" applyFont="1" applyFill="1" applyBorder="1" applyAlignment="1">
      <alignment horizontal="center" vertical="center" wrapText="1"/>
    </xf>
    <xf numFmtId="0" fontId="9" fillId="0" borderId="1" xfId="0" applyFont="1" applyBorder="1" applyAlignment="1">
      <alignment horizontal="center" vertical="center" wrapText="1"/>
    </xf>
    <xf numFmtId="0" fontId="145" fillId="0" borderId="4" xfId="0" applyFont="1" applyBorder="1" applyAlignment="1">
      <alignment horizontal="center" vertical="center" wrapText="1"/>
    </xf>
    <xf numFmtId="0" fontId="145" fillId="0" borderId="3" xfId="0" applyFont="1" applyBorder="1" applyAlignment="1">
      <alignment horizontal="center" vertical="center" wrapText="1"/>
    </xf>
    <xf numFmtId="0" fontId="145" fillId="0" borderId="7" xfId="0" applyFont="1" applyBorder="1" applyAlignment="1">
      <alignment horizontal="center" vertical="center" wrapText="1"/>
    </xf>
    <xf numFmtId="0" fontId="145" fillId="0" borderId="9" xfId="0" applyFont="1" applyBorder="1" applyAlignment="1">
      <alignment horizontal="center" vertical="center" wrapText="1"/>
    </xf>
    <xf numFmtId="0" fontId="145" fillId="0" borderId="8" xfId="0" applyFont="1" applyBorder="1" applyAlignment="1">
      <alignment horizontal="center" vertical="center" wrapText="1"/>
    </xf>
    <xf numFmtId="0" fontId="145" fillId="4" borderId="9" xfId="0" applyFont="1" applyFill="1" applyBorder="1" applyAlignment="1">
      <alignment horizontal="center" vertical="center" wrapText="1"/>
    </xf>
    <xf numFmtId="0" fontId="145" fillId="4" borderId="8" xfId="0" applyFont="1" applyFill="1" applyBorder="1" applyAlignment="1">
      <alignment horizontal="center" vertical="center" wrapText="1"/>
    </xf>
    <xf numFmtId="0" fontId="145" fillId="4" borderId="12" xfId="0" applyFont="1" applyFill="1" applyBorder="1" applyAlignment="1">
      <alignment horizontal="center" vertical="center" wrapText="1"/>
    </xf>
    <xf numFmtId="0" fontId="145" fillId="4" borderId="9" xfId="0" applyFont="1" applyFill="1" applyBorder="1" applyAlignment="1">
      <alignment horizontal="center" vertical="center"/>
    </xf>
    <xf numFmtId="0" fontId="145" fillId="4" borderId="8" xfId="0" applyFont="1" applyFill="1" applyBorder="1" applyAlignment="1">
      <alignment horizontal="center" vertical="center"/>
    </xf>
    <xf numFmtId="0" fontId="49" fillId="0" borderId="9" xfId="0" applyFont="1" applyBorder="1" applyAlignment="1">
      <alignment horizontal="center" vertical="center" wrapText="1"/>
    </xf>
    <xf numFmtId="0" fontId="49" fillId="0" borderId="12" xfId="0" applyFont="1" applyBorder="1" applyAlignment="1">
      <alignment horizontal="center" vertical="center" wrapText="1"/>
    </xf>
    <xf numFmtId="0" fontId="172" fillId="0" borderId="1" xfId="0" applyFont="1" applyFill="1" applyBorder="1" applyAlignment="1">
      <alignment horizontal="center" vertical="center"/>
    </xf>
    <xf numFmtId="0" fontId="150" fillId="2" borderId="1" xfId="0" applyFont="1" applyFill="1" applyBorder="1" applyAlignment="1">
      <alignment horizontal="center" vertical="center" wrapText="1"/>
    </xf>
    <xf numFmtId="0" fontId="202" fillId="2" borderId="1" xfId="0" applyFont="1" applyFill="1" applyBorder="1" applyAlignment="1">
      <alignment horizontal="center" vertical="center" wrapText="1"/>
    </xf>
    <xf numFmtId="181" fontId="68" fillId="7" borderId="1" xfId="0" applyNumberFormat="1" applyFont="1" applyFill="1" applyBorder="1" applyAlignment="1">
      <alignment horizontal="center" vertical="center"/>
    </xf>
    <xf numFmtId="0" fontId="73" fillId="10" borderId="9" xfId="0" applyFont="1" applyFill="1" applyBorder="1" applyAlignment="1">
      <alignment horizontal="center" vertical="center"/>
    </xf>
    <xf numFmtId="180" fontId="68" fillId="4" borderId="4" xfId="0" applyNumberFormat="1" applyFont="1" applyFill="1" applyBorder="1" applyAlignment="1">
      <alignment horizontal="center" vertical="center"/>
    </xf>
    <xf numFmtId="180" fontId="68" fillId="4" borderId="3" xfId="0" applyNumberFormat="1" applyFont="1" applyFill="1" applyBorder="1" applyAlignment="1">
      <alignment horizontal="center" vertical="center"/>
    </xf>
    <xf numFmtId="180" fontId="68" fillId="4" borderId="7" xfId="0" applyNumberFormat="1" applyFont="1" applyFill="1" applyBorder="1" applyAlignment="1">
      <alignment horizontal="center" vertical="center"/>
    </xf>
    <xf numFmtId="179" fontId="68" fillId="4" borderId="1" xfId="0" applyNumberFormat="1" applyFont="1" applyFill="1" applyBorder="1" applyAlignment="1">
      <alignment horizontal="center" vertical="center"/>
    </xf>
    <xf numFmtId="250" fontId="68" fillId="5" borderId="4" xfId="0" applyNumberFormat="1" applyFont="1" applyFill="1" applyBorder="1" applyAlignment="1">
      <alignment horizontal="right" vertical="center"/>
    </xf>
    <xf numFmtId="250" fontId="68" fillId="5" borderId="3" xfId="0" applyNumberFormat="1" applyFont="1" applyFill="1" applyBorder="1" applyAlignment="1">
      <alignment horizontal="right" vertical="center"/>
    </xf>
    <xf numFmtId="182" fontId="68" fillId="0" borderId="3" xfId="0" applyNumberFormat="1" applyFont="1" applyBorder="1" applyAlignment="1">
      <alignment horizontal="center" vertical="center"/>
    </xf>
    <xf numFmtId="0" fontId="1" fillId="0" borderId="1" xfId="9" applyFont="1" applyBorder="1" applyAlignment="1">
      <alignment horizontal="center" vertical="center"/>
    </xf>
    <xf numFmtId="0" fontId="1" fillId="0" borderId="1" xfId="9" applyBorder="1" applyAlignment="1">
      <alignment horizontal="center" vertical="center"/>
    </xf>
    <xf numFmtId="0" fontId="68" fillId="10" borderId="4" xfId="0" applyNumberFormat="1" applyFont="1" applyFill="1" applyBorder="1" applyAlignment="1">
      <alignment horizontal="center" vertical="center"/>
    </xf>
    <xf numFmtId="0" fontId="68" fillId="10" borderId="3" xfId="0" applyNumberFormat="1" applyFont="1" applyFill="1" applyBorder="1" applyAlignment="1">
      <alignment horizontal="center" vertical="center"/>
    </xf>
    <xf numFmtId="0" fontId="60" fillId="0" borderId="14" xfId="0" applyFont="1" applyBorder="1" applyAlignment="1">
      <alignment horizontal="center" vertical="center"/>
    </xf>
    <xf numFmtId="0" fontId="68" fillId="0" borderId="14" xfId="0" applyFont="1" applyBorder="1" applyAlignment="1">
      <alignment horizontal="center" vertical="center"/>
    </xf>
    <xf numFmtId="0" fontId="16" fillId="10" borderId="3" xfId="0" applyNumberFormat="1" applyFont="1" applyFill="1" applyBorder="1" applyAlignment="1">
      <alignment horizontal="center" vertical="center"/>
    </xf>
    <xf numFmtId="0" fontId="73" fillId="0" borderId="3" xfId="0" applyFont="1" applyBorder="1" applyAlignment="1">
      <alignment horizontal="center" vertical="center"/>
    </xf>
    <xf numFmtId="0" fontId="73" fillId="0" borderId="3" xfId="0" applyFont="1" applyBorder="1" applyAlignment="1">
      <alignment horizontal="left" vertical="center"/>
    </xf>
    <xf numFmtId="0" fontId="1" fillId="0" borderId="8" xfId="9" applyFont="1" applyBorder="1" applyAlignment="1">
      <alignment horizontal="center" vertical="center"/>
    </xf>
    <xf numFmtId="0" fontId="1" fillId="0" borderId="12" xfId="9" applyFont="1" applyBorder="1" applyAlignment="1">
      <alignment horizontal="center" vertical="center"/>
    </xf>
    <xf numFmtId="181" fontId="68" fillId="0" borderId="4" xfId="0" applyNumberFormat="1" applyFont="1" applyBorder="1" applyAlignment="1">
      <alignment horizontal="center" vertical="center" wrapText="1"/>
    </xf>
    <xf numFmtId="181" fontId="68" fillId="0" borderId="3" xfId="0" applyNumberFormat="1" applyFont="1" applyBorder="1" applyAlignment="1">
      <alignment horizontal="center" vertical="center" wrapText="1"/>
    </xf>
    <xf numFmtId="181" fontId="68" fillId="0" borderId="7" xfId="0" applyNumberFormat="1" applyFont="1" applyBorder="1" applyAlignment="1">
      <alignment horizontal="center" vertical="center" wrapText="1"/>
    </xf>
    <xf numFmtId="179" fontId="68" fillId="0" borderId="1" xfId="0" applyNumberFormat="1" applyFont="1" applyBorder="1" applyAlignment="1">
      <alignment horizontal="center" vertical="center" wrapText="1"/>
    </xf>
    <xf numFmtId="248" fontId="68" fillId="5" borderId="4" xfId="0" applyNumberFormat="1" applyFont="1" applyFill="1" applyBorder="1" applyAlignment="1">
      <alignment horizontal="right" vertical="center"/>
    </xf>
    <xf numFmtId="248" fontId="68" fillId="5" borderId="3" xfId="0" applyNumberFormat="1" applyFont="1" applyFill="1" applyBorder="1" applyAlignment="1">
      <alignment horizontal="right" vertical="center"/>
    </xf>
    <xf numFmtId="180" fontId="68" fillId="0" borderId="1" xfId="0" applyNumberFormat="1" applyFont="1" applyBorder="1" applyAlignment="1">
      <alignment horizontal="center" vertical="center"/>
    </xf>
    <xf numFmtId="179" fontId="68" fillId="0" borderId="1" xfId="0" applyNumberFormat="1" applyFont="1" applyBorder="1" applyAlignment="1">
      <alignment horizontal="center" vertical="center"/>
    </xf>
    <xf numFmtId="179" fontId="0" fillId="4" borderId="1" xfId="0" applyNumberFormat="1" applyFill="1" applyBorder="1" applyAlignment="1">
      <alignment horizontal="center" vertical="center"/>
    </xf>
    <xf numFmtId="0" fontId="68" fillId="0" borderId="4" xfId="0" applyFont="1" applyBorder="1" applyAlignment="1">
      <alignment horizontal="center" wrapText="1"/>
    </xf>
    <xf numFmtId="0" fontId="68" fillId="0" borderId="3" xfId="0" applyFont="1" applyBorder="1" applyAlignment="1">
      <alignment horizontal="center"/>
    </xf>
    <xf numFmtId="0" fontId="0" fillId="0" borderId="3" xfId="0" applyBorder="1" applyAlignment="1">
      <alignment horizontal="center"/>
    </xf>
    <xf numFmtId="49" fontId="68" fillId="0" borderId="3" xfId="0" applyNumberFormat="1" applyFont="1" applyBorder="1" applyAlignment="1">
      <alignment horizontal="center" vertical="center"/>
    </xf>
    <xf numFmtId="49" fontId="0" fillId="0" borderId="3" xfId="0" applyNumberFormat="1" applyBorder="1" applyAlignment="1">
      <alignment vertical="center"/>
    </xf>
    <xf numFmtId="0" fontId="68" fillId="0" borderId="14" xfId="0" applyFont="1" applyBorder="1" applyAlignment="1">
      <alignment horizontal="center" vertical="center" wrapText="1"/>
    </xf>
    <xf numFmtId="0" fontId="68" fillId="0" borderId="13" xfId="0" applyFont="1" applyBorder="1" applyAlignment="1">
      <alignment horizontal="center" vertical="center" wrapText="1"/>
    </xf>
    <xf numFmtId="0" fontId="68" fillId="0" borderId="3" xfId="0" applyFont="1" applyBorder="1" applyAlignment="1">
      <alignment vertical="center"/>
    </xf>
    <xf numFmtId="0" fontId="68" fillId="0" borderId="4" xfId="0" applyFont="1" applyBorder="1" applyAlignment="1">
      <alignment horizontal="center" vertical="center" wrapText="1"/>
    </xf>
    <xf numFmtId="0" fontId="68" fillId="0" borderId="3" xfId="0" applyFont="1" applyBorder="1" applyAlignment="1">
      <alignment horizontal="center" vertical="center" wrapText="1"/>
    </xf>
    <xf numFmtId="0" fontId="68" fillId="0" borderId="7" xfId="0" applyFont="1" applyBorder="1" applyAlignment="1">
      <alignment horizontal="center" vertical="center" wrapText="1"/>
    </xf>
    <xf numFmtId="181" fontId="68" fillId="4" borderId="1" xfId="0" applyNumberFormat="1" applyFont="1" applyFill="1" applyBorder="1" applyAlignment="1">
      <alignment horizontal="center" vertical="center"/>
    </xf>
    <xf numFmtId="179" fontId="68" fillId="4" borderId="1" xfId="0" applyNumberFormat="1" applyFont="1" applyFill="1" applyBorder="1" applyAlignment="1">
      <alignment horizontal="center" vertical="center" wrapText="1"/>
    </xf>
    <xf numFmtId="254" fontId="68" fillId="5" borderId="1" xfId="0" applyNumberFormat="1" applyFont="1" applyFill="1" applyBorder="1" applyAlignment="1">
      <alignment horizontal="center" vertical="center"/>
    </xf>
    <xf numFmtId="250" fontId="68" fillId="5" borderId="1" xfId="0" applyNumberFormat="1" applyFont="1" applyFill="1" applyBorder="1" applyAlignment="1">
      <alignment horizontal="center" vertical="center"/>
    </xf>
    <xf numFmtId="0" fontId="49" fillId="0" borderId="9" xfId="0" applyFont="1" applyBorder="1" applyAlignment="1">
      <alignment horizontal="center" vertical="center"/>
    </xf>
    <xf numFmtId="0" fontId="49" fillId="0" borderId="10" xfId="0" applyFont="1" applyBorder="1" applyAlignment="1">
      <alignment horizontal="center" vertical="center"/>
    </xf>
    <xf numFmtId="0" fontId="11" fillId="0" borderId="14" xfId="0" applyFont="1" applyBorder="1" applyAlignment="1">
      <alignment horizontal="left" vertical="center"/>
    </xf>
    <xf numFmtId="0" fontId="11" fillId="0" borderId="13" xfId="0" applyFont="1" applyBorder="1" applyAlignment="1">
      <alignment horizontal="left" vertical="center"/>
    </xf>
    <xf numFmtId="182" fontId="68" fillId="5" borderId="1" xfId="0" applyNumberFormat="1" applyFont="1" applyFill="1" applyBorder="1" applyAlignment="1">
      <alignment horizontal="center" vertical="center"/>
    </xf>
    <xf numFmtId="181" fontId="68" fillId="5" borderId="4" xfId="0" applyNumberFormat="1" applyFont="1" applyFill="1" applyBorder="1" applyAlignment="1">
      <alignment horizontal="right" vertical="center"/>
    </xf>
    <xf numFmtId="181" fontId="68" fillId="5" borderId="3" xfId="0" applyNumberFormat="1" applyFont="1" applyFill="1" applyBorder="1" applyAlignment="1">
      <alignment horizontal="right" vertical="center"/>
    </xf>
    <xf numFmtId="182" fontId="68" fillId="4" borderId="1" xfId="0" applyNumberFormat="1" applyFont="1" applyFill="1" applyBorder="1" applyAlignment="1">
      <alignment horizontal="center" vertical="center"/>
    </xf>
    <xf numFmtId="179" fontId="68" fillId="18" borderId="1" xfId="0" applyNumberFormat="1" applyFont="1" applyFill="1" applyBorder="1" applyAlignment="1">
      <alignment horizontal="center" vertical="center" wrapText="1"/>
    </xf>
    <xf numFmtId="179" fontId="68" fillId="18" borderId="1" xfId="0" applyNumberFormat="1" applyFont="1" applyFill="1" applyBorder="1" applyAlignment="1">
      <alignment horizontal="center" vertical="center"/>
    </xf>
    <xf numFmtId="254" fontId="68" fillId="0" borderId="1" xfId="0" applyNumberFormat="1" applyFont="1" applyBorder="1" applyAlignment="1">
      <alignment horizontal="center" vertical="center"/>
    </xf>
    <xf numFmtId="182" fontId="9" fillId="4" borderId="1" xfId="0" applyNumberFormat="1" applyFont="1" applyFill="1" applyBorder="1" applyAlignment="1">
      <alignment horizontal="center" vertical="center"/>
    </xf>
    <xf numFmtId="0" fontId="73" fillId="10" borderId="4" xfId="0" applyFont="1" applyFill="1" applyBorder="1" applyAlignment="1">
      <alignment horizontal="center" vertical="center"/>
    </xf>
    <xf numFmtId="0" fontId="73" fillId="10" borderId="3" xfId="0" applyFont="1" applyFill="1" applyBorder="1" applyAlignment="1">
      <alignment horizontal="center" vertical="center"/>
    </xf>
    <xf numFmtId="0" fontId="73" fillId="10" borderId="7" xfId="0" applyFont="1" applyFill="1" applyBorder="1" applyAlignment="1">
      <alignment horizontal="center" vertical="center"/>
    </xf>
    <xf numFmtId="0" fontId="68" fillId="10" borderId="3" xfId="0" applyFont="1" applyFill="1" applyBorder="1" applyAlignment="1">
      <alignment horizontal="center" vertical="center"/>
    </xf>
    <xf numFmtId="0" fontId="68" fillId="0" borderId="13" xfId="0" applyFont="1" applyBorder="1" applyAlignment="1">
      <alignment horizontal="center" vertical="center"/>
    </xf>
    <xf numFmtId="0" fontId="49" fillId="10" borderId="9" xfId="0" applyFont="1" applyFill="1" applyBorder="1" applyAlignment="1">
      <alignment horizontal="center" vertical="center"/>
    </xf>
    <xf numFmtId="0" fontId="49" fillId="10" borderId="10" xfId="0" applyFont="1" applyFill="1" applyBorder="1" applyAlignment="1">
      <alignment horizontal="center" vertical="center"/>
    </xf>
    <xf numFmtId="0" fontId="11" fillId="10" borderId="14" xfId="0" applyFont="1" applyFill="1" applyBorder="1" applyAlignment="1">
      <alignment horizontal="left" vertical="center"/>
    </xf>
    <xf numFmtId="0" fontId="11" fillId="10" borderId="13" xfId="0" applyFont="1" applyFill="1" applyBorder="1" applyAlignment="1">
      <alignment horizontal="left" vertical="center"/>
    </xf>
    <xf numFmtId="250" fontId="68" fillId="10" borderId="10" xfId="0" applyNumberFormat="1" applyFont="1" applyFill="1" applyBorder="1" applyAlignment="1">
      <alignment horizontal="center" vertical="center"/>
    </xf>
    <xf numFmtId="250" fontId="68" fillId="10" borderId="14" xfId="0" applyNumberFormat="1" applyFont="1" applyFill="1" applyBorder="1" applyAlignment="1">
      <alignment horizontal="center" vertical="center"/>
    </xf>
    <xf numFmtId="250" fontId="68" fillId="10" borderId="13" xfId="0" applyNumberFormat="1" applyFont="1" applyFill="1" applyBorder="1" applyAlignment="1">
      <alignment horizontal="center" vertical="center"/>
    </xf>
    <xf numFmtId="250" fontId="68" fillId="10" borderId="5" xfId="0" applyNumberFormat="1" applyFont="1" applyFill="1" applyBorder="1" applyAlignment="1">
      <alignment horizontal="center" vertical="center"/>
    </xf>
    <xf numFmtId="250" fontId="68" fillId="10" borderId="0" xfId="0" applyNumberFormat="1" applyFont="1" applyFill="1" applyBorder="1" applyAlignment="1">
      <alignment horizontal="center" vertical="center"/>
    </xf>
    <xf numFmtId="250" fontId="68" fillId="10" borderId="16" xfId="0" applyNumberFormat="1" applyFont="1" applyFill="1" applyBorder="1" applyAlignment="1">
      <alignment horizontal="center" vertical="center"/>
    </xf>
    <xf numFmtId="250" fontId="68" fillId="10" borderId="11" xfId="0" applyNumberFormat="1" applyFont="1" applyFill="1" applyBorder="1" applyAlignment="1">
      <alignment horizontal="center" vertical="center"/>
    </xf>
    <xf numFmtId="251" fontId="68" fillId="5" borderId="1" xfId="0" applyNumberFormat="1" applyFont="1" applyFill="1" applyBorder="1" applyAlignment="1">
      <alignment horizontal="center" vertical="center"/>
    </xf>
    <xf numFmtId="252" fontId="68" fillId="5" borderId="1" xfId="0" applyNumberFormat="1" applyFont="1" applyFill="1" applyBorder="1" applyAlignment="1">
      <alignment horizontal="center" vertical="center"/>
    </xf>
    <xf numFmtId="0" fontId="68" fillId="5" borderId="10" xfId="0" applyFont="1" applyFill="1" applyBorder="1" applyAlignment="1">
      <alignment horizontal="center" vertical="center" wrapText="1"/>
    </xf>
    <xf numFmtId="0" fontId="68" fillId="5" borderId="14" xfId="0" applyFont="1" applyFill="1" applyBorder="1" applyAlignment="1">
      <alignment horizontal="center" vertical="center" wrapText="1"/>
    </xf>
    <xf numFmtId="0" fontId="68" fillId="5" borderId="13" xfId="0" applyFont="1" applyFill="1" applyBorder="1" applyAlignment="1">
      <alignment horizontal="center" vertical="center" wrapText="1"/>
    </xf>
    <xf numFmtId="0" fontId="228" fillId="23" borderId="0" xfId="0" applyFont="1" applyFill="1" applyBorder="1" applyAlignment="1">
      <alignment horizontal="left" vertical="top" wrapText="1"/>
    </xf>
  </cellXfs>
  <cellStyles count="26">
    <cellStyle name="常规" xfId="0" builtinId="0"/>
    <cellStyle name="常规 2" xfId="1"/>
    <cellStyle name="常规 2 2" xfId="2"/>
    <cellStyle name="常规 2 2 2" xfId="3"/>
    <cellStyle name="常规 2 3" xfId="4"/>
    <cellStyle name="常规 3" xfId="5"/>
    <cellStyle name="常规 3 2" xfId="6"/>
    <cellStyle name="常规 3 2 2" xfId="7"/>
    <cellStyle name="常规 3 3" xfId="8"/>
    <cellStyle name="常规 4" xfId="9"/>
    <cellStyle name="常规 4 2" xfId="10"/>
    <cellStyle name="常规 5" xfId="11"/>
    <cellStyle name="常规 5 2" xfId="12"/>
    <cellStyle name="常规 6" xfId="13"/>
    <cellStyle name="常规 7" xfId="14"/>
    <cellStyle name="常规 8" xfId="15"/>
    <cellStyle name="常规_34401A" xfId="16"/>
    <cellStyle name="常规_GZX1" xfId="17"/>
    <cellStyle name="常规_检定证书格式20051128" xfId="18"/>
    <cellStyle name="常规_检定证书格式20051128 2" xfId="19"/>
    <cellStyle name="超链接" xfId="20" builtinId="8"/>
    <cellStyle name="超链接 2" xfId="21"/>
    <cellStyle name="货币" xfId="22" builtinId="4"/>
    <cellStyle name="货币 2" xfId="23"/>
    <cellStyle name="货币 3" xfId="24"/>
    <cellStyle name="货币 4" xfId="25"/>
  </cellStyles>
  <dxfs count="234">
    <dxf>
      <numFmt numFmtId="256" formatCode="0.000"/>
    </dxf>
    <dxf>
      <numFmt numFmtId="256" formatCode="0.000"/>
    </dxf>
    <dxf>
      <numFmt numFmtId="256" formatCode="0.000"/>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indexed="22"/>
        </patternFill>
      </fill>
    </dxf>
    <dxf>
      <fill>
        <patternFill>
          <bgColor indexed="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indexed="53"/>
        </patternFill>
      </fill>
    </dxf>
    <dxf>
      <fill>
        <patternFill>
          <bgColor indexed="53"/>
        </patternFill>
      </fill>
    </dxf>
    <dxf>
      <fill>
        <patternFill>
          <bgColor indexed="53"/>
        </patternFill>
      </fill>
    </dxf>
    <dxf>
      <fill>
        <patternFill>
          <bgColor indexed="53"/>
        </patternFill>
      </fill>
    </dxf>
    <dxf>
      <fill>
        <patternFill>
          <bgColor indexed="53"/>
        </patternFill>
      </fill>
    </dxf>
    <dxf>
      <fill>
        <patternFill>
          <bgColor indexed="53"/>
        </patternFill>
      </fill>
    </dxf>
    <dxf>
      <fill>
        <patternFill>
          <bgColor indexed="31"/>
        </patternFill>
      </fill>
    </dxf>
    <dxf>
      <fill>
        <patternFill>
          <bgColor indexed="31"/>
        </patternFill>
      </fill>
    </dxf>
    <dxf>
      <fill>
        <patternFill>
          <bgColor indexed="53"/>
        </patternFill>
      </fill>
    </dxf>
    <dxf>
      <fill>
        <patternFill>
          <bgColor indexed="53"/>
        </patternFill>
      </fill>
    </dxf>
    <dxf>
      <fill>
        <patternFill>
          <bgColor indexed="31"/>
        </patternFill>
      </fill>
    </dxf>
    <dxf>
      <fill>
        <patternFill>
          <bgColor indexed="31"/>
        </patternFill>
      </fill>
    </dxf>
    <dxf>
      <fill>
        <patternFill>
          <bgColor indexed="53"/>
        </patternFill>
      </fill>
    </dxf>
    <dxf>
      <fill>
        <patternFill>
          <bgColor indexed="53"/>
        </patternFill>
      </fill>
    </dxf>
    <dxf>
      <fill>
        <patternFill>
          <bgColor indexed="53"/>
        </patternFill>
      </fill>
    </dxf>
    <dxf>
      <fill>
        <patternFill>
          <bgColor indexed="53"/>
        </patternFill>
      </fill>
    </dxf>
    <dxf>
      <fill>
        <patternFill>
          <bgColor indexed="31"/>
        </patternFill>
      </fill>
    </dxf>
    <dxf>
      <fill>
        <patternFill>
          <bgColor indexed="31"/>
        </patternFill>
      </fill>
    </dxf>
    <dxf>
      <fill>
        <patternFill>
          <bgColor indexed="53"/>
        </patternFill>
      </fill>
    </dxf>
    <dxf>
      <fill>
        <patternFill>
          <bgColor indexed="53"/>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55"/>
        </patternFill>
      </fill>
    </dxf>
    <dxf>
      <fill>
        <patternFill>
          <bgColor indexed="55"/>
        </patternFill>
      </fill>
    </dxf>
    <dxf>
      <fill>
        <patternFill>
          <bgColor indexed="55"/>
        </patternFill>
      </fill>
    </dxf>
    <dxf>
      <fill>
        <patternFill>
          <bgColor indexed="55"/>
        </patternFill>
      </fill>
    </dxf>
    <dxf>
      <fill>
        <patternFill>
          <bgColor indexed="55"/>
        </patternFill>
      </fill>
    </dxf>
    <dxf>
      <fill>
        <patternFill>
          <bgColor indexed="55"/>
        </patternFill>
      </fill>
    </dxf>
    <dxf>
      <fill>
        <patternFill>
          <bgColor indexed="55"/>
        </patternFill>
      </fill>
    </dxf>
    <dxf>
      <fill>
        <patternFill>
          <bgColor indexed="55"/>
        </patternFill>
      </fill>
    </dxf>
    <dxf>
      <fill>
        <patternFill>
          <bgColor indexed="55"/>
        </patternFill>
      </fill>
    </dxf>
    <dxf>
      <fill>
        <patternFill>
          <bgColor indexed="55"/>
        </patternFill>
      </fill>
    </dxf>
    <dxf>
      <fill>
        <patternFill>
          <bgColor indexed="22"/>
        </patternFill>
      </fill>
    </dxf>
    <dxf>
      <fill>
        <patternFill>
          <bgColor indexed="22"/>
        </patternFill>
      </fill>
    </dxf>
    <dxf>
      <fill>
        <patternFill>
          <bgColor indexed="2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indexed="53"/>
        </patternFill>
      </fill>
    </dxf>
    <dxf>
      <fill>
        <patternFill>
          <bgColor indexed="53"/>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indexed="53"/>
        </patternFill>
      </fill>
    </dxf>
    <dxf>
      <fill>
        <patternFill>
          <bgColor indexed="53"/>
        </patternFill>
      </fill>
    </dxf>
    <dxf>
      <fill>
        <patternFill>
          <bgColor theme="0" tint="-0.499984740745262"/>
        </patternFill>
      </fill>
    </dxf>
    <dxf>
      <fill>
        <patternFill>
          <bgColor indexed="31"/>
        </patternFill>
      </fill>
    </dxf>
    <dxf>
      <fill>
        <patternFill>
          <bgColor indexed="31"/>
        </patternFill>
      </fill>
    </dxf>
    <dxf>
      <fill>
        <patternFill>
          <bgColor theme="0" tint="-0.499984740745262"/>
        </patternFill>
      </fill>
    </dxf>
    <dxf>
      <fill>
        <patternFill>
          <bgColor theme="0" tint="-0.499984740745262"/>
        </patternFill>
      </fill>
    </dxf>
    <dxf>
      <fill>
        <patternFill>
          <bgColor theme="9" tint="0.39994506668294322"/>
        </patternFill>
      </fill>
    </dxf>
    <dxf>
      <fill>
        <patternFill>
          <bgColor theme="9" tint="0.3999450666829432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9" tint="0.39994506668294322"/>
        </patternFill>
      </fill>
    </dxf>
    <dxf>
      <fill>
        <patternFill>
          <bgColor theme="0" tint="-0.499984740745262"/>
        </patternFill>
      </fill>
    </dxf>
    <dxf>
      <fill>
        <patternFill>
          <bgColor theme="0" tint="-0.49998474074526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3" tint="0.79998168889431442"/>
        </patternFill>
      </fill>
    </dxf>
    <dxf>
      <fill>
        <patternFill>
          <bgColor theme="3" tint="0.79998168889431442"/>
        </patternFill>
      </fill>
    </dxf>
    <dxf>
      <fill>
        <patternFill>
          <bgColor theme="0" tint="-0.499984740745262"/>
        </patternFill>
      </fill>
    </dxf>
    <dxf>
      <fill>
        <patternFill>
          <bgColor theme="0" tint="-0.499984740745262"/>
        </patternFill>
      </fill>
    </dxf>
    <dxf>
      <fill>
        <patternFill>
          <bgColor indexed="23"/>
        </patternFill>
      </fill>
    </dxf>
    <dxf>
      <fill>
        <patternFill>
          <bgColor indexed="23"/>
        </patternFill>
      </fill>
    </dxf>
    <dxf>
      <fill>
        <patternFill>
          <bgColor indexed="23"/>
        </patternFill>
      </fill>
    </dxf>
    <dxf>
      <fill>
        <patternFill>
          <bgColor theme="9" tint="0.39994506668294322"/>
        </patternFill>
      </fill>
    </dxf>
    <dxf>
      <fill>
        <patternFill>
          <bgColor theme="9" tint="0.3999450666829432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9" tint="0.39994506668294322"/>
        </patternFill>
      </fill>
    </dxf>
    <dxf>
      <fill>
        <patternFill>
          <bgColor theme="0" tint="-0.499984740745262"/>
        </patternFill>
      </fill>
    </dxf>
    <dxf>
      <fill>
        <patternFill>
          <bgColor theme="0" tint="-0.499984740745262"/>
        </patternFill>
      </fill>
    </dxf>
    <dxf>
      <fill>
        <patternFill>
          <bgColor indexed="31"/>
        </patternFill>
      </fill>
    </dxf>
    <dxf>
      <fill>
        <patternFill>
          <bgColor indexed="31"/>
        </patternFill>
      </fill>
    </dxf>
    <dxf>
      <fill>
        <patternFill>
          <bgColor indexed="53"/>
        </patternFill>
      </fill>
    </dxf>
    <dxf>
      <fill>
        <patternFill>
          <bgColor indexed="53"/>
        </patternFill>
      </fill>
    </dxf>
    <dxf>
      <fill>
        <patternFill>
          <bgColor indexed="53"/>
        </patternFill>
      </fill>
    </dxf>
    <dxf>
      <fill>
        <patternFill>
          <bgColor indexed="53"/>
        </patternFill>
      </fill>
    </dxf>
    <dxf>
      <fill>
        <patternFill>
          <bgColor indexed="53"/>
        </patternFill>
      </fill>
    </dxf>
    <dxf>
      <fill>
        <patternFill>
          <bgColor theme="9" tint="0.39994506668294322"/>
        </patternFill>
      </fill>
    </dxf>
    <dxf>
      <fill>
        <patternFill>
          <bgColor indexed="53"/>
        </patternFill>
      </fill>
    </dxf>
    <dxf>
      <fill>
        <patternFill>
          <bgColor indexed="53"/>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indexed="53"/>
        </patternFill>
      </fill>
    </dxf>
    <dxf>
      <fill>
        <patternFill>
          <bgColor indexed="53"/>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indexed="9"/>
      </font>
      <border>
        <left style="thin">
          <color indexed="9"/>
        </left>
        <right style="thin">
          <color indexed="9"/>
        </right>
        <top style="thin">
          <color indexed="9"/>
        </top>
        <bottom style="thin">
          <color indexed="9"/>
        </bottom>
      </border>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9"/>
      </font>
      <border>
        <left style="thin">
          <color indexed="9"/>
        </left>
        <right style="thin">
          <color indexed="9"/>
        </right>
        <top style="thin">
          <color indexed="9"/>
        </top>
        <bottom style="thin">
          <color indexed="9"/>
        </bottom>
      </border>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auto="1"/>
      </font>
    </dxf>
    <dxf>
      <font>
        <condense val="0"/>
        <extend val="0"/>
        <color indexed="10"/>
      </font>
    </dxf>
    <dxf>
      <font>
        <condense val="0"/>
        <extend val="0"/>
        <color indexed="10"/>
      </font>
    </dxf>
    <dxf>
      <font>
        <condense val="0"/>
        <extend val="0"/>
        <color auto="1"/>
      </font>
    </dxf>
    <dxf>
      <font>
        <condense val="0"/>
        <extend val="0"/>
        <color indexed="10"/>
      </font>
    </dxf>
    <dxf>
      <font>
        <condense val="0"/>
        <extend val="0"/>
        <color indexed="10"/>
      </font>
    </dxf>
    <dxf>
      <font>
        <condense val="0"/>
        <extend val="0"/>
        <color auto="1"/>
      </font>
    </dxf>
    <dxf>
      <font>
        <condense val="0"/>
        <extend val="0"/>
        <color indexed="10"/>
      </font>
    </dxf>
    <dxf>
      <font>
        <condense val="0"/>
        <extend val="0"/>
        <color indexed="10"/>
      </font>
    </dxf>
    <dxf>
      <font>
        <condense val="0"/>
        <extend val="0"/>
        <color auto="1"/>
      </font>
    </dxf>
    <dxf>
      <font>
        <condense val="0"/>
        <extend val="0"/>
        <color indexed="10"/>
      </font>
    </dxf>
    <dxf>
      <font>
        <condense val="0"/>
        <extend val="0"/>
        <color indexed="10"/>
      </font>
    </dxf>
    <dxf>
      <font>
        <condense val="0"/>
        <extend val="0"/>
        <color auto="1"/>
      </font>
    </dxf>
    <dxf>
      <font>
        <condense val="0"/>
        <extend val="0"/>
        <color indexed="10"/>
      </font>
    </dxf>
    <dxf>
      <font>
        <condense val="0"/>
        <extend val="0"/>
        <color indexed="10"/>
      </font>
    </dxf>
    <dxf>
      <font>
        <condense val="0"/>
        <extend val="0"/>
        <color auto="1"/>
      </font>
    </dxf>
    <dxf>
      <font>
        <condense val="0"/>
        <extend val="0"/>
        <color indexed="10"/>
      </font>
    </dxf>
    <dxf>
      <font>
        <condense val="0"/>
        <extend val="0"/>
        <color indexed="10"/>
      </font>
    </dxf>
    <dxf>
      <font>
        <condense val="0"/>
        <extend val="0"/>
        <color auto="1"/>
      </font>
    </dxf>
    <dxf>
      <font>
        <condense val="0"/>
        <extend val="0"/>
        <color indexed="10"/>
      </font>
    </dxf>
    <dxf>
      <font>
        <condense val="0"/>
        <extend val="0"/>
        <color indexed="10"/>
      </font>
    </dxf>
    <dxf>
      <font>
        <condense val="0"/>
        <extend val="0"/>
        <color auto="1"/>
      </font>
    </dxf>
    <dxf>
      <font>
        <condense val="0"/>
        <extend val="0"/>
        <color indexed="10"/>
      </font>
    </dxf>
    <dxf>
      <font>
        <condense val="0"/>
        <extend val="0"/>
        <color indexed="10"/>
      </font>
    </dxf>
    <dxf>
      <font>
        <condense val="0"/>
        <extend val="0"/>
        <color auto="1"/>
      </font>
    </dxf>
    <dxf>
      <font>
        <condense val="0"/>
        <extend val="0"/>
        <color indexed="10"/>
      </font>
    </dxf>
    <dxf>
      <font>
        <condense val="0"/>
        <extend val="0"/>
        <color indexed="10"/>
      </font>
    </dxf>
    <dxf>
      <font>
        <condense val="0"/>
        <extend val="0"/>
        <color auto="1"/>
      </font>
    </dxf>
    <dxf>
      <font>
        <condense val="0"/>
        <extend val="0"/>
        <color indexed="10"/>
      </font>
    </dxf>
    <dxf>
      <font>
        <condense val="0"/>
        <extend val="0"/>
        <color indexed="10"/>
      </font>
    </dxf>
    <dxf>
      <font>
        <condense val="0"/>
        <extend val="0"/>
        <color auto="1"/>
      </font>
    </dxf>
    <dxf>
      <font>
        <condense val="0"/>
        <extend val="0"/>
        <color indexed="10"/>
      </font>
    </dxf>
    <dxf>
      <font>
        <condense val="0"/>
        <extend val="0"/>
        <color indexed="10"/>
      </font>
    </dxf>
    <dxf>
      <font>
        <condense val="0"/>
        <extend val="0"/>
        <color auto="1"/>
      </font>
    </dxf>
    <dxf>
      <font>
        <condense val="0"/>
        <extend val="0"/>
        <color indexed="10"/>
      </font>
    </dxf>
    <dxf>
      <font>
        <condense val="0"/>
        <extend val="0"/>
        <color indexed="10"/>
      </font>
    </dxf>
    <dxf>
      <font>
        <condense val="0"/>
        <extend val="0"/>
        <color auto="1"/>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externalLink" Target="externalLinks/externalLink6.xml"/><Relationship Id="rId89" Type="http://schemas.openxmlformats.org/officeDocument/2006/relationships/externalLink" Target="externalLinks/externalLink11.xml"/><Relationship Id="rId1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07" Type="http://schemas.openxmlformats.org/officeDocument/2006/relationships/externalLink" Target="externalLinks/externalLink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externalLink" Target="externalLinks/externalLink1.xml"/><Relationship Id="rId87" Type="http://schemas.openxmlformats.org/officeDocument/2006/relationships/externalLink" Target="externalLinks/externalLink9.xml"/><Relationship Id="rId102" Type="http://schemas.openxmlformats.org/officeDocument/2006/relationships/externalLink" Target="externalLinks/externalLink24.xml"/><Relationship Id="rId110"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externalLink" Target="externalLinks/externalLink4.xml"/><Relationship Id="rId90" Type="http://schemas.openxmlformats.org/officeDocument/2006/relationships/externalLink" Target="externalLinks/externalLink12.xml"/><Relationship Id="rId95" Type="http://schemas.openxmlformats.org/officeDocument/2006/relationships/externalLink" Target="externalLinks/externalLink17.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externalLink" Target="externalLinks/externalLink22.xml"/><Relationship Id="rId105" Type="http://schemas.openxmlformats.org/officeDocument/2006/relationships/externalLink" Target="externalLinks/externalLink27.xml"/><Relationship Id="rId113"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externalLink" Target="externalLinks/externalLink2.xml"/><Relationship Id="rId85" Type="http://schemas.openxmlformats.org/officeDocument/2006/relationships/externalLink" Target="externalLinks/externalLink7.xml"/><Relationship Id="rId93" Type="http://schemas.openxmlformats.org/officeDocument/2006/relationships/externalLink" Target="externalLinks/externalLink15.xml"/><Relationship Id="rId98" Type="http://schemas.openxmlformats.org/officeDocument/2006/relationships/externalLink" Target="externalLinks/externalLink2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externalLink" Target="externalLinks/externalLink25.xml"/><Relationship Id="rId108" Type="http://schemas.openxmlformats.org/officeDocument/2006/relationships/externalLink" Target="externalLinks/externalLink30.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externalLink" Target="externalLinks/externalLink5.xml"/><Relationship Id="rId88" Type="http://schemas.openxmlformats.org/officeDocument/2006/relationships/externalLink" Target="externalLinks/externalLink10.xml"/><Relationship Id="rId91" Type="http://schemas.openxmlformats.org/officeDocument/2006/relationships/externalLink" Target="externalLinks/externalLink13.xml"/><Relationship Id="rId96" Type="http://schemas.openxmlformats.org/officeDocument/2006/relationships/externalLink" Target="externalLinks/externalLink18.xml"/><Relationship Id="rId11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externalLink" Target="externalLinks/externalLink28.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externalLink" Target="externalLinks/externalLink3.xml"/><Relationship Id="rId86" Type="http://schemas.openxmlformats.org/officeDocument/2006/relationships/externalLink" Target="externalLinks/externalLink8.xml"/><Relationship Id="rId94" Type="http://schemas.openxmlformats.org/officeDocument/2006/relationships/externalLink" Target="externalLinks/externalLink16.xml"/><Relationship Id="rId99" Type="http://schemas.openxmlformats.org/officeDocument/2006/relationships/externalLink" Target="externalLinks/externalLink21.xml"/><Relationship Id="rId101" Type="http://schemas.openxmlformats.org/officeDocument/2006/relationships/externalLink" Target="externalLinks/externalLink2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externalLink" Target="externalLinks/externalLink31.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externalLink" Target="externalLinks/externalLink19.xml"/><Relationship Id="rId104" Type="http://schemas.openxmlformats.org/officeDocument/2006/relationships/externalLink" Target="externalLinks/externalLink2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externalLink" Target="externalLinks/externalLink14.xml"/></Relationships>
</file>

<file path=xl/drawings/_rels/drawing5.xml.rels><?xml version="1.0" encoding="UTF-8" standalone="yes"?>
<Relationships xmlns="http://schemas.openxmlformats.org/package/2006/relationships"><Relationship Id="rId1" Type="http://schemas.openxmlformats.org/officeDocument/2006/relationships/image" Target="../media/image2.emf"/></Relationships>
</file>

<file path=xl/drawings/_rels/drawing7.xml.rels><?xml version="1.0" encoding="UTF-8" standalone="yes"?>
<Relationships xmlns="http://schemas.openxmlformats.org/package/2006/relationships"><Relationship Id="rId1" Type="http://schemas.openxmlformats.org/officeDocument/2006/relationships/image" Target="../media/image2.emf"/></Relationships>
</file>

<file path=xl/drawings/_rels/drawing9.xml.rels><?xml version="1.0" encoding="UTF-8" standalone="yes"?>
<Relationships xmlns="http://schemas.openxmlformats.org/package/2006/relationships"><Relationship Id="rId1" Type="http://schemas.openxmlformats.org/officeDocument/2006/relationships/image" Target="../media/image2.emf"/></Relationships>
</file>

<file path=xl/drawings/_rels/drawing10.xml.rels><?xml version="1.0" encoding="UTF-8" standalone="yes"?>
<Relationships xmlns="http://schemas.openxmlformats.org/package/2006/relationships"><Relationship Id="rId1" Type="http://schemas.openxmlformats.org/officeDocument/2006/relationships/image" Target="../media/image3.png"/></Relationships>
</file>

<file path=xl/drawings/_rels/drawing33.xml.rels><?xml version="1.0" encoding="UTF-8" standalone="yes"?>
<Relationships xmlns="http://schemas.openxmlformats.org/package/2006/relationships"><Relationship Id="rId3" Type="http://schemas.openxmlformats.org/officeDocument/2006/relationships/image" Target="../media/image18.emf"/><Relationship Id="rId2" Type="http://schemas.openxmlformats.org/officeDocument/2006/relationships/image" Target="../media/image17.emf"/><Relationship Id="rId1" Type="http://schemas.openxmlformats.org/officeDocument/2006/relationships/image" Target="../media/image16.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0.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2.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7.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20.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26.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29.vml.rels><?xml version="1.0" encoding="UTF-8" standalone="yes"?>
<Relationships xmlns="http://schemas.openxmlformats.org/package/2006/relationships"><Relationship Id="rId1" Type="http://schemas.openxmlformats.org/officeDocument/2006/relationships/image" Target="../media/image5.emf"/></Relationships>
</file>

<file path=xl/drawings/_rels/vmlDrawing30.vml.rels><?xml version="1.0" encoding="UTF-8" standalone="yes"?>
<Relationships xmlns="http://schemas.openxmlformats.org/package/2006/relationships"><Relationship Id="rId1" Type="http://schemas.openxmlformats.org/officeDocument/2006/relationships/image" Target="../media/image5.emf"/></Relationships>
</file>

<file path=xl/drawings/_rels/vmlDrawing31.v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wmf"/><Relationship Id="rId1" Type="http://schemas.openxmlformats.org/officeDocument/2006/relationships/image" Target="../media/image1.emf"/><Relationship Id="rId4" Type="http://schemas.openxmlformats.org/officeDocument/2006/relationships/image" Target="../media/image8.wmf"/></Relationships>
</file>

<file path=xl/drawings/_rels/vmlDrawing32.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33.vml.rels><?xml version="1.0" encoding="UTF-8" standalone="yes"?>
<Relationships xmlns="http://schemas.openxmlformats.org/package/2006/relationships"><Relationship Id="rId1" Type="http://schemas.openxmlformats.org/officeDocument/2006/relationships/image" Target="../media/image5.emf"/></Relationships>
</file>

<file path=xl/drawings/_rels/vmlDrawing34.vml.rels><?xml version="1.0" encoding="UTF-8" standalone="yes"?>
<Relationships xmlns="http://schemas.openxmlformats.org/package/2006/relationships"><Relationship Id="rId1" Type="http://schemas.openxmlformats.org/officeDocument/2006/relationships/image" Target="../media/image5.emf"/></Relationships>
</file>

<file path=xl/drawings/_rels/vmlDrawing35.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36.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38.vml.rels><?xml version="1.0" encoding="UTF-8" standalone="yes"?>
<Relationships xmlns="http://schemas.openxmlformats.org/package/2006/relationships"><Relationship Id="rId1" Type="http://schemas.openxmlformats.org/officeDocument/2006/relationships/image" Target="../media/image5.emf"/></Relationships>
</file>

<file path=xl/drawings/_rels/vmlDrawing40.vml.rels><?xml version="1.0" encoding="UTF-8" standalone="yes"?>
<Relationships xmlns="http://schemas.openxmlformats.org/package/2006/relationships"><Relationship Id="rId1" Type="http://schemas.openxmlformats.org/officeDocument/2006/relationships/image" Target="../media/image5.emf"/></Relationships>
</file>

<file path=xl/drawings/_rels/vmlDrawing41.v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s>
</file>

<file path=xl/drawings/_rels/vmlDrawing43.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44.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45.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47.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49.vml.rels><?xml version="1.0" encoding="UTF-8" standalone="yes"?>
<Relationships xmlns="http://schemas.openxmlformats.org/package/2006/relationships"><Relationship Id="rId2" Type="http://schemas.openxmlformats.org/officeDocument/2006/relationships/image" Target="../media/image12.emf"/><Relationship Id="rId1" Type="http://schemas.openxmlformats.org/officeDocument/2006/relationships/image" Target="../media/image4.emf"/></Relationships>
</file>

<file path=xl/drawings/_rels/vmlDrawing51.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54.vml.rels><?xml version="1.0" encoding="UTF-8" standalone="yes"?>
<Relationships xmlns="http://schemas.openxmlformats.org/package/2006/relationships"><Relationship Id="rId3" Type="http://schemas.openxmlformats.org/officeDocument/2006/relationships/image" Target="../media/image15.wmf"/><Relationship Id="rId2" Type="http://schemas.openxmlformats.org/officeDocument/2006/relationships/image" Target="../media/image14.emf"/><Relationship Id="rId1" Type="http://schemas.openxmlformats.org/officeDocument/2006/relationships/image" Target="../media/image13.wmf"/></Relationships>
</file>

<file path=xl/drawings/_rels/vmlDrawing58.vml.rels><?xml version="1.0" encoding="UTF-8" standalone="yes"?>
<Relationships xmlns="http://schemas.openxmlformats.org/package/2006/relationships"><Relationship Id="rId2" Type="http://schemas.openxmlformats.org/officeDocument/2006/relationships/image" Target="../media/image20.emf"/><Relationship Id="rId1" Type="http://schemas.openxmlformats.org/officeDocument/2006/relationships/image" Target="../media/image19.emf"/></Relationships>
</file>

<file path=xl/drawings/_rels/vmlDrawing60.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61.vml.rels><?xml version="1.0" encoding="UTF-8" standalone="yes"?>
<Relationships xmlns="http://schemas.openxmlformats.org/package/2006/relationships"><Relationship Id="rId2" Type="http://schemas.openxmlformats.org/officeDocument/2006/relationships/image" Target="../media/image22.emf"/><Relationship Id="rId1" Type="http://schemas.openxmlformats.org/officeDocument/2006/relationships/image" Target="../media/image21.wmf"/></Relationships>
</file>

<file path=xl/drawings/_rels/vmlDrawing62.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63.vml.rels><?xml version="1.0" encoding="UTF-8" standalone="yes"?>
<Relationships xmlns="http://schemas.openxmlformats.org/package/2006/relationships"><Relationship Id="rId3" Type="http://schemas.openxmlformats.org/officeDocument/2006/relationships/image" Target="../media/image25.wmf"/><Relationship Id="rId2" Type="http://schemas.openxmlformats.org/officeDocument/2006/relationships/image" Target="../media/image24.emf"/><Relationship Id="rId1" Type="http://schemas.openxmlformats.org/officeDocument/2006/relationships/image" Target="../media/image23.emf"/><Relationship Id="rId4" Type="http://schemas.openxmlformats.org/officeDocument/2006/relationships/image" Target="../media/image26.wmf"/></Relationships>
</file>

<file path=xl/drawings/_rels/vmlDrawing64.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66.vml.rels><?xml version="1.0" encoding="UTF-8" standalone="yes"?>
<Relationships xmlns="http://schemas.openxmlformats.org/package/2006/relationships"><Relationship Id="rId1" Type="http://schemas.openxmlformats.org/officeDocument/2006/relationships/image" Target="../media/image12.emf"/></Relationships>
</file>

<file path=xl/drawings/drawing1.xml><?xml version="1.0" encoding="utf-8"?>
<xdr:wsDr xmlns:xdr="http://schemas.openxmlformats.org/drawingml/2006/spreadsheetDrawing" xmlns:a="http://schemas.openxmlformats.org/drawingml/2006/main">
  <xdr:twoCellAnchor>
    <xdr:from>
      <xdr:col>0</xdr:col>
      <xdr:colOff>0</xdr:colOff>
      <xdr:row>3</xdr:row>
      <xdr:rowOff>38100</xdr:rowOff>
    </xdr:from>
    <xdr:to>
      <xdr:col>1</xdr:col>
      <xdr:colOff>0</xdr:colOff>
      <xdr:row>4</xdr:row>
      <xdr:rowOff>0</xdr:rowOff>
    </xdr:to>
    <xdr:sp macro="" textlink="">
      <xdr:nvSpPr>
        <xdr:cNvPr id="210394" name="Line 2"/>
        <xdr:cNvSpPr>
          <a:spLocks noChangeShapeType="1"/>
        </xdr:cNvSpPr>
      </xdr:nvSpPr>
      <xdr:spPr bwMode="auto">
        <a:xfrm>
          <a:off x="0" y="581025"/>
          <a:ext cx="1943100" cy="200025"/>
        </a:xfrm>
        <a:prstGeom prst="line">
          <a:avLst/>
        </a:prstGeom>
        <a:noFill/>
        <a:ln w="9525">
          <a:solidFill>
            <a:srgbClr val="000000"/>
          </a:solidFill>
          <a:round/>
          <a:headEnd/>
          <a:tailEnd/>
        </a:ln>
        <a:extLst>
          <a:ext uri="{909E8E84-426E-40DD-AFC4-6F175D3DCCD1}">
            <a14:hiddenFill xmlns:a14="http://schemas.microsoft.com/office/drawing/2010/main" xmlns="">
              <a:no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3</xdr:row>
      <xdr:rowOff>9525</xdr:rowOff>
    </xdr:from>
    <xdr:to>
      <xdr:col>0</xdr:col>
      <xdr:colOff>2047875</xdr:colOff>
      <xdr:row>4</xdr:row>
      <xdr:rowOff>19050</xdr:rowOff>
    </xdr:to>
    <xdr:sp macro="" textlink="">
      <xdr:nvSpPr>
        <xdr:cNvPr id="277815" name="Line 1"/>
        <xdr:cNvSpPr>
          <a:spLocks noChangeShapeType="1"/>
        </xdr:cNvSpPr>
      </xdr:nvSpPr>
      <xdr:spPr bwMode="auto">
        <a:xfrm>
          <a:off x="0" y="552450"/>
          <a:ext cx="1809750" cy="247650"/>
        </a:xfrm>
        <a:prstGeom prst="line">
          <a:avLst/>
        </a:prstGeom>
        <a:noFill/>
        <a:ln w="9525">
          <a:solidFill>
            <a:srgbClr val="000000"/>
          </a:solidFill>
          <a:round/>
          <a:headEnd/>
          <a:tailEnd/>
        </a:ln>
        <a:extLst>
          <a:ext uri="{909E8E84-426E-40DD-AFC4-6F175D3DCCD1}">
            <a14:hiddenFill xmlns:a14="http://schemas.microsoft.com/office/drawing/2010/main" xmlns="">
              <a:no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xdr:row>
      <xdr:rowOff>9525</xdr:rowOff>
    </xdr:from>
    <xdr:to>
      <xdr:col>0</xdr:col>
      <xdr:colOff>2047875</xdr:colOff>
      <xdr:row>4</xdr:row>
      <xdr:rowOff>19050</xdr:rowOff>
    </xdr:to>
    <xdr:sp macro="" textlink="">
      <xdr:nvSpPr>
        <xdr:cNvPr id="270664" name="Line 1"/>
        <xdr:cNvSpPr>
          <a:spLocks noChangeShapeType="1"/>
        </xdr:cNvSpPr>
      </xdr:nvSpPr>
      <xdr:spPr bwMode="auto">
        <a:xfrm>
          <a:off x="0" y="552450"/>
          <a:ext cx="1247775" cy="247650"/>
        </a:xfrm>
        <a:prstGeom prst="line">
          <a:avLst/>
        </a:prstGeom>
        <a:noFill/>
        <a:ln w="9525">
          <a:solidFill>
            <a:srgbClr val="000000"/>
          </a:solidFill>
          <a:round/>
          <a:headEnd/>
          <a:tailEnd/>
        </a:ln>
        <a:extLst>
          <a:ext uri="{909E8E84-426E-40DD-AFC4-6F175D3DCCD1}">
            <a14:hiddenFill xmlns:a14="http://schemas.microsoft.com/office/drawing/2010/main" xmlns="">
              <a:noFill/>
            </a14:hiddenFill>
          </a:ext>
        </a:extLst>
      </xdr:spPr>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3</xdr:row>
      <xdr:rowOff>9525</xdr:rowOff>
    </xdr:from>
    <xdr:to>
      <xdr:col>0</xdr:col>
      <xdr:colOff>2047875</xdr:colOff>
      <xdr:row>4</xdr:row>
      <xdr:rowOff>19050</xdr:rowOff>
    </xdr:to>
    <xdr:sp macro="" textlink="">
      <xdr:nvSpPr>
        <xdr:cNvPr id="211418" name="Line 1"/>
        <xdr:cNvSpPr>
          <a:spLocks noChangeShapeType="1"/>
        </xdr:cNvSpPr>
      </xdr:nvSpPr>
      <xdr:spPr bwMode="auto">
        <a:xfrm>
          <a:off x="0" y="552450"/>
          <a:ext cx="2019300" cy="247650"/>
        </a:xfrm>
        <a:prstGeom prst="line">
          <a:avLst/>
        </a:prstGeom>
        <a:noFill/>
        <a:ln w="9525">
          <a:solidFill>
            <a:srgbClr val="000000"/>
          </a:solidFill>
          <a:round/>
          <a:headEnd/>
          <a:tailEnd/>
        </a:ln>
        <a:extLst>
          <a:ext uri="{909E8E84-426E-40DD-AFC4-6F175D3DCCD1}">
            <a14:hiddenFill xmlns:a14="http://schemas.microsoft.com/office/drawing/2010/main" xmlns="">
              <a:noFill/>
            </a14:hiddenFill>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152400</xdr:colOff>
      <xdr:row>12</xdr:row>
      <xdr:rowOff>114300</xdr:rowOff>
    </xdr:from>
    <xdr:to>
      <xdr:col>5</xdr:col>
      <xdr:colOff>485775</xdr:colOff>
      <xdr:row>13</xdr:row>
      <xdr:rowOff>0</xdr:rowOff>
    </xdr:to>
    <xdr:pic>
      <xdr:nvPicPr>
        <xdr:cNvPr id="379126" name="Picture 1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4572000" y="3276600"/>
          <a:ext cx="333375" cy="314325"/>
        </a:xfrm>
        <a:prstGeom prst="rect">
          <a:avLst/>
        </a:prstGeom>
        <a:noFill/>
        <a:ln>
          <a:noFill/>
        </a:ln>
        <a:effectLst/>
        <a:extLst>
          <a:ext uri="{909E8E84-426E-40DD-AFC4-6F175D3DCCD1}">
            <a14:hiddenFill xmlns:a14="http://schemas.microsoft.com/office/drawing/2010/main" xmlns="">
              <a:solidFill>
                <a:srgbClr xmlns:mc="http://schemas.openxmlformats.org/markup-compatibility/2006" val="FFFFFF" mc:Ignorable="a14" a14:legacySpreadsheetColorIndex="65"/>
              </a:solidFill>
            </a14:hiddenFill>
          </a:ext>
          <a:ext uri="{91240B29-F687-4F45-9708-019B960494DF}">
            <a14:hiddenLine xmlns:a14="http://schemas.microsoft.com/office/drawing/2010/main" xmlns=""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editAs="oneCell">
    <xdr:from>
      <xdr:col>5</xdr:col>
      <xdr:colOff>180975</xdr:colOff>
      <xdr:row>31</xdr:row>
      <xdr:rowOff>142875</xdr:rowOff>
    </xdr:from>
    <xdr:to>
      <xdr:col>5</xdr:col>
      <xdr:colOff>514350</xdr:colOff>
      <xdr:row>32</xdr:row>
      <xdr:rowOff>0</xdr:rowOff>
    </xdr:to>
    <xdr:pic>
      <xdr:nvPicPr>
        <xdr:cNvPr id="379127" name="Picture 20"/>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4600575" y="7962900"/>
          <a:ext cx="333375" cy="285750"/>
        </a:xfrm>
        <a:prstGeom prst="rect">
          <a:avLst/>
        </a:prstGeom>
        <a:noFill/>
        <a:ln>
          <a:noFill/>
        </a:ln>
        <a:effectLst/>
        <a:extLst>
          <a:ext uri="{909E8E84-426E-40DD-AFC4-6F175D3DCCD1}">
            <a14:hiddenFill xmlns:a14="http://schemas.microsoft.com/office/drawing/2010/main" xmlns="">
              <a:solidFill>
                <a:srgbClr xmlns:mc="http://schemas.openxmlformats.org/markup-compatibility/2006" val="FFFFFF" mc:Ignorable="a14" a14:legacySpreadsheetColorIndex="65"/>
              </a:solidFill>
            </a14:hiddenFill>
          </a:ext>
          <a:ext uri="{91240B29-F687-4F45-9708-019B960494DF}">
            <a14:hiddenLine xmlns:a14="http://schemas.microsoft.com/office/drawing/2010/main" xmlns=""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editAs="oneCell">
    <xdr:from>
      <xdr:col>5</xdr:col>
      <xdr:colOff>180975</xdr:colOff>
      <xdr:row>51</xdr:row>
      <xdr:rowOff>142875</xdr:rowOff>
    </xdr:from>
    <xdr:to>
      <xdr:col>5</xdr:col>
      <xdr:colOff>514350</xdr:colOff>
      <xdr:row>52</xdr:row>
      <xdr:rowOff>0</xdr:rowOff>
    </xdr:to>
    <xdr:pic>
      <xdr:nvPicPr>
        <xdr:cNvPr id="379128" name="Picture 29"/>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4600575" y="12792075"/>
          <a:ext cx="333375" cy="285750"/>
        </a:xfrm>
        <a:prstGeom prst="rect">
          <a:avLst/>
        </a:prstGeom>
        <a:noFill/>
        <a:ln>
          <a:noFill/>
        </a:ln>
        <a:effectLst/>
        <a:extLst>
          <a:ext uri="{909E8E84-426E-40DD-AFC4-6F175D3DCCD1}">
            <a14:hiddenFill xmlns:a14="http://schemas.microsoft.com/office/drawing/2010/main" xmlns="">
              <a:solidFill>
                <a:srgbClr xmlns:mc="http://schemas.openxmlformats.org/markup-compatibility/2006" val="FFFFFF" mc:Ignorable="a14" a14:legacySpreadsheetColorIndex="65"/>
              </a:solidFill>
            </a14:hiddenFill>
          </a:ext>
          <a:ext uri="{91240B29-F687-4F45-9708-019B960494DF}">
            <a14:hiddenLine xmlns:a14="http://schemas.microsoft.com/office/drawing/2010/main" xmlns=""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editAs="oneCell">
    <xdr:from>
      <xdr:col>5</xdr:col>
      <xdr:colOff>180975</xdr:colOff>
      <xdr:row>87</xdr:row>
      <xdr:rowOff>142875</xdr:rowOff>
    </xdr:from>
    <xdr:to>
      <xdr:col>5</xdr:col>
      <xdr:colOff>514350</xdr:colOff>
      <xdr:row>88</xdr:row>
      <xdr:rowOff>0</xdr:rowOff>
    </xdr:to>
    <xdr:pic>
      <xdr:nvPicPr>
        <xdr:cNvPr id="379129" name="Picture 38"/>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4600575" y="21707475"/>
          <a:ext cx="333375" cy="285750"/>
        </a:xfrm>
        <a:prstGeom prst="rect">
          <a:avLst/>
        </a:prstGeom>
        <a:noFill/>
        <a:ln>
          <a:noFill/>
        </a:ln>
        <a:effectLst/>
        <a:extLst>
          <a:ext uri="{909E8E84-426E-40DD-AFC4-6F175D3DCCD1}">
            <a14:hiddenFill xmlns:a14="http://schemas.microsoft.com/office/drawing/2010/main" xmlns="">
              <a:solidFill>
                <a:srgbClr xmlns:mc="http://schemas.openxmlformats.org/markup-compatibility/2006" val="FFFFFF" mc:Ignorable="a14" a14:legacySpreadsheetColorIndex="65"/>
              </a:solidFill>
            </a14:hiddenFill>
          </a:ext>
          <a:ext uri="{91240B29-F687-4F45-9708-019B960494DF}">
            <a14:hiddenLine xmlns:a14="http://schemas.microsoft.com/office/drawing/2010/main" xmlns=""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editAs="oneCell">
    <xdr:from>
      <xdr:col>5</xdr:col>
      <xdr:colOff>180975</xdr:colOff>
      <xdr:row>69</xdr:row>
      <xdr:rowOff>142875</xdr:rowOff>
    </xdr:from>
    <xdr:to>
      <xdr:col>5</xdr:col>
      <xdr:colOff>514350</xdr:colOff>
      <xdr:row>70</xdr:row>
      <xdr:rowOff>0</xdr:rowOff>
    </xdr:to>
    <xdr:pic>
      <xdr:nvPicPr>
        <xdr:cNvPr id="379130" name="Picture 4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4600575" y="17259300"/>
          <a:ext cx="333375" cy="285750"/>
        </a:xfrm>
        <a:prstGeom prst="rect">
          <a:avLst/>
        </a:prstGeom>
        <a:noFill/>
        <a:ln>
          <a:noFill/>
        </a:ln>
        <a:effectLst/>
        <a:extLst>
          <a:ext uri="{909E8E84-426E-40DD-AFC4-6F175D3DCCD1}">
            <a14:hiddenFill xmlns:a14="http://schemas.microsoft.com/office/drawing/2010/main" xmlns="">
              <a:solidFill>
                <a:srgbClr xmlns:mc="http://schemas.openxmlformats.org/markup-compatibility/2006" val="FFFFFF" mc:Ignorable="a14" a14:legacySpreadsheetColorIndex="65"/>
              </a:solidFill>
            </a14:hiddenFill>
          </a:ext>
          <a:ext uri="{91240B29-F687-4F45-9708-019B960494DF}">
            <a14:hiddenLine xmlns:a14="http://schemas.microsoft.com/office/drawing/2010/main" xmlns=""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editAs="oneCell">
    <xdr:from>
      <xdr:col>5</xdr:col>
      <xdr:colOff>180975</xdr:colOff>
      <xdr:row>106</xdr:row>
      <xdr:rowOff>142875</xdr:rowOff>
    </xdr:from>
    <xdr:to>
      <xdr:col>5</xdr:col>
      <xdr:colOff>514350</xdr:colOff>
      <xdr:row>107</xdr:row>
      <xdr:rowOff>0</xdr:rowOff>
    </xdr:to>
    <xdr:pic>
      <xdr:nvPicPr>
        <xdr:cNvPr id="379131" name="Picture 56"/>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4600575" y="26403300"/>
          <a:ext cx="333375" cy="285750"/>
        </a:xfrm>
        <a:prstGeom prst="rect">
          <a:avLst/>
        </a:prstGeom>
        <a:noFill/>
        <a:ln>
          <a:noFill/>
        </a:ln>
        <a:effectLst/>
        <a:extLst>
          <a:ext uri="{909E8E84-426E-40DD-AFC4-6F175D3DCCD1}">
            <a14:hiddenFill xmlns:a14="http://schemas.microsoft.com/office/drawing/2010/main" xmlns="">
              <a:solidFill>
                <a:srgbClr xmlns:mc="http://schemas.openxmlformats.org/markup-compatibility/2006" val="FFFFFF" mc:Ignorable="a14" a14:legacySpreadsheetColorIndex="65"/>
              </a:solidFill>
            </a14:hiddenFill>
          </a:ext>
          <a:ext uri="{91240B29-F687-4F45-9708-019B960494DF}">
            <a14:hiddenLine xmlns:a14="http://schemas.microsoft.com/office/drawing/2010/main" xmlns=""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editAs="oneCell">
    <xdr:from>
      <xdr:col>5</xdr:col>
      <xdr:colOff>142875</xdr:colOff>
      <xdr:row>124</xdr:row>
      <xdr:rowOff>19050</xdr:rowOff>
    </xdr:from>
    <xdr:to>
      <xdr:col>5</xdr:col>
      <xdr:colOff>476250</xdr:colOff>
      <xdr:row>125</xdr:row>
      <xdr:rowOff>19050</xdr:rowOff>
    </xdr:to>
    <xdr:pic>
      <xdr:nvPicPr>
        <xdr:cNvPr id="379132" name="Picture 6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4562475" y="30184725"/>
          <a:ext cx="333375" cy="180975"/>
        </a:xfrm>
        <a:prstGeom prst="rect">
          <a:avLst/>
        </a:prstGeom>
        <a:noFill/>
        <a:ln>
          <a:noFill/>
        </a:ln>
        <a:effectLst/>
        <a:extLst>
          <a:ext uri="{909E8E84-426E-40DD-AFC4-6F175D3DCCD1}">
            <a14:hiddenFill xmlns:a14="http://schemas.microsoft.com/office/drawing/2010/main" xmlns="">
              <a:solidFill>
                <a:srgbClr xmlns:mc="http://schemas.openxmlformats.org/markup-compatibility/2006" val="FFFFFF" mc:Ignorable="a14" a14:legacySpreadsheetColorIndex="65"/>
              </a:solidFill>
            </a14:hiddenFill>
          </a:ext>
          <a:ext uri="{91240B29-F687-4F45-9708-019B960494DF}">
            <a14:hiddenLine xmlns:a14="http://schemas.microsoft.com/office/drawing/2010/main" xmlns=""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2</xdr:row>
      <xdr:rowOff>9525</xdr:rowOff>
    </xdr:from>
    <xdr:to>
      <xdr:col>0</xdr:col>
      <xdr:colOff>1752600</xdr:colOff>
      <xdr:row>3</xdr:row>
      <xdr:rowOff>19050</xdr:rowOff>
    </xdr:to>
    <xdr:sp macro="" textlink="">
      <xdr:nvSpPr>
        <xdr:cNvPr id="213466" name="Line 1"/>
        <xdr:cNvSpPr>
          <a:spLocks noChangeShapeType="1"/>
        </xdr:cNvSpPr>
      </xdr:nvSpPr>
      <xdr:spPr bwMode="auto">
        <a:xfrm>
          <a:off x="0" y="762000"/>
          <a:ext cx="1628775" cy="247650"/>
        </a:xfrm>
        <a:prstGeom prst="line">
          <a:avLst/>
        </a:prstGeom>
        <a:noFill/>
        <a:ln w="9525">
          <a:solidFill>
            <a:srgbClr val="000000"/>
          </a:solidFill>
          <a:round/>
          <a:headEnd/>
          <a:tailEnd/>
        </a:ln>
        <a:extLst>
          <a:ext uri="{909E8E84-426E-40DD-AFC4-6F175D3DCCD1}">
            <a14:hiddenFill xmlns:a14="http://schemas.microsoft.com/office/drawing/2010/main" xmlns="">
              <a:noFill/>
            </a14:hiddenFill>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152400</xdr:colOff>
      <xdr:row>12</xdr:row>
      <xdr:rowOff>114300</xdr:rowOff>
    </xdr:from>
    <xdr:to>
      <xdr:col>5</xdr:col>
      <xdr:colOff>485775</xdr:colOff>
      <xdr:row>13</xdr:row>
      <xdr:rowOff>0</xdr:rowOff>
    </xdr:to>
    <xdr:pic>
      <xdr:nvPicPr>
        <xdr:cNvPr id="380150" name="Picture 1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4572000" y="3171825"/>
          <a:ext cx="333375" cy="314325"/>
        </a:xfrm>
        <a:prstGeom prst="rect">
          <a:avLst/>
        </a:prstGeom>
        <a:noFill/>
        <a:ln>
          <a:noFill/>
        </a:ln>
        <a:effectLst/>
        <a:extLst>
          <a:ext uri="{909E8E84-426E-40DD-AFC4-6F175D3DCCD1}">
            <a14:hiddenFill xmlns:a14="http://schemas.microsoft.com/office/drawing/2010/main" xmlns="">
              <a:solidFill>
                <a:srgbClr xmlns:mc="http://schemas.openxmlformats.org/markup-compatibility/2006" val="FFFFFF" mc:Ignorable="a14" a14:legacySpreadsheetColorIndex="65"/>
              </a:solidFill>
            </a14:hiddenFill>
          </a:ext>
          <a:ext uri="{91240B29-F687-4F45-9708-019B960494DF}">
            <a14:hiddenLine xmlns:a14="http://schemas.microsoft.com/office/drawing/2010/main" xmlns=""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editAs="oneCell">
    <xdr:from>
      <xdr:col>5</xdr:col>
      <xdr:colOff>180975</xdr:colOff>
      <xdr:row>31</xdr:row>
      <xdr:rowOff>142875</xdr:rowOff>
    </xdr:from>
    <xdr:to>
      <xdr:col>5</xdr:col>
      <xdr:colOff>514350</xdr:colOff>
      <xdr:row>32</xdr:row>
      <xdr:rowOff>0</xdr:rowOff>
    </xdr:to>
    <xdr:pic>
      <xdr:nvPicPr>
        <xdr:cNvPr id="380151" name="Picture 20"/>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4600575" y="7867650"/>
          <a:ext cx="333375" cy="285750"/>
        </a:xfrm>
        <a:prstGeom prst="rect">
          <a:avLst/>
        </a:prstGeom>
        <a:noFill/>
        <a:ln>
          <a:noFill/>
        </a:ln>
        <a:effectLst/>
        <a:extLst>
          <a:ext uri="{909E8E84-426E-40DD-AFC4-6F175D3DCCD1}">
            <a14:hiddenFill xmlns:a14="http://schemas.microsoft.com/office/drawing/2010/main" xmlns="">
              <a:solidFill>
                <a:srgbClr xmlns:mc="http://schemas.openxmlformats.org/markup-compatibility/2006" val="FFFFFF" mc:Ignorable="a14" a14:legacySpreadsheetColorIndex="65"/>
              </a:solidFill>
            </a14:hiddenFill>
          </a:ext>
          <a:ext uri="{91240B29-F687-4F45-9708-019B960494DF}">
            <a14:hiddenLine xmlns:a14="http://schemas.microsoft.com/office/drawing/2010/main" xmlns=""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editAs="oneCell">
    <xdr:from>
      <xdr:col>5</xdr:col>
      <xdr:colOff>180975</xdr:colOff>
      <xdr:row>50</xdr:row>
      <xdr:rowOff>142875</xdr:rowOff>
    </xdr:from>
    <xdr:to>
      <xdr:col>5</xdr:col>
      <xdr:colOff>514350</xdr:colOff>
      <xdr:row>51</xdr:row>
      <xdr:rowOff>0</xdr:rowOff>
    </xdr:to>
    <xdr:pic>
      <xdr:nvPicPr>
        <xdr:cNvPr id="380152" name="Picture 29"/>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4600575" y="12515850"/>
          <a:ext cx="333375" cy="285750"/>
        </a:xfrm>
        <a:prstGeom prst="rect">
          <a:avLst/>
        </a:prstGeom>
        <a:noFill/>
        <a:ln>
          <a:noFill/>
        </a:ln>
        <a:effectLst/>
        <a:extLst>
          <a:ext uri="{909E8E84-426E-40DD-AFC4-6F175D3DCCD1}">
            <a14:hiddenFill xmlns:a14="http://schemas.microsoft.com/office/drawing/2010/main" xmlns="">
              <a:solidFill>
                <a:srgbClr xmlns:mc="http://schemas.openxmlformats.org/markup-compatibility/2006" val="FFFFFF" mc:Ignorable="a14" a14:legacySpreadsheetColorIndex="65"/>
              </a:solidFill>
            </a14:hiddenFill>
          </a:ext>
          <a:ext uri="{91240B29-F687-4F45-9708-019B960494DF}">
            <a14:hiddenLine xmlns:a14="http://schemas.microsoft.com/office/drawing/2010/main" xmlns=""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editAs="oneCell">
    <xdr:from>
      <xdr:col>5</xdr:col>
      <xdr:colOff>180975</xdr:colOff>
      <xdr:row>88</xdr:row>
      <xdr:rowOff>142875</xdr:rowOff>
    </xdr:from>
    <xdr:to>
      <xdr:col>5</xdr:col>
      <xdr:colOff>514350</xdr:colOff>
      <xdr:row>89</xdr:row>
      <xdr:rowOff>0</xdr:rowOff>
    </xdr:to>
    <xdr:pic>
      <xdr:nvPicPr>
        <xdr:cNvPr id="380153" name="Picture 38"/>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4600575" y="21831300"/>
          <a:ext cx="333375" cy="285750"/>
        </a:xfrm>
        <a:prstGeom prst="rect">
          <a:avLst/>
        </a:prstGeom>
        <a:noFill/>
        <a:ln>
          <a:noFill/>
        </a:ln>
        <a:effectLst/>
        <a:extLst>
          <a:ext uri="{909E8E84-426E-40DD-AFC4-6F175D3DCCD1}">
            <a14:hiddenFill xmlns:a14="http://schemas.microsoft.com/office/drawing/2010/main" xmlns="">
              <a:solidFill>
                <a:srgbClr xmlns:mc="http://schemas.openxmlformats.org/markup-compatibility/2006" val="FFFFFF" mc:Ignorable="a14" a14:legacySpreadsheetColorIndex="65"/>
              </a:solidFill>
            </a14:hiddenFill>
          </a:ext>
          <a:ext uri="{91240B29-F687-4F45-9708-019B960494DF}">
            <a14:hiddenLine xmlns:a14="http://schemas.microsoft.com/office/drawing/2010/main" xmlns=""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editAs="oneCell">
    <xdr:from>
      <xdr:col>5</xdr:col>
      <xdr:colOff>180975</xdr:colOff>
      <xdr:row>69</xdr:row>
      <xdr:rowOff>142875</xdr:rowOff>
    </xdr:from>
    <xdr:to>
      <xdr:col>5</xdr:col>
      <xdr:colOff>514350</xdr:colOff>
      <xdr:row>70</xdr:row>
      <xdr:rowOff>0</xdr:rowOff>
    </xdr:to>
    <xdr:pic>
      <xdr:nvPicPr>
        <xdr:cNvPr id="380154" name="Picture 4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4600575" y="17183100"/>
          <a:ext cx="333375" cy="285750"/>
        </a:xfrm>
        <a:prstGeom prst="rect">
          <a:avLst/>
        </a:prstGeom>
        <a:noFill/>
        <a:ln>
          <a:noFill/>
        </a:ln>
        <a:effectLst/>
        <a:extLst>
          <a:ext uri="{909E8E84-426E-40DD-AFC4-6F175D3DCCD1}">
            <a14:hiddenFill xmlns:a14="http://schemas.microsoft.com/office/drawing/2010/main" xmlns="">
              <a:solidFill>
                <a:srgbClr xmlns:mc="http://schemas.openxmlformats.org/markup-compatibility/2006" val="FFFFFF" mc:Ignorable="a14" a14:legacySpreadsheetColorIndex="65"/>
              </a:solidFill>
            </a14:hiddenFill>
          </a:ext>
          <a:ext uri="{91240B29-F687-4F45-9708-019B960494DF}">
            <a14:hiddenLine xmlns:a14="http://schemas.microsoft.com/office/drawing/2010/main" xmlns=""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editAs="oneCell">
    <xdr:from>
      <xdr:col>5</xdr:col>
      <xdr:colOff>180975</xdr:colOff>
      <xdr:row>107</xdr:row>
      <xdr:rowOff>142875</xdr:rowOff>
    </xdr:from>
    <xdr:to>
      <xdr:col>5</xdr:col>
      <xdr:colOff>514350</xdr:colOff>
      <xdr:row>108</xdr:row>
      <xdr:rowOff>0</xdr:rowOff>
    </xdr:to>
    <xdr:pic>
      <xdr:nvPicPr>
        <xdr:cNvPr id="380155" name="Picture 56"/>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4600575" y="26527125"/>
          <a:ext cx="333375" cy="285750"/>
        </a:xfrm>
        <a:prstGeom prst="rect">
          <a:avLst/>
        </a:prstGeom>
        <a:noFill/>
        <a:ln>
          <a:noFill/>
        </a:ln>
        <a:effectLst/>
        <a:extLst>
          <a:ext uri="{909E8E84-426E-40DD-AFC4-6F175D3DCCD1}">
            <a14:hiddenFill xmlns:a14="http://schemas.microsoft.com/office/drawing/2010/main" xmlns="">
              <a:solidFill>
                <a:srgbClr xmlns:mc="http://schemas.openxmlformats.org/markup-compatibility/2006" val="FFFFFF" mc:Ignorable="a14" a14:legacySpreadsheetColorIndex="65"/>
              </a:solidFill>
            </a14:hiddenFill>
          </a:ext>
          <a:ext uri="{91240B29-F687-4F45-9708-019B960494DF}">
            <a14:hiddenLine xmlns:a14="http://schemas.microsoft.com/office/drawing/2010/main" xmlns=""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editAs="oneCell">
    <xdr:from>
      <xdr:col>5</xdr:col>
      <xdr:colOff>142875</xdr:colOff>
      <xdr:row>126</xdr:row>
      <xdr:rowOff>19050</xdr:rowOff>
    </xdr:from>
    <xdr:to>
      <xdr:col>5</xdr:col>
      <xdr:colOff>476250</xdr:colOff>
      <xdr:row>127</xdr:row>
      <xdr:rowOff>19050</xdr:rowOff>
    </xdr:to>
    <xdr:pic>
      <xdr:nvPicPr>
        <xdr:cNvPr id="380156" name="Picture 6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4562475" y="30508575"/>
          <a:ext cx="333375" cy="180975"/>
        </a:xfrm>
        <a:prstGeom prst="rect">
          <a:avLst/>
        </a:prstGeom>
        <a:noFill/>
        <a:ln>
          <a:noFill/>
        </a:ln>
        <a:effectLst/>
        <a:extLst>
          <a:ext uri="{909E8E84-426E-40DD-AFC4-6F175D3DCCD1}">
            <a14:hiddenFill xmlns:a14="http://schemas.microsoft.com/office/drawing/2010/main" xmlns="">
              <a:solidFill>
                <a:srgbClr xmlns:mc="http://schemas.openxmlformats.org/markup-compatibility/2006" val="FFFFFF" mc:Ignorable="a14" a14:legacySpreadsheetColorIndex="65"/>
              </a:solidFill>
            </a14:hiddenFill>
          </a:ext>
          <a:ext uri="{91240B29-F687-4F45-9708-019B960494DF}">
            <a14:hiddenLine xmlns:a14="http://schemas.microsoft.com/office/drawing/2010/main" xmlns=""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3</xdr:row>
      <xdr:rowOff>9525</xdr:rowOff>
    </xdr:from>
    <xdr:to>
      <xdr:col>0</xdr:col>
      <xdr:colOff>1809750</xdr:colOff>
      <xdr:row>4</xdr:row>
      <xdr:rowOff>19050</xdr:rowOff>
    </xdr:to>
    <xdr:sp macro="" textlink="">
      <xdr:nvSpPr>
        <xdr:cNvPr id="218583" name="Line 1"/>
        <xdr:cNvSpPr>
          <a:spLocks noChangeShapeType="1"/>
        </xdr:cNvSpPr>
      </xdr:nvSpPr>
      <xdr:spPr bwMode="auto">
        <a:xfrm>
          <a:off x="0" y="552450"/>
          <a:ext cx="1809750" cy="247650"/>
        </a:xfrm>
        <a:prstGeom prst="line">
          <a:avLst/>
        </a:prstGeom>
        <a:noFill/>
        <a:ln w="9525">
          <a:solidFill>
            <a:srgbClr val="000000"/>
          </a:solidFill>
          <a:round/>
          <a:headEnd/>
          <a:tailEnd/>
        </a:ln>
        <a:extLst>
          <a:ext uri="{909E8E84-426E-40DD-AFC4-6F175D3DCCD1}">
            <a14:hiddenFill xmlns:a14="http://schemas.microsoft.com/office/drawing/2010/main" xmlns="">
              <a:noFill/>
            </a14:hiddenFill>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152400</xdr:colOff>
      <xdr:row>12</xdr:row>
      <xdr:rowOff>114300</xdr:rowOff>
    </xdr:from>
    <xdr:to>
      <xdr:col>5</xdr:col>
      <xdr:colOff>485775</xdr:colOff>
      <xdr:row>13</xdr:row>
      <xdr:rowOff>0</xdr:rowOff>
    </xdr:to>
    <xdr:pic>
      <xdr:nvPicPr>
        <xdr:cNvPr id="315184" name="Picture 1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4572000" y="3276600"/>
          <a:ext cx="333375" cy="314325"/>
        </a:xfrm>
        <a:prstGeom prst="rect">
          <a:avLst/>
        </a:prstGeom>
        <a:noFill/>
        <a:ln>
          <a:noFill/>
        </a:ln>
        <a:effectLst/>
        <a:extLst>
          <a:ext uri="{909E8E84-426E-40DD-AFC4-6F175D3DCCD1}">
            <a14:hiddenFill xmlns:a14="http://schemas.microsoft.com/office/drawing/2010/main" xmlns="">
              <a:solidFill>
                <a:srgbClr xmlns:mc="http://schemas.openxmlformats.org/markup-compatibility/2006" val="FFFFFF" mc:Ignorable="a14" a14:legacySpreadsheetColorIndex="65"/>
              </a:solidFill>
            </a14:hiddenFill>
          </a:ext>
          <a:ext uri="{91240B29-F687-4F45-9708-019B960494DF}">
            <a14:hiddenLine xmlns:a14="http://schemas.microsoft.com/office/drawing/2010/main" xmlns=""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editAs="oneCell">
    <xdr:from>
      <xdr:col>5</xdr:col>
      <xdr:colOff>180975</xdr:colOff>
      <xdr:row>29</xdr:row>
      <xdr:rowOff>142875</xdr:rowOff>
    </xdr:from>
    <xdr:to>
      <xdr:col>5</xdr:col>
      <xdr:colOff>514350</xdr:colOff>
      <xdr:row>30</xdr:row>
      <xdr:rowOff>0</xdr:rowOff>
    </xdr:to>
    <xdr:pic>
      <xdr:nvPicPr>
        <xdr:cNvPr id="315185" name="Picture 20"/>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4600575" y="7572375"/>
          <a:ext cx="333375" cy="285750"/>
        </a:xfrm>
        <a:prstGeom prst="rect">
          <a:avLst/>
        </a:prstGeom>
        <a:noFill/>
        <a:ln>
          <a:noFill/>
        </a:ln>
        <a:effectLst/>
        <a:extLst>
          <a:ext uri="{909E8E84-426E-40DD-AFC4-6F175D3DCCD1}">
            <a14:hiddenFill xmlns:a14="http://schemas.microsoft.com/office/drawing/2010/main" xmlns="">
              <a:solidFill>
                <a:srgbClr xmlns:mc="http://schemas.openxmlformats.org/markup-compatibility/2006" val="FFFFFF" mc:Ignorable="a14" a14:legacySpreadsheetColorIndex="65"/>
              </a:solidFill>
            </a14:hiddenFill>
          </a:ext>
          <a:ext uri="{91240B29-F687-4F45-9708-019B960494DF}">
            <a14:hiddenLine xmlns:a14="http://schemas.microsoft.com/office/drawing/2010/main" xmlns=""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editAs="oneCell">
    <xdr:from>
      <xdr:col>5</xdr:col>
      <xdr:colOff>180975</xdr:colOff>
      <xdr:row>46</xdr:row>
      <xdr:rowOff>142875</xdr:rowOff>
    </xdr:from>
    <xdr:to>
      <xdr:col>5</xdr:col>
      <xdr:colOff>514350</xdr:colOff>
      <xdr:row>47</xdr:row>
      <xdr:rowOff>0</xdr:rowOff>
    </xdr:to>
    <xdr:pic>
      <xdr:nvPicPr>
        <xdr:cNvPr id="315186" name="Picture 29"/>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4600575" y="11820525"/>
          <a:ext cx="333375" cy="285750"/>
        </a:xfrm>
        <a:prstGeom prst="rect">
          <a:avLst/>
        </a:prstGeom>
        <a:noFill/>
        <a:ln>
          <a:noFill/>
        </a:ln>
        <a:effectLst/>
        <a:extLst>
          <a:ext uri="{909E8E84-426E-40DD-AFC4-6F175D3DCCD1}">
            <a14:hiddenFill xmlns:a14="http://schemas.microsoft.com/office/drawing/2010/main" xmlns="">
              <a:solidFill>
                <a:srgbClr xmlns:mc="http://schemas.openxmlformats.org/markup-compatibility/2006" val="FFFFFF" mc:Ignorable="a14" a14:legacySpreadsheetColorIndex="65"/>
              </a:solidFill>
            </a14:hiddenFill>
          </a:ext>
          <a:ext uri="{91240B29-F687-4F45-9708-019B960494DF}">
            <a14:hiddenLine xmlns:a14="http://schemas.microsoft.com/office/drawing/2010/main" xmlns=""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editAs="oneCell">
    <xdr:from>
      <xdr:col>5</xdr:col>
      <xdr:colOff>180975</xdr:colOff>
      <xdr:row>63</xdr:row>
      <xdr:rowOff>142875</xdr:rowOff>
    </xdr:from>
    <xdr:to>
      <xdr:col>5</xdr:col>
      <xdr:colOff>514350</xdr:colOff>
      <xdr:row>64</xdr:row>
      <xdr:rowOff>0</xdr:rowOff>
    </xdr:to>
    <xdr:pic>
      <xdr:nvPicPr>
        <xdr:cNvPr id="315187" name="Picture 4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4600575" y="16087725"/>
          <a:ext cx="333375" cy="285750"/>
        </a:xfrm>
        <a:prstGeom prst="rect">
          <a:avLst/>
        </a:prstGeom>
        <a:noFill/>
        <a:ln>
          <a:noFill/>
        </a:ln>
        <a:effectLst/>
        <a:extLst>
          <a:ext uri="{909E8E84-426E-40DD-AFC4-6F175D3DCCD1}">
            <a14:hiddenFill xmlns:a14="http://schemas.microsoft.com/office/drawing/2010/main" xmlns="">
              <a:solidFill>
                <a:srgbClr xmlns:mc="http://schemas.openxmlformats.org/markup-compatibility/2006" val="FFFFFF" mc:Ignorable="a14" a14:legacySpreadsheetColorIndex="65"/>
              </a:solidFill>
            </a14:hiddenFill>
          </a:ext>
          <a:ext uri="{91240B29-F687-4F45-9708-019B960494DF}">
            <a14:hiddenLine xmlns:a14="http://schemas.microsoft.com/office/drawing/2010/main" xmlns=""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3</xdr:row>
      <xdr:rowOff>9525</xdr:rowOff>
    </xdr:from>
    <xdr:to>
      <xdr:col>1</xdr:col>
      <xdr:colOff>0</xdr:colOff>
      <xdr:row>3</xdr:row>
      <xdr:rowOff>238125</xdr:rowOff>
    </xdr:to>
    <xdr:sp macro="" textlink="">
      <xdr:nvSpPr>
        <xdr:cNvPr id="349585" name="Line 1"/>
        <xdr:cNvSpPr>
          <a:spLocks noChangeShapeType="1"/>
        </xdr:cNvSpPr>
      </xdr:nvSpPr>
      <xdr:spPr bwMode="auto">
        <a:xfrm>
          <a:off x="0" y="552450"/>
          <a:ext cx="1533525" cy="228600"/>
        </a:xfrm>
        <a:prstGeom prst="line">
          <a:avLst/>
        </a:prstGeom>
        <a:noFill/>
        <a:ln w="9525">
          <a:solidFill>
            <a:srgbClr val="000000"/>
          </a:solidFill>
          <a:round/>
          <a:headEnd/>
          <a:tailEnd/>
        </a:ln>
        <a:extLst>
          <a:ext uri="{909E8E84-426E-40DD-AFC4-6F175D3DCCD1}">
            <a14:hiddenFill xmlns:a14="http://schemas.microsoft.com/office/drawing/2010/main" xmlns="">
              <a:noFill/>
            </a14:hiddenFill>
          </a:ext>
        </a:extLst>
      </xdr:spPr>
    </xdr:sp>
    <xdr:clientData/>
  </xdr:twoCellAnchor>
  <xdr:twoCellAnchor>
    <xdr:from>
      <xdr:col>0</xdr:col>
      <xdr:colOff>0</xdr:colOff>
      <xdr:row>3</xdr:row>
      <xdr:rowOff>19050</xdr:rowOff>
    </xdr:from>
    <xdr:to>
      <xdr:col>0</xdr:col>
      <xdr:colOff>685800</xdr:colOff>
      <xdr:row>3</xdr:row>
      <xdr:rowOff>171450</xdr:rowOff>
    </xdr:to>
    <xdr:sp macro="" textlink="">
      <xdr:nvSpPr>
        <xdr:cNvPr id="349586" name="Line 7"/>
        <xdr:cNvSpPr>
          <a:spLocks noChangeShapeType="1"/>
        </xdr:cNvSpPr>
      </xdr:nvSpPr>
      <xdr:spPr bwMode="auto">
        <a:xfrm>
          <a:off x="0" y="561975"/>
          <a:ext cx="685800" cy="152400"/>
        </a:xfrm>
        <a:prstGeom prst="line">
          <a:avLst/>
        </a:prstGeom>
        <a:noFill/>
        <a:ln w="9525">
          <a:solidFill>
            <a:srgbClr val="000000"/>
          </a:solidFill>
          <a:round/>
          <a:headEnd/>
          <a:tailEnd/>
        </a:ln>
        <a:extLst>
          <a:ext uri="{909E8E84-426E-40DD-AFC4-6F175D3DCCD1}">
            <a14:hiddenFill xmlns:a14="http://schemas.microsoft.com/office/drawing/2010/main" xmlns="">
              <a:noFill/>
            </a14:hiddenFill>
          </a:ext>
        </a:extLst>
      </xdr:spPr>
    </xdr:sp>
    <xdr:clientData/>
  </xdr:twoCellAnchor>
  <xdr:twoCellAnchor editAs="oneCell">
    <xdr:from>
      <xdr:col>0</xdr:col>
      <xdr:colOff>0</xdr:colOff>
      <xdr:row>55</xdr:row>
      <xdr:rowOff>0</xdr:rowOff>
    </xdr:from>
    <xdr:to>
      <xdr:col>5</xdr:col>
      <xdr:colOff>219075</xdr:colOff>
      <xdr:row>84</xdr:row>
      <xdr:rowOff>76200</xdr:rowOff>
    </xdr:to>
    <xdr:pic>
      <xdr:nvPicPr>
        <xdr:cNvPr id="349587" name="图片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0" y="10010775"/>
          <a:ext cx="7419975" cy="53244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3</xdr:row>
      <xdr:rowOff>19050</xdr:rowOff>
    </xdr:from>
    <xdr:to>
      <xdr:col>0</xdr:col>
      <xdr:colOff>1495425</xdr:colOff>
      <xdr:row>3</xdr:row>
      <xdr:rowOff>171450</xdr:rowOff>
    </xdr:to>
    <xdr:sp macro="" textlink="">
      <xdr:nvSpPr>
        <xdr:cNvPr id="235951" name="Line 7"/>
        <xdr:cNvSpPr>
          <a:spLocks noChangeShapeType="1"/>
        </xdr:cNvSpPr>
      </xdr:nvSpPr>
      <xdr:spPr bwMode="auto">
        <a:xfrm>
          <a:off x="0" y="561975"/>
          <a:ext cx="1495425" cy="152400"/>
        </a:xfrm>
        <a:prstGeom prst="line">
          <a:avLst/>
        </a:prstGeom>
        <a:noFill/>
        <a:ln w="9525">
          <a:solidFill>
            <a:srgbClr val="000000"/>
          </a:solidFill>
          <a:round/>
          <a:headEnd/>
          <a:tailEnd/>
        </a:ln>
        <a:extLst>
          <a:ext uri="{909E8E84-426E-40DD-AFC4-6F175D3DCCD1}">
            <a14:hiddenFill xmlns:a14="http://schemas.microsoft.com/office/drawing/2010/main" xmlns="">
              <a:noFill/>
            </a14:hiddenFill>
          </a:ext>
        </a:extLst>
      </xdr:spPr>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2</xdr:row>
      <xdr:rowOff>19050</xdr:rowOff>
    </xdr:from>
    <xdr:to>
      <xdr:col>0</xdr:col>
      <xdr:colOff>1266825</xdr:colOff>
      <xdr:row>2</xdr:row>
      <xdr:rowOff>171450</xdr:rowOff>
    </xdr:to>
    <xdr:sp macro="" textlink="">
      <xdr:nvSpPr>
        <xdr:cNvPr id="248199" name="Line 7"/>
        <xdr:cNvSpPr>
          <a:spLocks noChangeShapeType="1"/>
        </xdr:cNvSpPr>
      </xdr:nvSpPr>
      <xdr:spPr bwMode="auto">
        <a:xfrm>
          <a:off x="0" y="381000"/>
          <a:ext cx="1266825" cy="152400"/>
        </a:xfrm>
        <a:prstGeom prst="line">
          <a:avLst/>
        </a:prstGeom>
        <a:noFill/>
        <a:ln w="9525">
          <a:solidFill>
            <a:srgbClr val="000000"/>
          </a:solidFill>
          <a:round/>
          <a:headEnd/>
          <a:tailEnd/>
        </a:ln>
        <a:extLst>
          <a:ext uri="{909E8E84-426E-40DD-AFC4-6F175D3DCCD1}">
            <a14:hiddenFill xmlns:a14="http://schemas.microsoft.com/office/drawing/2010/main" xmlns="">
              <a:noFill/>
            </a14:hiddenFill>
          </a:ext>
        </a:extLst>
      </xdr:spPr>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47625</xdr:colOff>
      <xdr:row>2</xdr:row>
      <xdr:rowOff>28575</xdr:rowOff>
    </xdr:from>
    <xdr:to>
      <xdr:col>2</xdr:col>
      <xdr:colOff>47625</xdr:colOff>
      <xdr:row>2</xdr:row>
      <xdr:rowOff>200025</xdr:rowOff>
    </xdr:to>
    <xdr:sp macro="" textlink="">
      <xdr:nvSpPr>
        <xdr:cNvPr id="360663" name="Line 2"/>
        <xdr:cNvSpPr>
          <a:spLocks noChangeShapeType="1"/>
        </xdr:cNvSpPr>
      </xdr:nvSpPr>
      <xdr:spPr bwMode="auto">
        <a:xfrm>
          <a:off x="47625" y="390525"/>
          <a:ext cx="2209800" cy="171450"/>
        </a:xfrm>
        <a:prstGeom prst="line">
          <a:avLst/>
        </a:prstGeom>
        <a:noFill/>
        <a:ln w="9525">
          <a:solidFill>
            <a:srgbClr val="000000"/>
          </a:solidFill>
          <a:round/>
          <a:headEnd/>
          <a:tailEnd/>
        </a:ln>
        <a:extLst>
          <a:ext uri="{909E8E84-426E-40DD-AFC4-6F175D3DCCD1}">
            <a14:hiddenFill xmlns:a14="http://schemas.microsoft.com/office/drawing/2010/main" xmlns="">
              <a:noFill/>
            </a14:hiddenFill>
          </a:ext>
        </a:extLst>
      </xdr:spPr>
    </xdr:sp>
    <xdr:clientData/>
  </xdr:twoCellAnchor>
  <xdr:twoCellAnchor>
    <xdr:from>
      <xdr:col>0</xdr:col>
      <xdr:colOff>0</xdr:colOff>
      <xdr:row>2</xdr:row>
      <xdr:rowOff>19050</xdr:rowOff>
    </xdr:from>
    <xdr:to>
      <xdr:col>0</xdr:col>
      <xdr:colOff>685800</xdr:colOff>
      <xdr:row>2</xdr:row>
      <xdr:rowOff>171450</xdr:rowOff>
    </xdr:to>
    <xdr:sp macro="" textlink="">
      <xdr:nvSpPr>
        <xdr:cNvPr id="360664" name="Line 7"/>
        <xdr:cNvSpPr>
          <a:spLocks noChangeShapeType="1"/>
        </xdr:cNvSpPr>
      </xdr:nvSpPr>
      <xdr:spPr bwMode="auto">
        <a:xfrm>
          <a:off x="0" y="381000"/>
          <a:ext cx="685800" cy="152400"/>
        </a:xfrm>
        <a:prstGeom prst="line">
          <a:avLst/>
        </a:prstGeom>
        <a:noFill/>
        <a:ln w="9525">
          <a:solidFill>
            <a:srgbClr val="000000"/>
          </a:solidFill>
          <a:round/>
          <a:headEnd/>
          <a:tailEnd/>
        </a:ln>
        <a:extLst>
          <a:ext uri="{909E8E84-426E-40DD-AFC4-6F175D3DCCD1}">
            <a14:hiddenFill xmlns:a14="http://schemas.microsoft.com/office/drawing/2010/main" xmlns="">
              <a:noFill/>
            </a14:hiddenFill>
          </a:ext>
        </a:extLst>
      </xdr:spPr>
    </xdr: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3</xdr:row>
      <xdr:rowOff>19050</xdr:rowOff>
    </xdr:from>
    <xdr:to>
      <xdr:col>0</xdr:col>
      <xdr:colOff>1495425</xdr:colOff>
      <xdr:row>3</xdr:row>
      <xdr:rowOff>171450</xdr:rowOff>
    </xdr:to>
    <xdr:sp macro="" textlink="">
      <xdr:nvSpPr>
        <xdr:cNvPr id="251269" name="Line 7"/>
        <xdr:cNvSpPr>
          <a:spLocks noChangeShapeType="1"/>
        </xdr:cNvSpPr>
      </xdr:nvSpPr>
      <xdr:spPr bwMode="auto">
        <a:xfrm>
          <a:off x="0" y="561975"/>
          <a:ext cx="1495425" cy="152400"/>
        </a:xfrm>
        <a:prstGeom prst="line">
          <a:avLst/>
        </a:prstGeom>
        <a:noFill/>
        <a:ln w="9525">
          <a:solidFill>
            <a:srgbClr val="000000"/>
          </a:solidFill>
          <a:round/>
          <a:headEnd/>
          <a:tailEnd/>
        </a:ln>
        <a:extLst>
          <a:ext uri="{909E8E84-426E-40DD-AFC4-6F175D3DCCD1}">
            <a14:hiddenFill xmlns:a14="http://schemas.microsoft.com/office/drawing/2010/main" xmlns="">
              <a:noFill/>
            </a14:hiddenFill>
          </a:ext>
        </a:extLst>
      </xdr:spPr>
    </xdr: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142875</xdr:colOff>
      <xdr:row>2</xdr:row>
      <xdr:rowOff>38100</xdr:rowOff>
    </xdr:from>
    <xdr:to>
      <xdr:col>0</xdr:col>
      <xdr:colOff>685800</xdr:colOff>
      <xdr:row>2</xdr:row>
      <xdr:rowOff>323850</xdr:rowOff>
    </xdr:to>
    <xdr:sp macro="" textlink="">
      <xdr:nvSpPr>
        <xdr:cNvPr id="346393" name="Line 2"/>
        <xdr:cNvSpPr>
          <a:spLocks noChangeShapeType="1"/>
        </xdr:cNvSpPr>
      </xdr:nvSpPr>
      <xdr:spPr bwMode="auto">
        <a:xfrm>
          <a:off x="142875" y="400050"/>
          <a:ext cx="542925" cy="200025"/>
        </a:xfrm>
        <a:prstGeom prst="line">
          <a:avLst/>
        </a:prstGeom>
        <a:noFill/>
        <a:ln w="9525">
          <a:solidFill>
            <a:srgbClr val="000000"/>
          </a:solidFill>
          <a:round/>
          <a:headEnd/>
          <a:tailEnd/>
        </a:ln>
        <a:extLst>
          <a:ext uri="{909E8E84-426E-40DD-AFC4-6F175D3DCCD1}">
            <a14:hiddenFill xmlns:a14="http://schemas.microsoft.com/office/drawing/2010/main" xmlns="">
              <a:noFill/>
            </a14:hiddenFill>
          </a:ext>
        </a:extLst>
      </xdr:spPr>
    </xdr:sp>
    <xdr:clientData/>
  </xdr:twoCellAnchor>
  <xdr:twoCellAnchor>
    <xdr:from>
      <xdr:col>4</xdr:col>
      <xdr:colOff>685800</xdr:colOff>
      <xdr:row>2</xdr:row>
      <xdr:rowOff>47625</xdr:rowOff>
    </xdr:from>
    <xdr:to>
      <xdr:col>4</xdr:col>
      <xdr:colOff>685800</xdr:colOff>
      <xdr:row>2</xdr:row>
      <xdr:rowOff>333375</xdr:rowOff>
    </xdr:to>
    <xdr:sp macro="" textlink="">
      <xdr:nvSpPr>
        <xdr:cNvPr id="346394" name="Line 4"/>
        <xdr:cNvSpPr>
          <a:spLocks noChangeShapeType="1"/>
        </xdr:cNvSpPr>
      </xdr:nvSpPr>
      <xdr:spPr bwMode="auto">
        <a:xfrm>
          <a:off x="6400800" y="409575"/>
          <a:ext cx="0" cy="190500"/>
        </a:xfrm>
        <a:prstGeom prst="line">
          <a:avLst/>
        </a:prstGeom>
        <a:noFill/>
        <a:ln w="9525">
          <a:solidFill>
            <a:srgbClr val="000000"/>
          </a:solidFill>
          <a:round/>
          <a:headEnd/>
          <a:tailEnd/>
        </a:ln>
        <a:extLst>
          <a:ext uri="{909E8E84-426E-40DD-AFC4-6F175D3DCCD1}">
            <a14:hiddenFill xmlns:a14="http://schemas.microsoft.com/office/drawing/2010/main" xmlns="">
              <a:noFill/>
            </a14:hiddenFill>
          </a:ext>
        </a:extLst>
      </xdr:spPr>
    </xdr: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0</xdr:colOff>
      <xdr:row>3</xdr:row>
      <xdr:rowOff>38100</xdr:rowOff>
    </xdr:from>
    <xdr:to>
      <xdr:col>0</xdr:col>
      <xdr:colOff>685800</xdr:colOff>
      <xdr:row>3</xdr:row>
      <xdr:rowOff>323850</xdr:rowOff>
    </xdr:to>
    <xdr:sp macro="" textlink="">
      <xdr:nvSpPr>
        <xdr:cNvPr id="356575" name="Line 2"/>
        <xdr:cNvSpPr>
          <a:spLocks noChangeShapeType="1"/>
        </xdr:cNvSpPr>
      </xdr:nvSpPr>
      <xdr:spPr bwMode="auto">
        <a:xfrm>
          <a:off x="0" y="581025"/>
          <a:ext cx="685800" cy="200025"/>
        </a:xfrm>
        <a:prstGeom prst="line">
          <a:avLst/>
        </a:prstGeom>
        <a:noFill/>
        <a:ln w="9525">
          <a:solidFill>
            <a:srgbClr val="000000"/>
          </a:solidFill>
          <a:round/>
          <a:headEnd/>
          <a:tailEnd/>
        </a:ln>
        <a:extLst>
          <a:ext uri="{909E8E84-426E-40DD-AFC4-6F175D3DCCD1}">
            <a14:hiddenFill xmlns:a14="http://schemas.microsoft.com/office/drawing/2010/main" xmlns="">
              <a:noFill/>
            </a14:hiddenFill>
          </a:ext>
        </a:extLst>
      </xdr:spPr>
    </xdr:sp>
    <xdr:clientData/>
  </xdr:twoCellAnchor>
  <xdr:twoCellAnchor>
    <xdr:from>
      <xdr:col>3</xdr:col>
      <xdr:colOff>685800</xdr:colOff>
      <xdr:row>3</xdr:row>
      <xdr:rowOff>47625</xdr:rowOff>
    </xdr:from>
    <xdr:to>
      <xdr:col>3</xdr:col>
      <xdr:colOff>685800</xdr:colOff>
      <xdr:row>3</xdr:row>
      <xdr:rowOff>333375</xdr:rowOff>
    </xdr:to>
    <xdr:sp macro="" textlink="">
      <xdr:nvSpPr>
        <xdr:cNvPr id="356576" name="Line 4"/>
        <xdr:cNvSpPr>
          <a:spLocks noChangeShapeType="1"/>
        </xdr:cNvSpPr>
      </xdr:nvSpPr>
      <xdr:spPr bwMode="auto">
        <a:xfrm>
          <a:off x="4314825" y="590550"/>
          <a:ext cx="0" cy="190500"/>
        </a:xfrm>
        <a:prstGeom prst="line">
          <a:avLst/>
        </a:prstGeom>
        <a:noFill/>
        <a:ln w="9525">
          <a:solidFill>
            <a:srgbClr val="000000"/>
          </a:solidFill>
          <a:round/>
          <a:headEnd/>
          <a:tailEnd/>
        </a:ln>
        <a:extLst>
          <a:ext uri="{909E8E84-426E-40DD-AFC4-6F175D3DCCD1}">
            <a14:hiddenFill xmlns:a14="http://schemas.microsoft.com/office/drawing/2010/main" xmlns="">
              <a:noFill/>
            </a14:hiddenFill>
          </a:ext>
        </a:extLst>
      </xdr:spPr>
    </xdr: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0</xdr:colOff>
      <xdr:row>3</xdr:row>
      <xdr:rowOff>19050</xdr:rowOff>
    </xdr:from>
    <xdr:to>
      <xdr:col>0</xdr:col>
      <xdr:colOff>1438275</xdr:colOff>
      <xdr:row>3</xdr:row>
      <xdr:rowOff>171450</xdr:rowOff>
    </xdr:to>
    <xdr:sp macro="" textlink="">
      <xdr:nvSpPr>
        <xdr:cNvPr id="265563" name="Line 7"/>
        <xdr:cNvSpPr>
          <a:spLocks noChangeShapeType="1"/>
        </xdr:cNvSpPr>
      </xdr:nvSpPr>
      <xdr:spPr bwMode="auto">
        <a:xfrm>
          <a:off x="0" y="561975"/>
          <a:ext cx="1438275" cy="152400"/>
        </a:xfrm>
        <a:prstGeom prst="line">
          <a:avLst/>
        </a:prstGeom>
        <a:noFill/>
        <a:ln w="9525">
          <a:solidFill>
            <a:srgbClr val="000000"/>
          </a:solidFill>
          <a:round/>
          <a:headEnd/>
          <a:tailEnd/>
        </a:ln>
        <a:extLst>
          <a:ext uri="{909E8E84-426E-40DD-AFC4-6F175D3DCCD1}">
            <a14:hiddenFill xmlns:a14="http://schemas.microsoft.com/office/drawing/2010/main" xmlns="">
              <a:noFill/>
            </a14:hiddenFill>
          </a:ext>
        </a:extLst>
      </xdr:spPr>
    </xdr:sp>
    <xdr:clientData/>
  </xdr:twoCellAnchor>
</xdr:wsDr>
</file>

<file path=xl/drawings/drawing18.xml><?xml version="1.0" encoding="utf-8"?>
<xdr:wsDr xmlns:xdr="http://schemas.openxmlformats.org/drawingml/2006/spreadsheetDrawing" xmlns:a="http://schemas.openxmlformats.org/drawingml/2006/main">
  <xdr:twoCellAnchor>
    <xdr:from>
      <xdr:col>0</xdr:col>
      <xdr:colOff>0</xdr:colOff>
      <xdr:row>3</xdr:row>
      <xdr:rowOff>38100</xdr:rowOff>
    </xdr:from>
    <xdr:to>
      <xdr:col>0</xdr:col>
      <xdr:colOff>685800</xdr:colOff>
      <xdr:row>3</xdr:row>
      <xdr:rowOff>323850</xdr:rowOff>
    </xdr:to>
    <xdr:sp macro="" textlink="">
      <xdr:nvSpPr>
        <xdr:cNvPr id="263520" name="Line 2"/>
        <xdr:cNvSpPr>
          <a:spLocks noChangeShapeType="1"/>
        </xdr:cNvSpPr>
      </xdr:nvSpPr>
      <xdr:spPr bwMode="auto">
        <a:xfrm>
          <a:off x="0" y="581025"/>
          <a:ext cx="685800" cy="200025"/>
        </a:xfrm>
        <a:prstGeom prst="line">
          <a:avLst/>
        </a:prstGeom>
        <a:noFill/>
        <a:ln w="9525">
          <a:solidFill>
            <a:srgbClr val="000000"/>
          </a:solidFill>
          <a:round/>
          <a:headEnd/>
          <a:tailEnd/>
        </a:ln>
        <a:extLst>
          <a:ext uri="{909E8E84-426E-40DD-AFC4-6F175D3DCCD1}">
            <a14:hiddenFill xmlns:a14="http://schemas.microsoft.com/office/drawing/2010/main" xmlns="">
              <a:noFill/>
            </a14:hiddenFill>
          </a:ext>
        </a:extLst>
      </xdr:spPr>
    </xdr:sp>
    <xdr:clientData/>
  </xdr:twoCellAnchor>
</xdr:wsDr>
</file>

<file path=xl/drawings/drawing19.xml><?xml version="1.0" encoding="utf-8"?>
<xdr:wsDr xmlns:xdr="http://schemas.openxmlformats.org/drawingml/2006/spreadsheetDrawing" xmlns:a="http://schemas.openxmlformats.org/drawingml/2006/main">
  <xdr:twoCellAnchor>
    <xdr:from>
      <xdr:col>0</xdr:col>
      <xdr:colOff>0</xdr:colOff>
      <xdr:row>2</xdr:row>
      <xdr:rowOff>38100</xdr:rowOff>
    </xdr:from>
    <xdr:to>
      <xdr:col>0</xdr:col>
      <xdr:colOff>1390650</xdr:colOff>
      <xdr:row>2</xdr:row>
      <xdr:rowOff>323850</xdr:rowOff>
    </xdr:to>
    <xdr:sp macro="" textlink="">
      <xdr:nvSpPr>
        <xdr:cNvPr id="173818" name="Line 2"/>
        <xdr:cNvSpPr>
          <a:spLocks noChangeShapeType="1"/>
        </xdr:cNvSpPr>
      </xdr:nvSpPr>
      <xdr:spPr bwMode="auto">
        <a:xfrm>
          <a:off x="0" y="400050"/>
          <a:ext cx="1390650" cy="200025"/>
        </a:xfrm>
        <a:prstGeom prst="line">
          <a:avLst/>
        </a:prstGeom>
        <a:noFill/>
        <a:ln w="9525">
          <a:solidFill>
            <a:srgbClr val="000000"/>
          </a:solidFill>
          <a:round/>
          <a:headEnd/>
          <a:tailEnd/>
        </a:ln>
        <a:extLst>
          <a:ext uri="{909E8E84-426E-40DD-AFC4-6F175D3DCCD1}">
            <a14:hiddenFill xmlns:a14="http://schemas.microsoft.com/office/drawing/2010/main" xmlns="">
              <a:noFill/>
            </a14:hiddenFill>
          </a:ext>
        </a:extLst>
      </xdr:spPr>
    </xdr:sp>
    <xdr:clientData/>
  </xdr:twoCellAnchor>
</xdr:wsDr>
</file>

<file path=xl/drawings/drawing20.xml><?xml version="1.0" encoding="utf-8"?>
<xdr:wsDr xmlns:xdr="http://schemas.openxmlformats.org/drawingml/2006/spreadsheetDrawing" xmlns:a="http://schemas.openxmlformats.org/drawingml/2006/main">
  <xdr:twoCellAnchor>
    <xdr:from>
      <xdr:col>0</xdr:col>
      <xdr:colOff>0</xdr:colOff>
      <xdr:row>3</xdr:row>
      <xdr:rowOff>19050</xdr:rowOff>
    </xdr:from>
    <xdr:to>
      <xdr:col>0</xdr:col>
      <xdr:colOff>685800</xdr:colOff>
      <xdr:row>3</xdr:row>
      <xdr:rowOff>276225</xdr:rowOff>
    </xdr:to>
    <xdr:sp macro="" textlink="">
      <xdr:nvSpPr>
        <xdr:cNvPr id="234909" name="Line 1"/>
        <xdr:cNvSpPr>
          <a:spLocks noChangeShapeType="1"/>
        </xdr:cNvSpPr>
      </xdr:nvSpPr>
      <xdr:spPr bwMode="auto">
        <a:xfrm>
          <a:off x="0" y="561975"/>
          <a:ext cx="685800" cy="219075"/>
        </a:xfrm>
        <a:prstGeom prst="line">
          <a:avLst/>
        </a:prstGeom>
        <a:noFill/>
        <a:ln w="9525">
          <a:solidFill>
            <a:srgbClr val="000000"/>
          </a:solidFill>
          <a:round/>
          <a:headEnd/>
          <a:tailEnd/>
        </a:ln>
        <a:extLst>
          <a:ext uri="{909E8E84-426E-40DD-AFC4-6F175D3DCCD1}">
            <a14:hiddenFill xmlns:a14="http://schemas.microsoft.com/office/drawing/2010/main" xmlns="">
              <a:noFill/>
            </a14:hiddenFill>
          </a:ext>
        </a:extLst>
      </xdr:spPr>
    </xdr:sp>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2</xdr:row>
      <xdr:rowOff>19050</xdr:rowOff>
    </xdr:from>
    <xdr:to>
      <xdr:col>1</xdr:col>
      <xdr:colOff>9525</xdr:colOff>
      <xdr:row>2</xdr:row>
      <xdr:rowOff>314325</xdr:rowOff>
    </xdr:to>
    <xdr:sp macro="" textlink="">
      <xdr:nvSpPr>
        <xdr:cNvPr id="261476" name="Line 1"/>
        <xdr:cNvSpPr>
          <a:spLocks noChangeShapeType="1"/>
        </xdr:cNvSpPr>
      </xdr:nvSpPr>
      <xdr:spPr bwMode="auto">
        <a:xfrm>
          <a:off x="0" y="381000"/>
          <a:ext cx="1905000" cy="219075"/>
        </a:xfrm>
        <a:prstGeom prst="line">
          <a:avLst/>
        </a:prstGeom>
        <a:noFill/>
        <a:ln w="9525">
          <a:solidFill>
            <a:srgbClr val="000000"/>
          </a:solidFill>
          <a:round/>
          <a:headEnd/>
          <a:tailEnd/>
        </a:ln>
        <a:extLst>
          <a:ext uri="{909E8E84-426E-40DD-AFC4-6F175D3DCCD1}">
            <a14:hiddenFill xmlns:a14="http://schemas.microsoft.com/office/drawing/2010/main" xmlns="">
              <a:noFill/>
            </a14:hiddenFill>
          </a:ext>
        </a:extLst>
      </xdr:spPr>
    </xdr: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0</xdr:colOff>
      <xdr:row>3</xdr:row>
      <xdr:rowOff>9525</xdr:rowOff>
    </xdr:from>
    <xdr:to>
      <xdr:col>1</xdr:col>
      <xdr:colOff>47625</xdr:colOff>
      <xdr:row>4</xdr:row>
      <xdr:rowOff>0</xdr:rowOff>
    </xdr:to>
    <xdr:sp macro="" textlink="">
      <xdr:nvSpPr>
        <xdr:cNvPr id="341294" name="Line 1"/>
        <xdr:cNvSpPr>
          <a:spLocks noChangeShapeType="1"/>
        </xdr:cNvSpPr>
      </xdr:nvSpPr>
      <xdr:spPr bwMode="auto">
        <a:xfrm>
          <a:off x="0" y="552450"/>
          <a:ext cx="1200150" cy="228600"/>
        </a:xfrm>
        <a:prstGeom prst="line">
          <a:avLst/>
        </a:prstGeom>
        <a:noFill/>
        <a:ln w="9525">
          <a:solidFill>
            <a:srgbClr val="000000"/>
          </a:solidFill>
          <a:round/>
          <a:headEnd/>
          <a:tailEnd/>
        </a:ln>
        <a:extLst>
          <a:ext uri="{909E8E84-426E-40DD-AFC4-6F175D3DCCD1}">
            <a14:hiddenFill xmlns:a14="http://schemas.microsoft.com/office/drawing/2010/main" xmlns="">
              <a:noFill/>
            </a14:hiddenFill>
          </a:ext>
        </a:extLst>
      </xdr:spPr>
    </xdr:sp>
    <xdr:clientData/>
  </xdr:twoCellAnchor>
  <xdr:twoCellAnchor>
    <xdr:from>
      <xdr:col>0</xdr:col>
      <xdr:colOff>0</xdr:colOff>
      <xdr:row>3</xdr:row>
      <xdr:rowOff>28575</xdr:rowOff>
    </xdr:from>
    <xdr:to>
      <xdr:col>0</xdr:col>
      <xdr:colOff>1152525</xdr:colOff>
      <xdr:row>3</xdr:row>
      <xdr:rowOff>285750</xdr:rowOff>
    </xdr:to>
    <xdr:sp macro="" textlink="">
      <xdr:nvSpPr>
        <xdr:cNvPr id="341295" name="Line 1"/>
        <xdr:cNvSpPr>
          <a:spLocks noChangeShapeType="1"/>
        </xdr:cNvSpPr>
      </xdr:nvSpPr>
      <xdr:spPr bwMode="auto">
        <a:xfrm>
          <a:off x="0" y="571500"/>
          <a:ext cx="1152525" cy="209550"/>
        </a:xfrm>
        <a:prstGeom prst="line">
          <a:avLst/>
        </a:prstGeom>
        <a:noFill/>
        <a:ln w="9525">
          <a:solidFill>
            <a:srgbClr val="000000"/>
          </a:solidFill>
          <a:round/>
          <a:headEnd/>
          <a:tailEnd/>
        </a:ln>
        <a:extLst>
          <a:ext uri="{909E8E84-426E-40DD-AFC4-6F175D3DCCD1}">
            <a14:hiddenFill xmlns:a14="http://schemas.microsoft.com/office/drawing/2010/main" xmlns="">
              <a:noFill/>
            </a14:hiddenFill>
          </a:ext>
        </a:extLst>
      </xdr:spPr>
    </xdr:sp>
    <xdr:clientData/>
  </xdr:twoCellAnchor>
</xdr:wsDr>
</file>

<file path=xl/drawings/drawing23.xml><?xml version="1.0" encoding="utf-8"?>
<xdr:wsDr xmlns:xdr="http://schemas.openxmlformats.org/drawingml/2006/spreadsheetDrawing" xmlns:a="http://schemas.openxmlformats.org/drawingml/2006/main">
  <xdr:twoCellAnchor>
    <xdr:from>
      <xdr:col>0</xdr:col>
      <xdr:colOff>0</xdr:colOff>
      <xdr:row>3</xdr:row>
      <xdr:rowOff>9525</xdr:rowOff>
    </xdr:from>
    <xdr:to>
      <xdr:col>0</xdr:col>
      <xdr:colOff>1524000</xdr:colOff>
      <xdr:row>3</xdr:row>
      <xdr:rowOff>304800</xdr:rowOff>
    </xdr:to>
    <xdr:sp macro="" textlink="">
      <xdr:nvSpPr>
        <xdr:cNvPr id="291084" name="Line 1"/>
        <xdr:cNvSpPr>
          <a:spLocks noChangeShapeType="1"/>
        </xdr:cNvSpPr>
      </xdr:nvSpPr>
      <xdr:spPr bwMode="auto">
        <a:xfrm>
          <a:off x="0" y="552450"/>
          <a:ext cx="1524000" cy="228600"/>
        </a:xfrm>
        <a:prstGeom prst="line">
          <a:avLst/>
        </a:prstGeom>
        <a:noFill/>
        <a:ln w="9525">
          <a:solidFill>
            <a:srgbClr val="000000"/>
          </a:solidFill>
          <a:round/>
          <a:headEnd/>
          <a:tailEnd/>
        </a:ln>
        <a:extLst>
          <a:ext uri="{909E8E84-426E-40DD-AFC4-6F175D3DCCD1}">
            <a14:hiddenFill xmlns:a14="http://schemas.microsoft.com/office/drawing/2010/main" xmlns="">
              <a:noFill/>
            </a14:hiddenFill>
          </a:ext>
        </a:extLst>
      </xdr:spPr>
    </xdr:sp>
    <xdr:clientData/>
  </xdr:twoCellAnchor>
</xdr:wsDr>
</file>

<file path=xl/drawings/drawing24.xml><?xml version="1.0" encoding="utf-8"?>
<xdr:wsDr xmlns:xdr="http://schemas.openxmlformats.org/drawingml/2006/spreadsheetDrawing" xmlns:a="http://schemas.openxmlformats.org/drawingml/2006/main">
  <xdr:twoCellAnchor>
    <xdr:from>
      <xdr:col>0</xdr:col>
      <xdr:colOff>0</xdr:colOff>
      <xdr:row>3</xdr:row>
      <xdr:rowOff>19050</xdr:rowOff>
    </xdr:from>
    <xdr:to>
      <xdr:col>0</xdr:col>
      <xdr:colOff>685800</xdr:colOff>
      <xdr:row>3</xdr:row>
      <xdr:rowOff>276225</xdr:rowOff>
    </xdr:to>
    <xdr:sp macro="" textlink="">
      <xdr:nvSpPr>
        <xdr:cNvPr id="22510" name="Line 1"/>
        <xdr:cNvSpPr>
          <a:spLocks noChangeShapeType="1"/>
        </xdr:cNvSpPr>
      </xdr:nvSpPr>
      <xdr:spPr bwMode="auto">
        <a:xfrm>
          <a:off x="0" y="561975"/>
          <a:ext cx="685800" cy="219075"/>
        </a:xfrm>
        <a:prstGeom prst="line">
          <a:avLst/>
        </a:prstGeom>
        <a:noFill/>
        <a:ln w="9525">
          <a:solidFill>
            <a:srgbClr val="000000"/>
          </a:solidFill>
          <a:round/>
          <a:headEnd/>
          <a:tailEnd/>
        </a:ln>
        <a:extLst>
          <a:ext uri="{909E8E84-426E-40DD-AFC4-6F175D3DCCD1}">
            <a14:hiddenFill xmlns:a14="http://schemas.microsoft.com/office/drawing/2010/main" xmlns="">
              <a:noFill/>
            </a14:hiddenFill>
          </a:ext>
        </a:extLst>
      </xdr:spPr>
    </xdr:sp>
    <xdr:clientData/>
  </xdr:twoCellAnchor>
</xdr:wsDr>
</file>

<file path=xl/drawings/drawing25.xml><?xml version="1.0" encoding="utf-8"?>
<xdr:wsDr xmlns:xdr="http://schemas.openxmlformats.org/drawingml/2006/spreadsheetDrawing" xmlns:a="http://schemas.openxmlformats.org/drawingml/2006/main">
  <xdr:twoCellAnchor>
    <xdr:from>
      <xdr:col>0</xdr:col>
      <xdr:colOff>142875</xdr:colOff>
      <xdr:row>2</xdr:row>
      <xdr:rowOff>38100</xdr:rowOff>
    </xdr:from>
    <xdr:to>
      <xdr:col>0</xdr:col>
      <xdr:colOff>685800</xdr:colOff>
      <xdr:row>2</xdr:row>
      <xdr:rowOff>323850</xdr:rowOff>
    </xdr:to>
    <xdr:sp macro="" textlink="">
      <xdr:nvSpPr>
        <xdr:cNvPr id="390562" name="Line 2"/>
        <xdr:cNvSpPr>
          <a:spLocks noChangeShapeType="1"/>
        </xdr:cNvSpPr>
      </xdr:nvSpPr>
      <xdr:spPr bwMode="auto">
        <a:xfrm>
          <a:off x="142875" y="400050"/>
          <a:ext cx="542925" cy="200025"/>
        </a:xfrm>
        <a:prstGeom prst="line">
          <a:avLst/>
        </a:prstGeom>
        <a:noFill/>
        <a:ln w="9525">
          <a:solidFill>
            <a:srgbClr val="000000"/>
          </a:solidFill>
          <a:round/>
          <a:headEnd/>
          <a:tailEnd/>
        </a:ln>
        <a:extLst>
          <a:ext uri="{909E8E84-426E-40DD-AFC4-6F175D3DCCD1}">
            <a14:hiddenFill xmlns:a14="http://schemas.microsoft.com/office/drawing/2010/main" xmlns="">
              <a:noFill/>
            </a14:hiddenFill>
          </a:ext>
        </a:extLst>
      </xdr:spPr>
    </xdr:sp>
    <xdr:clientData/>
  </xdr:twoCellAnchor>
  <xdr:twoCellAnchor>
    <xdr:from>
      <xdr:col>1</xdr:col>
      <xdr:colOff>123825</xdr:colOff>
      <xdr:row>48</xdr:row>
      <xdr:rowOff>171450</xdr:rowOff>
    </xdr:from>
    <xdr:to>
      <xdr:col>4</xdr:col>
      <xdr:colOff>0</xdr:colOff>
      <xdr:row>55</xdr:row>
      <xdr:rowOff>9525</xdr:rowOff>
    </xdr:to>
    <xdr:sp macro="" textlink="">
      <xdr:nvSpPr>
        <xdr:cNvPr id="108" name="Rectangle 135"/>
        <xdr:cNvSpPr>
          <a:spLocks noChangeArrowheads="1"/>
        </xdr:cNvSpPr>
      </xdr:nvSpPr>
      <xdr:spPr bwMode="auto">
        <a:xfrm>
          <a:off x="1323975" y="10134600"/>
          <a:ext cx="3019425" cy="1143000"/>
        </a:xfrm>
        <a:prstGeom prst="rect">
          <a:avLst/>
        </a:prstGeom>
        <a:solidFill>
          <a:srgbClr val="FFFFFF"/>
        </a:solidFill>
        <a:ln w="9525">
          <a:solidFill>
            <a:srgbClr val="000000"/>
          </a:solidFill>
          <a:miter lim="800000"/>
          <a:headEnd/>
          <a:tailEnd/>
        </a:ln>
      </xdr:spPr>
      <xdr:txBody>
        <a:bodyPr vertOverflow="clip" wrap="square" lIns="45720" tIns="27432" rIns="0" bIns="0" anchor="t" upright="1"/>
        <a:lstStyle/>
        <a:p>
          <a:pPr algn="l" rtl="0">
            <a:lnSpc>
              <a:spcPts val="2100"/>
            </a:lnSpc>
            <a:defRPr sz="1000"/>
          </a:pPr>
          <a:r>
            <a:rPr lang="zh-CN" altLang="en-US" sz="1800" b="1" i="0" u="none" strike="noStrike" baseline="0">
              <a:solidFill>
                <a:srgbClr val="000000"/>
              </a:solidFill>
              <a:latin typeface="宋体"/>
              <a:ea typeface="宋体"/>
            </a:rPr>
            <a:t>                      </a:t>
          </a:r>
          <a:endParaRPr lang="zh-CN" altLang="en-US" sz="1200" b="0" i="0" u="none" strike="noStrike" baseline="0">
            <a:solidFill>
              <a:srgbClr val="000000"/>
            </a:solidFill>
            <a:latin typeface="宋体"/>
            <a:ea typeface="宋体"/>
          </a:endParaRPr>
        </a:p>
        <a:p>
          <a:pPr algn="l" rtl="0">
            <a:lnSpc>
              <a:spcPts val="1400"/>
            </a:lnSpc>
            <a:defRPr sz="1000"/>
          </a:pPr>
          <a:endParaRPr lang="zh-CN" altLang="en-US" sz="1200" b="0" i="0" u="none" strike="noStrike" baseline="0">
            <a:solidFill>
              <a:srgbClr val="000000"/>
            </a:solidFill>
            <a:latin typeface="宋体"/>
            <a:ea typeface="宋体"/>
          </a:endParaRPr>
        </a:p>
        <a:p>
          <a:pPr algn="l" rtl="0">
            <a:lnSpc>
              <a:spcPts val="1400"/>
            </a:lnSpc>
            <a:defRPr sz="1000"/>
          </a:pPr>
          <a:endParaRPr lang="zh-CN" altLang="en-US" sz="1200" b="0" i="0" u="none" strike="noStrike" baseline="0">
            <a:solidFill>
              <a:srgbClr val="000000"/>
            </a:solidFill>
            <a:latin typeface="宋体"/>
            <a:ea typeface="宋体"/>
          </a:endParaRPr>
        </a:p>
        <a:p>
          <a:pPr algn="l" rtl="0">
            <a:lnSpc>
              <a:spcPts val="1400"/>
            </a:lnSpc>
            <a:defRPr sz="1000"/>
          </a:pPr>
          <a:r>
            <a:rPr lang="zh-CN" altLang="en-US" sz="1200" b="0" i="0" u="none" strike="noStrike" baseline="0">
              <a:solidFill>
                <a:srgbClr val="000000"/>
              </a:solidFill>
              <a:latin typeface="宋体"/>
              <a:ea typeface="宋体"/>
            </a:rPr>
            <a:t>  </a:t>
          </a:r>
        </a:p>
      </xdr:txBody>
    </xdr:sp>
    <xdr:clientData/>
  </xdr:twoCellAnchor>
  <xdr:twoCellAnchor>
    <xdr:from>
      <xdr:col>1</xdr:col>
      <xdr:colOff>228600</xdr:colOff>
      <xdr:row>46</xdr:row>
      <xdr:rowOff>171450</xdr:rowOff>
    </xdr:from>
    <xdr:to>
      <xdr:col>3</xdr:col>
      <xdr:colOff>609600</xdr:colOff>
      <xdr:row>46</xdr:row>
      <xdr:rowOff>171450</xdr:rowOff>
    </xdr:to>
    <xdr:sp macro="" textlink="">
      <xdr:nvSpPr>
        <xdr:cNvPr id="390564" name="Line 138"/>
        <xdr:cNvSpPr>
          <a:spLocks noChangeShapeType="1"/>
        </xdr:cNvSpPr>
      </xdr:nvSpPr>
      <xdr:spPr bwMode="auto">
        <a:xfrm>
          <a:off x="1428750" y="9772650"/>
          <a:ext cx="1752600" cy="0"/>
        </a:xfrm>
        <a:prstGeom prst="line">
          <a:avLst/>
        </a:prstGeom>
        <a:noFill/>
        <a:ln w="9525">
          <a:solidFill>
            <a:srgbClr val="000000"/>
          </a:solidFill>
          <a:round/>
          <a:headEnd type="triangle" w="med" len="med"/>
          <a:tailEnd type="triangle" w="med" len="me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xdr:col>
      <xdr:colOff>123825</xdr:colOff>
      <xdr:row>46</xdr:row>
      <xdr:rowOff>104775</xdr:rowOff>
    </xdr:from>
    <xdr:to>
      <xdr:col>1</xdr:col>
      <xdr:colOff>133350</xdr:colOff>
      <xdr:row>49</xdr:row>
      <xdr:rowOff>0</xdr:rowOff>
    </xdr:to>
    <xdr:sp macro="" textlink="">
      <xdr:nvSpPr>
        <xdr:cNvPr id="390565" name="Line 139"/>
        <xdr:cNvSpPr>
          <a:spLocks noChangeShapeType="1"/>
        </xdr:cNvSpPr>
      </xdr:nvSpPr>
      <xdr:spPr bwMode="auto">
        <a:xfrm>
          <a:off x="1323975" y="9705975"/>
          <a:ext cx="9525" cy="438150"/>
        </a:xfrm>
        <a:prstGeom prst="line">
          <a:avLst/>
        </a:prstGeom>
        <a:noFill/>
        <a:ln w="3175">
          <a:solidFill>
            <a:srgbClr val="000000"/>
          </a:solidFill>
          <a:round/>
          <a:headEnd/>
          <a:tailEn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4</xdr:col>
      <xdr:colOff>0</xdr:colOff>
      <xdr:row>46</xdr:row>
      <xdr:rowOff>123825</xdr:rowOff>
    </xdr:from>
    <xdr:to>
      <xdr:col>4</xdr:col>
      <xdr:colOff>0</xdr:colOff>
      <xdr:row>48</xdr:row>
      <xdr:rowOff>171450</xdr:rowOff>
    </xdr:to>
    <xdr:sp macro="" textlink="">
      <xdr:nvSpPr>
        <xdr:cNvPr id="390566" name="Line 140"/>
        <xdr:cNvSpPr>
          <a:spLocks noChangeShapeType="1"/>
        </xdr:cNvSpPr>
      </xdr:nvSpPr>
      <xdr:spPr bwMode="auto">
        <a:xfrm flipH="1">
          <a:off x="4343400" y="9725025"/>
          <a:ext cx="0" cy="409575"/>
        </a:xfrm>
        <a:prstGeom prst="line">
          <a:avLst/>
        </a:prstGeom>
        <a:noFill/>
        <a:ln w="3175">
          <a:solidFill>
            <a:srgbClr val="000000"/>
          </a:solidFill>
          <a:round/>
          <a:headEnd/>
          <a:tailEn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xdr:col>
      <xdr:colOff>581025</xdr:colOff>
      <xdr:row>47</xdr:row>
      <xdr:rowOff>114300</xdr:rowOff>
    </xdr:from>
    <xdr:to>
      <xdr:col>1</xdr:col>
      <xdr:colOff>581025</xdr:colOff>
      <xdr:row>50</xdr:row>
      <xdr:rowOff>219075</xdr:rowOff>
    </xdr:to>
    <xdr:sp macro="" textlink="">
      <xdr:nvSpPr>
        <xdr:cNvPr id="390567" name="Line 141"/>
        <xdr:cNvSpPr>
          <a:spLocks noChangeShapeType="1"/>
        </xdr:cNvSpPr>
      </xdr:nvSpPr>
      <xdr:spPr bwMode="auto">
        <a:xfrm>
          <a:off x="1781175" y="9896475"/>
          <a:ext cx="0" cy="609600"/>
        </a:xfrm>
        <a:prstGeom prst="line">
          <a:avLst/>
        </a:prstGeom>
        <a:noFill/>
        <a:ln w="3175">
          <a:solidFill>
            <a:srgbClr val="000000"/>
          </a:solidFill>
          <a:round/>
          <a:headEnd/>
          <a:tailEn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0</xdr:col>
      <xdr:colOff>581025</xdr:colOff>
      <xdr:row>50</xdr:row>
      <xdr:rowOff>219075</xdr:rowOff>
    </xdr:from>
    <xdr:to>
      <xdr:col>1</xdr:col>
      <xdr:colOff>600075</xdr:colOff>
      <xdr:row>50</xdr:row>
      <xdr:rowOff>219075</xdr:rowOff>
    </xdr:to>
    <xdr:sp macro="" textlink="">
      <xdr:nvSpPr>
        <xdr:cNvPr id="390568" name="Line 142"/>
        <xdr:cNvSpPr>
          <a:spLocks noChangeShapeType="1"/>
        </xdr:cNvSpPr>
      </xdr:nvSpPr>
      <xdr:spPr bwMode="auto">
        <a:xfrm flipH="1" flipV="1">
          <a:off x="581025" y="10506075"/>
          <a:ext cx="1219200" cy="0"/>
        </a:xfrm>
        <a:prstGeom prst="line">
          <a:avLst/>
        </a:prstGeom>
        <a:noFill/>
        <a:ln w="3175">
          <a:solidFill>
            <a:srgbClr val="000000"/>
          </a:solidFill>
          <a:round/>
          <a:headEnd/>
          <a:tailEn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0</xdr:col>
      <xdr:colOff>285750</xdr:colOff>
      <xdr:row>48</xdr:row>
      <xdr:rowOff>180975</xdr:rowOff>
    </xdr:from>
    <xdr:to>
      <xdr:col>1</xdr:col>
      <xdr:colOff>123825</xdr:colOff>
      <xdr:row>48</xdr:row>
      <xdr:rowOff>180975</xdr:rowOff>
    </xdr:to>
    <xdr:sp macro="" textlink="">
      <xdr:nvSpPr>
        <xdr:cNvPr id="390569" name="Line 146"/>
        <xdr:cNvSpPr>
          <a:spLocks noChangeShapeType="1"/>
        </xdr:cNvSpPr>
      </xdr:nvSpPr>
      <xdr:spPr bwMode="auto">
        <a:xfrm flipH="1" flipV="1">
          <a:off x="285750" y="10144125"/>
          <a:ext cx="1038225" cy="0"/>
        </a:xfrm>
        <a:prstGeom prst="line">
          <a:avLst/>
        </a:prstGeom>
        <a:noFill/>
        <a:ln w="3175">
          <a:solidFill>
            <a:srgbClr val="000000"/>
          </a:solidFill>
          <a:round/>
          <a:headEnd/>
          <a:tailEn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0</xdr:col>
      <xdr:colOff>438150</xdr:colOff>
      <xdr:row>49</xdr:row>
      <xdr:rowOff>38100</xdr:rowOff>
    </xdr:from>
    <xdr:to>
      <xdr:col>0</xdr:col>
      <xdr:colOff>457200</xdr:colOff>
      <xdr:row>54</xdr:row>
      <xdr:rowOff>361950</xdr:rowOff>
    </xdr:to>
    <xdr:sp macro="" textlink="">
      <xdr:nvSpPr>
        <xdr:cNvPr id="390570" name="Line 147"/>
        <xdr:cNvSpPr>
          <a:spLocks noChangeShapeType="1"/>
        </xdr:cNvSpPr>
      </xdr:nvSpPr>
      <xdr:spPr bwMode="auto">
        <a:xfrm flipH="1">
          <a:off x="438150" y="10182225"/>
          <a:ext cx="19050" cy="1085850"/>
        </a:xfrm>
        <a:prstGeom prst="line">
          <a:avLst/>
        </a:prstGeom>
        <a:noFill/>
        <a:ln w="9525">
          <a:solidFill>
            <a:srgbClr val="000000"/>
          </a:solidFill>
          <a:round/>
          <a:headEnd type="triangle" w="med" len="med"/>
          <a:tailEnd type="triangle" w="med" len="me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xdr:col>
      <xdr:colOff>9525</xdr:colOff>
      <xdr:row>49</xdr:row>
      <xdr:rowOff>9525</xdr:rowOff>
    </xdr:from>
    <xdr:to>
      <xdr:col>1</xdr:col>
      <xdr:colOff>9525</xdr:colOff>
      <xdr:row>50</xdr:row>
      <xdr:rowOff>219075</xdr:rowOff>
    </xdr:to>
    <xdr:sp macro="" textlink="">
      <xdr:nvSpPr>
        <xdr:cNvPr id="390571" name="Line 148"/>
        <xdr:cNvSpPr>
          <a:spLocks noChangeShapeType="1"/>
        </xdr:cNvSpPr>
      </xdr:nvSpPr>
      <xdr:spPr bwMode="auto">
        <a:xfrm flipH="1">
          <a:off x="1209675" y="10153650"/>
          <a:ext cx="0" cy="352425"/>
        </a:xfrm>
        <a:prstGeom prst="line">
          <a:avLst/>
        </a:prstGeom>
        <a:noFill/>
        <a:ln w="9525">
          <a:solidFill>
            <a:srgbClr val="000000"/>
          </a:solidFill>
          <a:round/>
          <a:headEnd type="triangle" w="med" len="med"/>
          <a:tailEnd type="triangle" w="med" len="me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6</xdr:col>
      <xdr:colOff>0</xdr:colOff>
      <xdr:row>55</xdr:row>
      <xdr:rowOff>104775</xdr:rowOff>
    </xdr:from>
    <xdr:to>
      <xdr:col>6</xdr:col>
      <xdr:colOff>0</xdr:colOff>
      <xdr:row>55</xdr:row>
      <xdr:rowOff>104775</xdr:rowOff>
    </xdr:to>
    <xdr:sp macro="" textlink="">
      <xdr:nvSpPr>
        <xdr:cNvPr id="390572" name="Line 155"/>
        <xdr:cNvSpPr>
          <a:spLocks noChangeShapeType="1"/>
        </xdr:cNvSpPr>
      </xdr:nvSpPr>
      <xdr:spPr bwMode="auto">
        <a:xfrm>
          <a:off x="5715000" y="11372850"/>
          <a:ext cx="0" cy="0"/>
        </a:xfrm>
        <a:prstGeom prst="line">
          <a:avLst/>
        </a:prstGeom>
        <a:noFill/>
        <a:ln w="9525">
          <a:solidFill>
            <a:srgbClr val="000000"/>
          </a:solidFill>
          <a:round/>
          <a:headEnd/>
          <a:tailEn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6</xdr:col>
      <xdr:colOff>0</xdr:colOff>
      <xdr:row>55</xdr:row>
      <xdr:rowOff>104775</xdr:rowOff>
    </xdr:from>
    <xdr:to>
      <xdr:col>6</xdr:col>
      <xdr:colOff>0</xdr:colOff>
      <xdr:row>55</xdr:row>
      <xdr:rowOff>104775</xdr:rowOff>
    </xdr:to>
    <xdr:sp macro="" textlink="">
      <xdr:nvSpPr>
        <xdr:cNvPr id="390573" name="Line 156"/>
        <xdr:cNvSpPr>
          <a:spLocks noChangeShapeType="1"/>
        </xdr:cNvSpPr>
      </xdr:nvSpPr>
      <xdr:spPr bwMode="auto">
        <a:xfrm>
          <a:off x="5715000" y="11372850"/>
          <a:ext cx="0" cy="0"/>
        </a:xfrm>
        <a:prstGeom prst="line">
          <a:avLst/>
        </a:prstGeom>
        <a:noFill/>
        <a:ln w="9525">
          <a:solidFill>
            <a:srgbClr val="000000"/>
          </a:solidFill>
          <a:round/>
          <a:headEnd type="triangle" w="med" len="med"/>
          <a:tailEn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7</xdr:col>
      <xdr:colOff>0</xdr:colOff>
      <xdr:row>49</xdr:row>
      <xdr:rowOff>9525</xdr:rowOff>
    </xdr:from>
    <xdr:to>
      <xdr:col>7</xdr:col>
      <xdr:colOff>0</xdr:colOff>
      <xdr:row>49</xdr:row>
      <xdr:rowOff>9525</xdr:rowOff>
    </xdr:to>
    <xdr:sp macro="" textlink="">
      <xdr:nvSpPr>
        <xdr:cNvPr id="390574" name="Line 157"/>
        <xdr:cNvSpPr>
          <a:spLocks noChangeShapeType="1"/>
        </xdr:cNvSpPr>
      </xdr:nvSpPr>
      <xdr:spPr bwMode="auto">
        <a:xfrm flipH="1" flipV="1">
          <a:off x="6400800" y="10153650"/>
          <a:ext cx="0" cy="0"/>
        </a:xfrm>
        <a:prstGeom prst="line">
          <a:avLst/>
        </a:prstGeom>
        <a:noFill/>
        <a:ln w="9525">
          <a:solidFill>
            <a:srgbClr val="000000"/>
          </a:solidFill>
          <a:round/>
          <a:headEnd/>
          <a:tailEn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6</xdr:col>
      <xdr:colOff>0</xdr:colOff>
      <xdr:row>55</xdr:row>
      <xdr:rowOff>9525</xdr:rowOff>
    </xdr:from>
    <xdr:to>
      <xdr:col>6</xdr:col>
      <xdr:colOff>0</xdr:colOff>
      <xdr:row>55</xdr:row>
      <xdr:rowOff>9525</xdr:rowOff>
    </xdr:to>
    <xdr:sp macro="" textlink="">
      <xdr:nvSpPr>
        <xdr:cNvPr id="390575" name="Line 158"/>
        <xdr:cNvSpPr>
          <a:spLocks noChangeShapeType="1"/>
        </xdr:cNvSpPr>
      </xdr:nvSpPr>
      <xdr:spPr bwMode="auto">
        <a:xfrm flipH="1" flipV="1">
          <a:off x="5715000" y="11277600"/>
          <a:ext cx="0" cy="0"/>
        </a:xfrm>
        <a:prstGeom prst="line">
          <a:avLst/>
        </a:prstGeom>
        <a:noFill/>
        <a:ln w="9525">
          <a:solidFill>
            <a:srgbClr val="000000"/>
          </a:solidFill>
          <a:round/>
          <a:headEnd/>
          <a:tailEn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0</xdr:col>
      <xdr:colOff>133350</xdr:colOff>
      <xdr:row>48</xdr:row>
      <xdr:rowOff>104775</xdr:rowOff>
    </xdr:from>
    <xdr:to>
      <xdr:col>1</xdr:col>
      <xdr:colOff>123825</xdr:colOff>
      <xdr:row>48</xdr:row>
      <xdr:rowOff>104775</xdr:rowOff>
    </xdr:to>
    <xdr:sp macro="" textlink="">
      <xdr:nvSpPr>
        <xdr:cNvPr id="390576" name="Line 249"/>
        <xdr:cNvSpPr>
          <a:spLocks noChangeShapeType="1"/>
        </xdr:cNvSpPr>
      </xdr:nvSpPr>
      <xdr:spPr bwMode="auto">
        <a:xfrm>
          <a:off x="133350" y="10067925"/>
          <a:ext cx="1190625"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type="triangle" w="med" len="me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xdr:col>
      <xdr:colOff>142875</xdr:colOff>
      <xdr:row>48</xdr:row>
      <xdr:rowOff>114300</xdr:rowOff>
    </xdr:from>
    <xdr:to>
      <xdr:col>1</xdr:col>
      <xdr:colOff>381000</xdr:colOff>
      <xdr:row>48</xdr:row>
      <xdr:rowOff>114300</xdr:rowOff>
    </xdr:to>
    <xdr:sp macro="" textlink="">
      <xdr:nvSpPr>
        <xdr:cNvPr id="390577" name="Line 258"/>
        <xdr:cNvSpPr>
          <a:spLocks noChangeShapeType="1"/>
        </xdr:cNvSpPr>
      </xdr:nvSpPr>
      <xdr:spPr bwMode="auto">
        <a:xfrm>
          <a:off x="1343025" y="10077450"/>
          <a:ext cx="238125"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xdr:col>
      <xdr:colOff>619125</xdr:colOff>
      <xdr:row>56</xdr:row>
      <xdr:rowOff>0</xdr:rowOff>
    </xdr:from>
    <xdr:to>
      <xdr:col>1</xdr:col>
      <xdr:colOff>495300</xdr:colOff>
      <xdr:row>56</xdr:row>
      <xdr:rowOff>0</xdr:rowOff>
    </xdr:to>
    <xdr:sp macro="" textlink="">
      <xdr:nvSpPr>
        <xdr:cNvPr id="123" name="Text Box 358"/>
        <xdr:cNvSpPr txBox="1">
          <a:spLocks noChangeArrowheads="1"/>
        </xdr:cNvSpPr>
      </xdr:nvSpPr>
      <xdr:spPr bwMode="auto">
        <a:xfrm>
          <a:off x="1819275" y="11449050"/>
          <a:ext cx="0" cy="0"/>
        </a:xfrm>
        <a:prstGeom prst="rect">
          <a:avLst/>
        </a:prstGeom>
        <a:noFill/>
        <a:ln>
          <a:noFill/>
        </a:ln>
        <a:effectLst/>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lgn="ctr">
              <a:solidFill>
                <a:srgbClr val="000000"/>
              </a:solidFill>
              <a:miter lim="800000"/>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txBody>
        <a:bodyPr vertOverflow="clip" wrap="square" lIns="0" tIns="0" rIns="0" bIns="0" anchor="t" upright="1"/>
        <a:lstStyle/>
        <a:p>
          <a:pPr algn="l" rtl="0">
            <a:defRPr sz="1000"/>
          </a:pPr>
          <a:r>
            <a:rPr lang="zh-CN" altLang="en-US" sz="1000" b="0" i="0" u="none" strike="noStrike" baseline="0">
              <a:solidFill>
                <a:srgbClr val="000000"/>
              </a:solidFill>
              <a:latin typeface="宋体"/>
              <a:ea typeface="宋体"/>
            </a:rPr>
            <a:t>位置</a:t>
          </a:r>
        </a:p>
      </xdr:txBody>
    </xdr:sp>
    <xdr:clientData/>
  </xdr:twoCellAnchor>
  <xdr:twoCellAnchor>
    <xdr:from>
      <xdr:col>1</xdr:col>
      <xdr:colOff>19050</xdr:colOff>
      <xdr:row>56</xdr:row>
      <xdr:rowOff>0</xdr:rowOff>
    </xdr:from>
    <xdr:to>
      <xdr:col>2</xdr:col>
      <xdr:colOff>66675</xdr:colOff>
      <xdr:row>56</xdr:row>
      <xdr:rowOff>0</xdr:rowOff>
    </xdr:to>
    <xdr:sp macro="" textlink="">
      <xdr:nvSpPr>
        <xdr:cNvPr id="124" name="Text Box 360"/>
        <xdr:cNvSpPr txBox="1">
          <a:spLocks noChangeArrowheads="1"/>
        </xdr:cNvSpPr>
      </xdr:nvSpPr>
      <xdr:spPr bwMode="auto">
        <a:xfrm>
          <a:off x="1219200" y="11449050"/>
          <a:ext cx="733425" cy="0"/>
        </a:xfrm>
        <a:prstGeom prst="rect">
          <a:avLst/>
        </a:prstGeom>
        <a:noFill/>
        <a:ln>
          <a:noFill/>
        </a:ln>
        <a:effectLst/>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lgn="ctr">
              <a:solidFill>
                <a:srgbClr val="000000"/>
              </a:solidFill>
              <a:miter lim="800000"/>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txBody>
        <a:bodyPr vertOverflow="clip" wrap="square" lIns="0" tIns="0" rIns="0" bIns="0" anchor="t" upright="1"/>
        <a:lstStyle/>
        <a:p>
          <a:pPr algn="l" rtl="0">
            <a:defRPr sz="1000"/>
          </a:pPr>
          <a:r>
            <a:rPr lang="zh-CN" altLang="en-US" sz="1100" b="0" i="0" u="none" strike="noStrike" baseline="0">
              <a:solidFill>
                <a:srgbClr val="000000"/>
              </a:solidFill>
              <a:latin typeface="宋体"/>
              <a:ea typeface="宋体"/>
            </a:rPr>
            <a:t>测试点</a:t>
          </a:r>
        </a:p>
      </xdr:txBody>
    </xdr:sp>
    <xdr:clientData/>
  </xdr:twoCellAnchor>
  <xdr:twoCellAnchor>
    <xdr:from>
      <xdr:col>2</xdr:col>
      <xdr:colOff>238125</xdr:colOff>
      <xdr:row>56</xdr:row>
      <xdr:rowOff>0</xdr:rowOff>
    </xdr:from>
    <xdr:to>
      <xdr:col>2</xdr:col>
      <xdr:colOff>504825</xdr:colOff>
      <xdr:row>56</xdr:row>
      <xdr:rowOff>0</xdr:rowOff>
    </xdr:to>
    <xdr:sp macro="" textlink="">
      <xdr:nvSpPr>
        <xdr:cNvPr id="125" name="Text Box 407"/>
        <xdr:cNvSpPr txBox="1">
          <a:spLocks noChangeArrowheads="1"/>
        </xdr:cNvSpPr>
      </xdr:nvSpPr>
      <xdr:spPr bwMode="auto">
        <a:xfrm>
          <a:off x="2124075" y="11449050"/>
          <a:ext cx="266700" cy="0"/>
        </a:xfrm>
        <a:prstGeom prst="rect">
          <a:avLst/>
        </a:prstGeom>
        <a:noFill/>
        <a:ln>
          <a:noFill/>
        </a:ln>
        <a:effectLst/>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lgn="ctr">
              <a:solidFill>
                <a:srgbClr val="000000"/>
              </a:solidFill>
              <a:miter lim="800000"/>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txBody>
        <a:bodyPr vertOverflow="clip" wrap="square" lIns="0" tIns="0" rIns="0" bIns="0" anchor="t" upright="1"/>
        <a:lstStyle/>
        <a:p>
          <a:pPr algn="l" rtl="0">
            <a:defRPr sz="1000"/>
          </a:pPr>
          <a:r>
            <a:rPr lang="zh-CN" altLang="en-US" sz="1100" b="0" i="0" u="none" strike="noStrike" baseline="0">
              <a:solidFill>
                <a:srgbClr val="000000"/>
              </a:solidFill>
              <a:latin typeface="宋体"/>
              <a:ea typeface="宋体"/>
            </a:rPr>
            <a:t>位置</a:t>
          </a:r>
        </a:p>
      </xdr:txBody>
    </xdr:sp>
    <xdr:clientData/>
  </xdr:twoCellAnchor>
  <xdr:twoCellAnchor>
    <xdr:from>
      <xdr:col>1</xdr:col>
      <xdr:colOff>619125</xdr:colOff>
      <xdr:row>56</xdr:row>
      <xdr:rowOff>0</xdr:rowOff>
    </xdr:from>
    <xdr:to>
      <xdr:col>1</xdr:col>
      <xdr:colOff>495300</xdr:colOff>
      <xdr:row>56</xdr:row>
      <xdr:rowOff>0</xdr:rowOff>
    </xdr:to>
    <xdr:sp macro="" textlink="">
      <xdr:nvSpPr>
        <xdr:cNvPr id="126" name="Text Box 435"/>
        <xdr:cNvSpPr txBox="1">
          <a:spLocks noChangeArrowheads="1"/>
        </xdr:cNvSpPr>
      </xdr:nvSpPr>
      <xdr:spPr bwMode="auto">
        <a:xfrm>
          <a:off x="1819275" y="11449050"/>
          <a:ext cx="0" cy="0"/>
        </a:xfrm>
        <a:prstGeom prst="rect">
          <a:avLst/>
        </a:prstGeom>
        <a:noFill/>
        <a:ln>
          <a:noFill/>
        </a:ln>
        <a:effectLst/>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lgn="ctr">
              <a:solidFill>
                <a:srgbClr val="000000"/>
              </a:solidFill>
              <a:miter lim="800000"/>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txBody>
        <a:bodyPr vertOverflow="clip" wrap="square" lIns="0" tIns="0" rIns="0" bIns="0" anchor="t" upright="1"/>
        <a:lstStyle/>
        <a:p>
          <a:pPr algn="l" rtl="0">
            <a:defRPr sz="1000"/>
          </a:pPr>
          <a:r>
            <a:rPr lang="zh-CN" altLang="en-US" sz="1000" b="0" i="0" u="none" strike="noStrike" baseline="0">
              <a:solidFill>
                <a:srgbClr val="000000"/>
              </a:solidFill>
              <a:latin typeface="宋体"/>
              <a:ea typeface="宋体"/>
            </a:rPr>
            <a:t>位置</a:t>
          </a:r>
        </a:p>
      </xdr:txBody>
    </xdr:sp>
    <xdr:clientData/>
  </xdr:twoCellAnchor>
  <xdr:twoCellAnchor>
    <xdr:from>
      <xdr:col>1</xdr:col>
      <xdr:colOff>19050</xdr:colOff>
      <xdr:row>56</xdr:row>
      <xdr:rowOff>0</xdr:rowOff>
    </xdr:from>
    <xdr:to>
      <xdr:col>2</xdr:col>
      <xdr:colOff>66675</xdr:colOff>
      <xdr:row>56</xdr:row>
      <xdr:rowOff>0</xdr:rowOff>
    </xdr:to>
    <xdr:sp macro="" textlink="">
      <xdr:nvSpPr>
        <xdr:cNvPr id="127" name="Text Box 436"/>
        <xdr:cNvSpPr txBox="1">
          <a:spLocks noChangeArrowheads="1"/>
        </xdr:cNvSpPr>
      </xdr:nvSpPr>
      <xdr:spPr bwMode="auto">
        <a:xfrm>
          <a:off x="1219200" y="11449050"/>
          <a:ext cx="733425" cy="0"/>
        </a:xfrm>
        <a:prstGeom prst="rect">
          <a:avLst/>
        </a:prstGeom>
        <a:noFill/>
        <a:ln>
          <a:noFill/>
        </a:ln>
        <a:effectLst/>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lgn="ctr">
              <a:solidFill>
                <a:srgbClr val="000000"/>
              </a:solidFill>
              <a:miter lim="800000"/>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txBody>
        <a:bodyPr vertOverflow="clip" wrap="square" lIns="0" tIns="0" rIns="0" bIns="0" anchor="t" upright="1"/>
        <a:lstStyle/>
        <a:p>
          <a:pPr algn="l" rtl="0">
            <a:defRPr sz="1000"/>
          </a:pPr>
          <a:r>
            <a:rPr lang="zh-CN" altLang="en-US" sz="1100" b="0" i="0" u="none" strike="noStrike" baseline="0">
              <a:solidFill>
                <a:srgbClr val="000000"/>
              </a:solidFill>
              <a:latin typeface="宋体"/>
              <a:ea typeface="宋体"/>
            </a:rPr>
            <a:t>测试点</a:t>
          </a:r>
        </a:p>
      </xdr:txBody>
    </xdr:sp>
    <xdr:clientData/>
  </xdr:twoCellAnchor>
  <xdr:twoCellAnchor>
    <xdr:from>
      <xdr:col>1</xdr:col>
      <xdr:colOff>257175</xdr:colOff>
      <xdr:row>56</xdr:row>
      <xdr:rowOff>0</xdr:rowOff>
    </xdr:from>
    <xdr:to>
      <xdr:col>2</xdr:col>
      <xdr:colOff>133350</xdr:colOff>
      <xdr:row>56</xdr:row>
      <xdr:rowOff>0</xdr:rowOff>
    </xdr:to>
    <xdr:sp macro="" textlink="">
      <xdr:nvSpPr>
        <xdr:cNvPr id="128" name="Text Box 437"/>
        <xdr:cNvSpPr txBox="1">
          <a:spLocks noChangeArrowheads="1"/>
        </xdr:cNvSpPr>
      </xdr:nvSpPr>
      <xdr:spPr bwMode="auto">
        <a:xfrm>
          <a:off x="1457325" y="11449050"/>
          <a:ext cx="561975" cy="0"/>
        </a:xfrm>
        <a:prstGeom prst="rect">
          <a:avLst/>
        </a:prstGeom>
        <a:noFill/>
        <a:ln>
          <a:noFill/>
        </a:ln>
        <a:effectLst/>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lgn="ctr">
              <a:solidFill>
                <a:srgbClr val="000000"/>
              </a:solidFill>
              <a:miter lim="800000"/>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txBody>
        <a:bodyPr vertOverflow="clip" wrap="square" lIns="0" tIns="0" rIns="0" bIns="0" anchor="t" upright="1"/>
        <a:lstStyle/>
        <a:p>
          <a:pPr algn="l" rtl="0">
            <a:defRPr sz="1000"/>
          </a:pPr>
          <a:r>
            <a:rPr lang="zh-CN" altLang="en-US" sz="1100" b="0" i="0" u="none" strike="noStrike" baseline="0">
              <a:solidFill>
                <a:srgbClr val="000000"/>
              </a:solidFill>
              <a:latin typeface="宋体"/>
              <a:ea typeface="宋体"/>
            </a:rPr>
            <a:t>距离离</a:t>
          </a:r>
        </a:p>
      </xdr:txBody>
    </xdr:sp>
    <xdr:clientData/>
  </xdr:twoCellAnchor>
  <xdr:twoCellAnchor>
    <xdr:from>
      <xdr:col>2</xdr:col>
      <xdr:colOff>238125</xdr:colOff>
      <xdr:row>56</xdr:row>
      <xdr:rowOff>0</xdr:rowOff>
    </xdr:from>
    <xdr:to>
      <xdr:col>2</xdr:col>
      <xdr:colOff>504825</xdr:colOff>
      <xdr:row>56</xdr:row>
      <xdr:rowOff>0</xdr:rowOff>
    </xdr:to>
    <xdr:sp macro="" textlink="">
      <xdr:nvSpPr>
        <xdr:cNvPr id="129" name="Text Box 438"/>
        <xdr:cNvSpPr txBox="1">
          <a:spLocks noChangeArrowheads="1"/>
        </xdr:cNvSpPr>
      </xdr:nvSpPr>
      <xdr:spPr bwMode="auto">
        <a:xfrm>
          <a:off x="2124075" y="11449050"/>
          <a:ext cx="266700" cy="0"/>
        </a:xfrm>
        <a:prstGeom prst="rect">
          <a:avLst/>
        </a:prstGeom>
        <a:noFill/>
        <a:ln>
          <a:noFill/>
        </a:ln>
        <a:effectLst/>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lgn="ctr">
              <a:solidFill>
                <a:srgbClr val="000000"/>
              </a:solidFill>
              <a:miter lim="800000"/>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txBody>
        <a:bodyPr vertOverflow="clip" wrap="square" lIns="0" tIns="0" rIns="0" bIns="0" anchor="t" upright="1"/>
        <a:lstStyle/>
        <a:p>
          <a:pPr algn="l" rtl="0">
            <a:defRPr sz="1000"/>
          </a:pPr>
          <a:r>
            <a:rPr lang="zh-CN" altLang="en-US" sz="1100" b="0" i="0" u="none" strike="noStrike" baseline="0">
              <a:solidFill>
                <a:srgbClr val="000000"/>
              </a:solidFill>
              <a:latin typeface="宋体"/>
              <a:ea typeface="宋体"/>
            </a:rPr>
            <a:t>位置</a:t>
          </a:r>
        </a:p>
      </xdr:txBody>
    </xdr:sp>
    <xdr:clientData/>
  </xdr:twoCellAnchor>
  <xdr:twoCellAnchor>
    <xdr:from>
      <xdr:col>1</xdr:col>
      <xdr:colOff>28575</xdr:colOff>
      <xdr:row>56</xdr:row>
      <xdr:rowOff>0</xdr:rowOff>
    </xdr:from>
    <xdr:to>
      <xdr:col>2</xdr:col>
      <xdr:colOff>85725</xdr:colOff>
      <xdr:row>56</xdr:row>
      <xdr:rowOff>0</xdr:rowOff>
    </xdr:to>
    <xdr:sp macro="" textlink="">
      <xdr:nvSpPr>
        <xdr:cNvPr id="390585" name="Line 440"/>
        <xdr:cNvSpPr>
          <a:spLocks noChangeShapeType="1"/>
        </xdr:cNvSpPr>
      </xdr:nvSpPr>
      <xdr:spPr bwMode="auto">
        <a:xfrm>
          <a:off x="1228725" y="11449050"/>
          <a:ext cx="74295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2</xdr:col>
      <xdr:colOff>28575</xdr:colOff>
      <xdr:row>56</xdr:row>
      <xdr:rowOff>0</xdr:rowOff>
    </xdr:from>
    <xdr:to>
      <xdr:col>3</xdr:col>
      <xdr:colOff>85725</xdr:colOff>
      <xdr:row>56</xdr:row>
      <xdr:rowOff>0</xdr:rowOff>
    </xdr:to>
    <xdr:sp macro="" textlink="">
      <xdr:nvSpPr>
        <xdr:cNvPr id="390586" name="Line 441"/>
        <xdr:cNvSpPr>
          <a:spLocks noChangeShapeType="1"/>
        </xdr:cNvSpPr>
      </xdr:nvSpPr>
      <xdr:spPr bwMode="auto">
        <a:xfrm>
          <a:off x="1914525" y="11449050"/>
          <a:ext cx="74295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2</xdr:col>
      <xdr:colOff>28575</xdr:colOff>
      <xdr:row>56</xdr:row>
      <xdr:rowOff>0</xdr:rowOff>
    </xdr:from>
    <xdr:to>
      <xdr:col>3</xdr:col>
      <xdr:colOff>85725</xdr:colOff>
      <xdr:row>56</xdr:row>
      <xdr:rowOff>0</xdr:rowOff>
    </xdr:to>
    <xdr:sp macro="" textlink="">
      <xdr:nvSpPr>
        <xdr:cNvPr id="390587" name="Line 445"/>
        <xdr:cNvSpPr>
          <a:spLocks noChangeShapeType="1"/>
        </xdr:cNvSpPr>
      </xdr:nvSpPr>
      <xdr:spPr bwMode="auto">
        <a:xfrm>
          <a:off x="1914525" y="11449050"/>
          <a:ext cx="74295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xdr:col>
      <xdr:colOff>266700</xdr:colOff>
      <xdr:row>56</xdr:row>
      <xdr:rowOff>0</xdr:rowOff>
    </xdr:from>
    <xdr:to>
      <xdr:col>2</xdr:col>
      <xdr:colOff>85725</xdr:colOff>
      <xdr:row>56</xdr:row>
      <xdr:rowOff>0</xdr:rowOff>
    </xdr:to>
    <xdr:sp macro="" textlink="">
      <xdr:nvSpPr>
        <xdr:cNvPr id="133" name="Text Box 504"/>
        <xdr:cNvSpPr txBox="1">
          <a:spLocks noChangeArrowheads="1"/>
        </xdr:cNvSpPr>
      </xdr:nvSpPr>
      <xdr:spPr bwMode="auto">
        <a:xfrm>
          <a:off x="1466850" y="11449050"/>
          <a:ext cx="504825" cy="0"/>
        </a:xfrm>
        <a:prstGeom prst="rect">
          <a:avLst/>
        </a:prstGeom>
        <a:noFill/>
        <a:ln>
          <a:noFill/>
        </a:ln>
        <a:effectLst/>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lgn="ctr">
              <a:solidFill>
                <a:srgbClr val="000000"/>
              </a:solidFill>
              <a:miter lim="800000"/>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txBody>
        <a:bodyPr vertOverflow="clip" wrap="square" lIns="0" tIns="0" rIns="0" bIns="0" anchor="t" upright="1"/>
        <a:lstStyle/>
        <a:p>
          <a:pPr algn="l" rtl="0">
            <a:defRPr sz="1000"/>
          </a:pPr>
          <a:r>
            <a:rPr lang="zh-CN" altLang="en-US" sz="1100" b="0" i="0" u="none" strike="noStrike" baseline="0">
              <a:solidFill>
                <a:srgbClr val="000000"/>
              </a:solidFill>
              <a:latin typeface="宋体"/>
              <a:ea typeface="宋体"/>
            </a:rPr>
            <a:t>距离离</a:t>
          </a:r>
        </a:p>
      </xdr:txBody>
    </xdr:sp>
    <xdr:clientData/>
  </xdr:twoCellAnchor>
  <xdr:twoCellAnchor>
    <xdr:from>
      <xdr:col>1</xdr:col>
      <xdr:colOff>123825</xdr:colOff>
      <xdr:row>48</xdr:row>
      <xdr:rowOff>85725</xdr:rowOff>
    </xdr:from>
    <xdr:to>
      <xdr:col>1</xdr:col>
      <xdr:colOff>409575</xdr:colOff>
      <xdr:row>48</xdr:row>
      <xdr:rowOff>85725</xdr:rowOff>
    </xdr:to>
    <xdr:sp macro="" textlink="">
      <xdr:nvSpPr>
        <xdr:cNvPr id="390589" name="Line 759"/>
        <xdr:cNvSpPr>
          <a:spLocks noChangeShapeType="1"/>
        </xdr:cNvSpPr>
      </xdr:nvSpPr>
      <xdr:spPr bwMode="auto">
        <a:xfrm>
          <a:off x="1323975" y="10048875"/>
          <a:ext cx="28575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6</xdr:col>
      <xdr:colOff>0</xdr:colOff>
      <xdr:row>55</xdr:row>
      <xdr:rowOff>114300</xdr:rowOff>
    </xdr:from>
    <xdr:to>
      <xdr:col>6</xdr:col>
      <xdr:colOff>0</xdr:colOff>
      <xdr:row>55</xdr:row>
      <xdr:rowOff>114300</xdr:rowOff>
    </xdr:to>
    <xdr:sp macro="" textlink="">
      <xdr:nvSpPr>
        <xdr:cNvPr id="390590" name="Line 765"/>
        <xdr:cNvSpPr>
          <a:spLocks noChangeShapeType="1"/>
        </xdr:cNvSpPr>
      </xdr:nvSpPr>
      <xdr:spPr bwMode="auto">
        <a:xfrm flipH="1" flipV="1">
          <a:off x="5715000" y="11382375"/>
          <a:ext cx="0" cy="0"/>
        </a:xfrm>
        <a:prstGeom prst="line">
          <a:avLst/>
        </a:prstGeom>
        <a:noFill/>
        <a:ln w="9525">
          <a:solidFill>
            <a:srgbClr val="000000"/>
          </a:solidFill>
          <a:round/>
          <a:headEnd/>
          <a:tailEnd type="triangle" w="med" len="me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3</xdr:col>
      <xdr:colOff>257175</xdr:colOff>
      <xdr:row>48</xdr:row>
      <xdr:rowOff>0</xdr:rowOff>
    </xdr:from>
    <xdr:to>
      <xdr:col>3</xdr:col>
      <xdr:colOff>257175</xdr:colOff>
      <xdr:row>50</xdr:row>
      <xdr:rowOff>190500</xdr:rowOff>
    </xdr:to>
    <xdr:sp macro="" textlink="">
      <xdr:nvSpPr>
        <xdr:cNvPr id="390591" name="Line 767"/>
        <xdr:cNvSpPr>
          <a:spLocks noChangeShapeType="1"/>
        </xdr:cNvSpPr>
      </xdr:nvSpPr>
      <xdr:spPr bwMode="auto">
        <a:xfrm flipH="1">
          <a:off x="2828925" y="9963150"/>
          <a:ext cx="0" cy="542925"/>
        </a:xfrm>
        <a:prstGeom prst="line">
          <a:avLst/>
        </a:prstGeom>
        <a:noFill/>
        <a:ln w="3175">
          <a:solidFill>
            <a:srgbClr val="000000"/>
          </a:solidFill>
          <a:round/>
          <a:headEnd/>
          <a:tailEn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3</xdr:col>
      <xdr:colOff>247650</xdr:colOff>
      <xdr:row>50</xdr:row>
      <xdr:rowOff>114300</xdr:rowOff>
    </xdr:from>
    <xdr:to>
      <xdr:col>4</xdr:col>
      <xdr:colOff>200025</xdr:colOff>
      <xdr:row>50</xdr:row>
      <xdr:rowOff>114300</xdr:rowOff>
    </xdr:to>
    <xdr:sp macro="" textlink="">
      <xdr:nvSpPr>
        <xdr:cNvPr id="390592" name="Line 768"/>
        <xdr:cNvSpPr>
          <a:spLocks noChangeShapeType="1"/>
        </xdr:cNvSpPr>
      </xdr:nvSpPr>
      <xdr:spPr bwMode="auto">
        <a:xfrm>
          <a:off x="2819400" y="10439400"/>
          <a:ext cx="1724025"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3</xdr:col>
      <xdr:colOff>266700</xdr:colOff>
      <xdr:row>50</xdr:row>
      <xdr:rowOff>209550</xdr:rowOff>
    </xdr:from>
    <xdr:to>
      <xdr:col>4</xdr:col>
      <xdr:colOff>257175</xdr:colOff>
      <xdr:row>50</xdr:row>
      <xdr:rowOff>209550</xdr:rowOff>
    </xdr:to>
    <xdr:sp macro="" textlink="">
      <xdr:nvSpPr>
        <xdr:cNvPr id="390593" name="Line 769"/>
        <xdr:cNvSpPr>
          <a:spLocks noChangeShapeType="1"/>
        </xdr:cNvSpPr>
      </xdr:nvSpPr>
      <xdr:spPr bwMode="auto">
        <a:xfrm flipV="1">
          <a:off x="2838450" y="10506075"/>
          <a:ext cx="1762125" cy="0"/>
        </a:xfrm>
        <a:prstGeom prst="line">
          <a:avLst/>
        </a:prstGeom>
        <a:noFill/>
        <a:ln w="3175">
          <a:solidFill>
            <a:srgbClr val="000000"/>
          </a:solidFill>
          <a:round/>
          <a:headEnd/>
          <a:tailEn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4</xdr:col>
      <xdr:colOff>9525</xdr:colOff>
      <xdr:row>49</xdr:row>
      <xdr:rowOff>0</xdr:rowOff>
    </xdr:from>
    <xdr:to>
      <xdr:col>4</xdr:col>
      <xdr:colOff>257175</xdr:colOff>
      <xdr:row>49</xdr:row>
      <xdr:rowOff>0</xdr:rowOff>
    </xdr:to>
    <xdr:sp macro="" textlink="">
      <xdr:nvSpPr>
        <xdr:cNvPr id="390594" name="Line 770"/>
        <xdr:cNvSpPr>
          <a:spLocks noChangeShapeType="1"/>
        </xdr:cNvSpPr>
      </xdr:nvSpPr>
      <xdr:spPr bwMode="auto">
        <a:xfrm flipV="1">
          <a:off x="4352925" y="10144125"/>
          <a:ext cx="247650" cy="0"/>
        </a:xfrm>
        <a:prstGeom prst="line">
          <a:avLst/>
        </a:prstGeom>
        <a:noFill/>
        <a:ln w="3175">
          <a:solidFill>
            <a:srgbClr val="000000"/>
          </a:solidFill>
          <a:round/>
          <a:headEnd/>
          <a:tailEn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4</xdr:col>
      <xdr:colOff>190500</xdr:colOff>
      <xdr:row>49</xdr:row>
      <xdr:rowOff>0</xdr:rowOff>
    </xdr:from>
    <xdr:to>
      <xdr:col>4</xdr:col>
      <xdr:colOff>200025</xdr:colOff>
      <xdr:row>50</xdr:row>
      <xdr:rowOff>200025</xdr:rowOff>
    </xdr:to>
    <xdr:sp macro="" textlink="">
      <xdr:nvSpPr>
        <xdr:cNvPr id="390595" name="Line 772"/>
        <xdr:cNvSpPr>
          <a:spLocks noChangeShapeType="1"/>
        </xdr:cNvSpPr>
      </xdr:nvSpPr>
      <xdr:spPr bwMode="auto">
        <a:xfrm>
          <a:off x="4533900" y="10144125"/>
          <a:ext cx="9525" cy="361950"/>
        </a:xfrm>
        <a:prstGeom prst="line">
          <a:avLst/>
        </a:prstGeom>
        <a:noFill/>
        <a:ln w="3175">
          <a:solidFill>
            <a:srgbClr val="000000"/>
          </a:solidFill>
          <a:round/>
          <a:headEnd type="triangle" w="med" len="med"/>
          <a:tailEnd type="triangle" w="med" len="me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3</xdr:col>
      <xdr:colOff>247650</xdr:colOff>
      <xdr:row>48</xdr:row>
      <xdr:rowOff>123825</xdr:rowOff>
    </xdr:from>
    <xdr:to>
      <xdr:col>4</xdr:col>
      <xdr:colOff>0</xdr:colOff>
      <xdr:row>48</xdr:row>
      <xdr:rowOff>123825</xdr:rowOff>
    </xdr:to>
    <xdr:sp macro="" textlink="">
      <xdr:nvSpPr>
        <xdr:cNvPr id="390596" name="Line 773"/>
        <xdr:cNvSpPr>
          <a:spLocks noChangeShapeType="1"/>
        </xdr:cNvSpPr>
      </xdr:nvSpPr>
      <xdr:spPr bwMode="auto">
        <a:xfrm>
          <a:off x="2819400" y="10086975"/>
          <a:ext cx="152400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3</xdr:col>
      <xdr:colOff>238125</xdr:colOff>
      <xdr:row>48</xdr:row>
      <xdr:rowOff>57150</xdr:rowOff>
    </xdr:from>
    <xdr:to>
      <xdr:col>4</xdr:col>
      <xdr:colOff>9525</xdr:colOff>
      <xdr:row>48</xdr:row>
      <xdr:rowOff>66675</xdr:rowOff>
    </xdr:to>
    <xdr:sp macro="" textlink="">
      <xdr:nvSpPr>
        <xdr:cNvPr id="390597" name="Line 774"/>
        <xdr:cNvSpPr>
          <a:spLocks noChangeShapeType="1"/>
        </xdr:cNvSpPr>
      </xdr:nvSpPr>
      <xdr:spPr bwMode="auto">
        <a:xfrm flipV="1">
          <a:off x="2809875" y="10020300"/>
          <a:ext cx="1543050" cy="9525"/>
        </a:xfrm>
        <a:prstGeom prst="line">
          <a:avLst/>
        </a:prstGeom>
        <a:noFill/>
        <a:ln w="3175">
          <a:solidFill>
            <a:srgbClr val="000000"/>
          </a:solidFill>
          <a:round/>
          <a:headEnd type="triangle" w="med" len="med"/>
          <a:tailEnd type="triangle" w="med" len="me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xdr:col>
      <xdr:colOff>38100</xdr:colOff>
      <xdr:row>53</xdr:row>
      <xdr:rowOff>123825</xdr:rowOff>
    </xdr:from>
    <xdr:to>
      <xdr:col>1</xdr:col>
      <xdr:colOff>361950</xdr:colOff>
      <xdr:row>53</xdr:row>
      <xdr:rowOff>123825</xdr:rowOff>
    </xdr:to>
    <xdr:sp macro="" textlink="">
      <xdr:nvSpPr>
        <xdr:cNvPr id="390598" name="Line 775"/>
        <xdr:cNvSpPr>
          <a:spLocks noChangeShapeType="1"/>
        </xdr:cNvSpPr>
      </xdr:nvSpPr>
      <xdr:spPr bwMode="auto">
        <a:xfrm>
          <a:off x="1238250" y="10991850"/>
          <a:ext cx="32385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xdr:col>
      <xdr:colOff>57150</xdr:colOff>
      <xdr:row>53</xdr:row>
      <xdr:rowOff>114300</xdr:rowOff>
    </xdr:from>
    <xdr:to>
      <xdr:col>1</xdr:col>
      <xdr:colOff>428625</xdr:colOff>
      <xdr:row>53</xdr:row>
      <xdr:rowOff>114300</xdr:rowOff>
    </xdr:to>
    <xdr:sp macro="" textlink="">
      <xdr:nvSpPr>
        <xdr:cNvPr id="390599" name="Line 778"/>
        <xdr:cNvSpPr>
          <a:spLocks noChangeShapeType="1"/>
        </xdr:cNvSpPr>
      </xdr:nvSpPr>
      <xdr:spPr bwMode="auto">
        <a:xfrm>
          <a:off x="1257300" y="10982325"/>
          <a:ext cx="371475"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0</xdr:col>
      <xdr:colOff>581025</xdr:colOff>
      <xdr:row>53</xdr:row>
      <xdr:rowOff>161925</xdr:rowOff>
    </xdr:from>
    <xdr:to>
      <xdr:col>1</xdr:col>
      <xdr:colOff>571500</xdr:colOff>
      <xdr:row>53</xdr:row>
      <xdr:rowOff>171450</xdr:rowOff>
    </xdr:to>
    <xdr:sp macro="" textlink="">
      <xdr:nvSpPr>
        <xdr:cNvPr id="390600" name="Line 779"/>
        <xdr:cNvSpPr>
          <a:spLocks noChangeShapeType="1"/>
        </xdr:cNvSpPr>
      </xdr:nvSpPr>
      <xdr:spPr bwMode="auto">
        <a:xfrm flipH="1">
          <a:off x="581025" y="11029950"/>
          <a:ext cx="1190625" cy="9525"/>
        </a:xfrm>
        <a:prstGeom prst="line">
          <a:avLst/>
        </a:prstGeom>
        <a:noFill/>
        <a:ln w="3175">
          <a:solidFill>
            <a:srgbClr val="000000"/>
          </a:solidFill>
          <a:round/>
          <a:headEnd/>
          <a:tailEn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xdr:col>
      <xdr:colOff>561975</xdr:colOff>
      <xdr:row>54</xdr:row>
      <xdr:rowOff>0</xdr:rowOff>
    </xdr:from>
    <xdr:to>
      <xdr:col>1</xdr:col>
      <xdr:colOff>561975</xdr:colOff>
      <xdr:row>55</xdr:row>
      <xdr:rowOff>257175</xdr:rowOff>
    </xdr:to>
    <xdr:sp macro="" textlink="">
      <xdr:nvSpPr>
        <xdr:cNvPr id="390601" name="Line 780"/>
        <xdr:cNvSpPr>
          <a:spLocks noChangeShapeType="1"/>
        </xdr:cNvSpPr>
      </xdr:nvSpPr>
      <xdr:spPr bwMode="auto">
        <a:xfrm>
          <a:off x="1762125" y="11049000"/>
          <a:ext cx="0" cy="400050"/>
        </a:xfrm>
        <a:prstGeom prst="line">
          <a:avLst/>
        </a:prstGeom>
        <a:noFill/>
        <a:ln w="3175">
          <a:solidFill>
            <a:srgbClr val="000000"/>
          </a:solidFill>
          <a:round/>
          <a:headEnd/>
          <a:tailEn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xdr:col>
      <xdr:colOff>161925</xdr:colOff>
      <xdr:row>55</xdr:row>
      <xdr:rowOff>104775</xdr:rowOff>
    </xdr:from>
    <xdr:to>
      <xdr:col>1</xdr:col>
      <xdr:colOff>533400</xdr:colOff>
      <xdr:row>55</xdr:row>
      <xdr:rowOff>114300</xdr:rowOff>
    </xdr:to>
    <xdr:sp macro="" textlink="">
      <xdr:nvSpPr>
        <xdr:cNvPr id="390602" name="Line 782"/>
        <xdr:cNvSpPr>
          <a:spLocks noChangeShapeType="1"/>
        </xdr:cNvSpPr>
      </xdr:nvSpPr>
      <xdr:spPr bwMode="auto">
        <a:xfrm flipV="1">
          <a:off x="1362075" y="11372850"/>
          <a:ext cx="371475" cy="9525"/>
        </a:xfrm>
        <a:prstGeom prst="line">
          <a:avLst/>
        </a:prstGeom>
        <a:noFill/>
        <a:ln w="3175">
          <a:solidFill>
            <a:srgbClr val="000000"/>
          </a:solidFill>
          <a:round/>
          <a:headEnd type="triangle" w="med" len="med"/>
          <a:tailEnd type="triangle" w="med" len="me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7</xdr:col>
      <xdr:colOff>0</xdr:colOff>
      <xdr:row>53</xdr:row>
      <xdr:rowOff>133350</xdr:rowOff>
    </xdr:from>
    <xdr:to>
      <xdr:col>7</xdr:col>
      <xdr:colOff>0</xdr:colOff>
      <xdr:row>53</xdr:row>
      <xdr:rowOff>133350</xdr:rowOff>
    </xdr:to>
    <xdr:sp macro="" textlink="">
      <xdr:nvSpPr>
        <xdr:cNvPr id="390603" name="Line 783"/>
        <xdr:cNvSpPr>
          <a:spLocks noChangeShapeType="1"/>
        </xdr:cNvSpPr>
      </xdr:nvSpPr>
      <xdr:spPr bwMode="auto">
        <a:xfrm flipH="1">
          <a:off x="6400800" y="11001375"/>
          <a:ext cx="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0</xdr:col>
      <xdr:colOff>342900</xdr:colOff>
      <xdr:row>55</xdr:row>
      <xdr:rowOff>9525</xdr:rowOff>
    </xdr:from>
    <xdr:to>
      <xdr:col>1</xdr:col>
      <xdr:colOff>123825</xdr:colOff>
      <xdr:row>55</xdr:row>
      <xdr:rowOff>19050</xdr:rowOff>
    </xdr:to>
    <xdr:sp macro="" textlink="">
      <xdr:nvSpPr>
        <xdr:cNvPr id="390604" name="Line 785"/>
        <xdr:cNvSpPr>
          <a:spLocks noChangeShapeType="1"/>
        </xdr:cNvSpPr>
      </xdr:nvSpPr>
      <xdr:spPr bwMode="auto">
        <a:xfrm flipH="1">
          <a:off x="342900" y="11277600"/>
          <a:ext cx="981075" cy="9525"/>
        </a:xfrm>
        <a:prstGeom prst="line">
          <a:avLst/>
        </a:prstGeom>
        <a:noFill/>
        <a:ln w="3175">
          <a:solidFill>
            <a:srgbClr val="000000"/>
          </a:solidFill>
          <a:round/>
          <a:headEnd/>
          <a:tailEn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xdr:col>
      <xdr:colOff>66675</xdr:colOff>
      <xdr:row>52</xdr:row>
      <xdr:rowOff>133350</xdr:rowOff>
    </xdr:from>
    <xdr:to>
      <xdr:col>1</xdr:col>
      <xdr:colOff>66675</xdr:colOff>
      <xdr:row>53</xdr:row>
      <xdr:rowOff>190500</xdr:rowOff>
    </xdr:to>
    <xdr:sp macro="" textlink="">
      <xdr:nvSpPr>
        <xdr:cNvPr id="390605" name="Line 786"/>
        <xdr:cNvSpPr>
          <a:spLocks noChangeShapeType="1"/>
        </xdr:cNvSpPr>
      </xdr:nvSpPr>
      <xdr:spPr bwMode="auto">
        <a:xfrm>
          <a:off x="1266825" y="10820400"/>
          <a:ext cx="0" cy="22860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type="triangle" w="med" len="med"/>
              <a:tailEnd type="triangle" w="med" len="me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xdr:col>
      <xdr:colOff>9525</xdr:colOff>
      <xdr:row>53</xdr:row>
      <xdr:rowOff>171450</xdr:rowOff>
    </xdr:from>
    <xdr:to>
      <xdr:col>1</xdr:col>
      <xdr:colOff>19050</xdr:colOff>
      <xdr:row>54</xdr:row>
      <xdr:rowOff>371475</xdr:rowOff>
    </xdr:to>
    <xdr:sp macro="" textlink="">
      <xdr:nvSpPr>
        <xdr:cNvPr id="390606" name="Line 787"/>
        <xdr:cNvSpPr>
          <a:spLocks noChangeShapeType="1"/>
        </xdr:cNvSpPr>
      </xdr:nvSpPr>
      <xdr:spPr bwMode="auto">
        <a:xfrm flipH="1">
          <a:off x="1209675" y="11039475"/>
          <a:ext cx="9525" cy="228600"/>
        </a:xfrm>
        <a:prstGeom prst="line">
          <a:avLst/>
        </a:prstGeom>
        <a:noFill/>
        <a:ln w="3175">
          <a:solidFill>
            <a:srgbClr val="000000"/>
          </a:solidFill>
          <a:round/>
          <a:headEnd type="triangle" w="med" len="med"/>
          <a:tailEnd type="triangle" w="med" len="me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3</xdr:col>
      <xdr:colOff>219075</xdr:colOff>
      <xdr:row>53</xdr:row>
      <xdr:rowOff>114300</xdr:rowOff>
    </xdr:from>
    <xdr:to>
      <xdr:col>3</xdr:col>
      <xdr:colOff>219075</xdr:colOff>
      <xdr:row>55</xdr:row>
      <xdr:rowOff>152400</xdr:rowOff>
    </xdr:to>
    <xdr:sp macro="" textlink="">
      <xdr:nvSpPr>
        <xdr:cNvPr id="390607" name="Line 788"/>
        <xdr:cNvSpPr>
          <a:spLocks noChangeShapeType="1"/>
        </xdr:cNvSpPr>
      </xdr:nvSpPr>
      <xdr:spPr bwMode="auto">
        <a:xfrm>
          <a:off x="2790825" y="10982325"/>
          <a:ext cx="0" cy="43815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3</xdr:col>
      <xdr:colOff>238125</xdr:colOff>
      <xdr:row>53</xdr:row>
      <xdr:rowOff>114300</xdr:rowOff>
    </xdr:from>
    <xdr:to>
      <xdr:col>3</xdr:col>
      <xdr:colOff>238125</xdr:colOff>
      <xdr:row>55</xdr:row>
      <xdr:rowOff>47625</xdr:rowOff>
    </xdr:to>
    <xdr:sp macro="" textlink="">
      <xdr:nvSpPr>
        <xdr:cNvPr id="390608" name="Line 789"/>
        <xdr:cNvSpPr>
          <a:spLocks noChangeShapeType="1"/>
        </xdr:cNvSpPr>
      </xdr:nvSpPr>
      <xdr:spPr bwMode="auto">
        <a:xfrm>
          <a:off x="2809875" y="10982325"/>
          <a:ext cx="0" cy="333375"/>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3</xdr:col>
      <xdr:colOff>266700</xdr:colOff>
      <xdr:row>53</xdr:row>
      <xdr:rowOff>152400</xdr:rowOff>
    </xdr:from>
    <xdr:to>
      <xdr:col>3</xdr:col>
      <xdr:colOff>266700</xdr:colOff>
      <xdr:row>55</xdr:row>
      <xdr:rowOff>247650</xdr:rowOff>
    </xdr:to>
    <xdr:sp macro="" textlink="">
      <xdr:nvSpPr>
        <xdr:cNvPr id="390609" name="Line 791"/>
        <xdr:cNvSpPr>
          <a:spLocks noChangeShapeType="1"/>
        </xdr:cNvSpPr>
      </xdr:nvSpPr>
      <xdr:spPr bwMode="auto">
        <a:xfrm>
          <a:off x="2838450" y="11020425"/>
          <a:ext cx="0" cy="428625"/>
        </a:xfrm>
        <a:prstGeom prst="line">
          <a:avLst/>
        </a:prstGeom>
        <a:noFill/>
        <a:ln w="3175">
          <a:solidFill>
            <a:srgbClr val="000000"/>
          </a:solidFill>
          <a:round/>
          <a:headEnd/>
          <a:tailEn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3</xdr:col>
      <xdr:colOff>209550</xdr:colOff>
      <xdr:row>53</xdr:row>
      <xdr:rowOff>123825</xdr:rowOff>
    </xdr:from>
    <xdr:to>
      <xdr:col>4</xdr:col>
      <xdr:colOff>209550</xdr:colOff>
      <xdr:row>53</xdr:row>
      <xdr:rowOff>123825</xdr:rowOff>
    </xdr:to>
    <xdr:sp macro="" textlink="">
      <xdr:nvSpPr>
        <xdr:cNvPr id="390610" name="Line 792"/>
        <xdr:cNvSpPr>
          <a:spLocks noChangeShapeType="1"/>
        </xdr:cNvSpPr>
      </xdr:nvSpPr>
      <xdr:spPr bwMode="auto">
        <a:xfrm>
          <a:off x="2781300" y="10991850"/>
          <a:ext cx="177165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3</xdr:col>
      <xdr:colOff>285750</xdr:colOff>
      <xdr:row>53</xdr:row>
      <xdr:rowOff>142875</xdr:rowOff>
    </xdr:from>
    <xdr:to>
      <xdr:col>4</xdr:col>
      <xdr:colOff>285750</xdr:colOff>
      <xdr:row>53</xdr:row>
      <xdr:rowOff>142875</xdr:rowOff>
    </xdr:to>
    <xdr:sp macro="" textlink="">
      <xdr:nvSpPr>
        <xdr:cNvPr id="390611" name="Line 793"/>
        <xdr:cNvSpPr>
          <a:spLocks noChangeShapeType="1"/>
        </xdr:cNvSpPr>
      </xdr:nvSpPr>
      <xdr:spPr bwMode="auto">
        <a:xfrm>
          <a:off x="2857500" y="11010900"/>
          <a:ext cx="1771650" cy="0"/>
        </a:xfrm>
        <a:prstGeom prst="line">
          <a:avLst/>
        </a:prstGeom>
        <a:noFill/>
        <a:ln w="3175">
          <a:solidFill>
            <a:srgbClr val="000000"/>
          </a:solidFill>
          <a:round/>
          <a:headEnd/>
          <a:tailEn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4</xdr:col>
      <xdr:colOff>0</xdr:colOff>
      <xdr:row>55</xdr:row>
      <xdr:rowOff>19050</xdr:rowOff>
    </xdr:from>
    <xdr:to>
      <xdr:col>4</xdr:col>
      <xdr:colOff>0</xdr:colOff>
      <xdr:row>55</xdr:row>
      <xdr:rowOff>238125</xdr:rowOff>
    </xdr:to>
    <xdr:sp macro="" textlink="">
      <xdr:nvSpPr>
        <xdr:cNvPr id="390612" name="Line 794"/>
        <xdr:cNvSpPr>
          <a:spLocks noChangeShapeType="1"/>
        </xdr:cNvSpPr>
      </xdr:nvSpPr>
      <xdr:spPr bwMode="auto">
        <a:xfrm>
          <a:off x="4343400" y="11287125"/>
          <a:ext cx="0" cy="161925"/>
        </a:xfrm>
        <a:prstGeom prst="line">
          <a:avLst/>
        </a:prstGeom>
        <a:noFill/>
        <a:ln w="3175">
          <a:solidFill>
            <a:srgbClr val="000000"/>
          </a:solidFill>
          <a:round/>
          <a:headEnd/>
          <a:tailEn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4</xdr:col>
      <xdr:colOff>0</xdr:colOff>
      <xdr:row>55</xdr:row>
      <xdr:rowOff>19050</xdr:rowOff>
    </xdr:from>
    <xdr:to>
      <xdr:col>4</xdr:col>
      <xdr:colOff>238125</xdr:colOff>
      <xdr:row>55</xdr:row>
      <xdr:rowOff>19050</xdr:rowOff>
    </xdr:to>
    <xdr:sp macro="" textlink="">
      <xdr:nvSpPr>
        <xdr:cNvPr id="390613" name="Line 795"/>
        <xdr:cNvSpPr>
          <a:spLocks noChangeShapeType="1"/>
        </xdr:cNvSpPr>
      </xdr:nvSpPr>
      <xdr:spPr bwMode="auto">
        <a:xfrm>
          <a:off x="4343400" y="11287125"/>
          <a:ext cx="238125"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4</xdr:col>
      <xdr:colOff>19050</xdr:colOff>
      <xdr:row>55</xdr:row>
      <xdr:rowOff>9525</xdr:rowOff>
    </xdr:from>
    <xdr:to>
      <xdr:col>4</xdr:col>
      <xdr:colOff>247650</xdr:colOff>
      <xdr:row>55</xdr:row>
      <xdr:rowOff>9525</xdr:rowOff>
    </xdr:to>
    <xdr:sp macro="" textlink="">
      <xdr:nvSpPr>
        <xdr:cNvPr id="390614" name="Line 796"/>
        <xdr:cNvSpPr>
          <a:spLocks noChangeShapeType="1"/>
        </xdr:cNvSpPr>
      </xdr:nvSpPr>
      <xdr:spPr bwMode="auto">
        <a:xfrm>
          <a:off x="4362450" y="11277600"/>
          <a:ext cx="22860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4</xdr:col>
      <xdr:colOff>0</xdr:colOff>
      <xdr:row>55</xdr:row>
      <xdr:rowOff>9525</xdr:rowOff>
    </xdr:from>
    <xdr:to>
      <xdr:col>4</xdr:col>
      <xdr:colOff>266700</xdr:colOff>
      <xdr:row>55</xdr:row>
      <xdr:rowOff>9525</xdr:rowOff>
    </xdr:to>
    <xdr:sp macro="" textlink="">
      <xdr:nvSpPr>
        <xdr:cNvPr id="390615" name="Line 797"/>
        <xdr:cNvSpPr>
          <a:spLocks noChangeShapeType="1"/>
        </xdr:cNvSpPr>
      </xdr:nvSpPr>
      <xdr:spPr bwMode="auto">
        <a:xfrm>
          <a:off x="4343400" y="11277600"/>
          <a:ext cx="266700" cy="0"/>
        </a:xfrm>
        <a:prstGeom prst="line">
          <a:avLst/>
        </a:prstGeom>
        <a:noFill/>
        <a:ln w="3175">
          <a:solidFill>
            <a:srgbClr val="000000"/>
          </a:solidFill>
          <a:round/>
          <a:headEnd/>
          <a:tailEn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4</xdr:col>
      <xdr:colOff>104775</xdr:colOff>
      <xdr:row>52</xdr:row>
      <xdr:rowOff>133350</xdr:rowOff>
    </xdr:from>
    <xdr:to>
      <xdr:col>4</xdr:col>
      <xdr:colOff>104775</xdr:colOff>
      <xdr:row>53</xdr:row>
      <xdr:rowOff>190500</xdr:rowOff>
    </xdr:to>
    <xdr:sp macro="" textlink="">
      <xdr:nvSpPr>
        <xdr:cNvPr id="390616" name="Line 798"/>
        <xdr:cNvSpPr>
          <a:spLocks noChangeShapeType="1"/>
        </xdr:cNvSpPr>
      </xdr:nvSpPr>
      <xdr:spPr bwMode="auto">
        <a:xfrm>
          <a:off x="4448175" y="10820400"/>
          <a:ext cx="0" cy="22860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type="triangle" w="med" len="med"/>
              <a:tailEnd type="triangle" w="med" len="me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4</xdr:col>
      <xdr:colOff>161925</xdr:colOff>
      <xdr:row>53</xdr:row>
      <xdr:rowOff>171450</xdr:rowOff>
    </xdr:from>
    <xdr:to>
      <xdr:col>4</xdr:col>
      <xdr:colOff>161925</xdr:colOff>
      <xdr:row>54</xdr:row>
      <xdr:rowOff>371475</xdr:rowOff>
    </xdr:to>
    <xdr:sp macro="" textlink="">
      <xdr:nvSpPr>
        <xdr:cNvPr id="390617" name="Line 799"/>
        <xdr:cNvSpPr>
          <a:spLocks noChangeShapeType="1"/>
        </xdr:cNvSpPr>
      </xdr:nvSpPr>
      <xdr:spPr bwMode="auto">
        <a:xfrm flipH="1">
          <a:off x="4505325" y="11039475"/>
          <a:ext cx="0" cy="228600"/>
        </a:xfrm>
        <a:prstGeom prst="line">
          <a:avLst/>
        </a:prstGeom>
        <a:noFill/>
        <a:ln w="3175">
          <a:solidFill>
            <a:srgbClr val="000000"/>
          </a:solidFill>
          <a:round/>
          <a:headEnd type="triangle" w="med" len="med"/>
          <a:tailEnd type="triangle" w="med" len="me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3</xdr:col>
      <xdr:colOff>238125</xdr:colOff>
      <xdr:row>55</xdr:row>
      <xdr:rowOff>123825</xdr:rowOff>
    </xdr:from>
    <xdr:to>
      <xdr:col>3</xdr:col>
      <xdr:colOff>495300</xdr:colOff>
      <xdr:row>55</xdr:row>
      <xdr:rowOff>123825</xdr:rowOff>
    </xdr:to>
    <xdr:sp macro="" textlink="">
      <xdr:nvSpPr>
        <xdr:cNvPr id="390618" name="Line 800"/>
        <xdr:cNvSpPr>
          <a:spLocks noChangeShapeType="1"/>
        </xdr:cNvSpPr>
      </xdr:nvSpPr>
      <xdr:spPr bwMode="auto">
        <a:xfrm>
          <a:off x="2809875" y="11391900"/>
          <a:ext cx="257175"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type="triangle" w="med" len="med"/>
              <a:tailEnd type="triangle" w="med" len="me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3</xdr:col>
      <xdr:colOff>295275</xdr:colOff>
      <xdr:row>55</xdr:row>
      <xdr:rowOff>95250</xdr:rowOff>
    </xdr:from>
    <xdr:to>
      <xdr:col>4</xdr:col>
      <xdr:colOff>9525</xdr:colOff>
      <xdr:row>55</xdr:row>
      <xdr:rowOff>95250</xdr:rowOff>
    </xdr:to>
    <xdr:sp macro="" textlink="">
      <xdr:nvSpPr>
        <xdr:cNvPr id="390619" name="Line 801"/>
        <xdr:cNvSpPr>
          <a:spLocks noChangeShapeType="1"/>
        </xdr:cNvSpPr>
      </xdr:nvSpPr>
      <xdr:spPr bwMode="auto">
        <a:xfrm>
          <a:off x="2867025" y="11363325"/>
          <a:ext cx="148590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type="triangle" w="med" len="med"/>
              <a:tailEnd type="triangle" w="med" len="me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3</xdr:col>
      <xdr:colOff>266700</xdr:colOff>
      <xdr:row>55</xdr:row>
      <xdr:rowOff>104775</xdr:rowOff>
    </xdr:from>
    <xdr:to>
      <xdr:col>4</xdr:col>
      <xdr:colOff>0</xdr:colOff>
      <xdr:row>55</xdr:row>
      <xdr:rowOff>104775</xdr:rowOff>
    </xdr:to>
    <xdr:sp macro="" textlink="">
      <xdr:nvSpPr>
        <xdr:cNvPr id="390620" name="Line 803"/>
        <xdr:cNvSpPr>
          <a:spLocks noChangeShapeType="1"/>
        </xdr:cNvSpPr>
      </xdr:nvSpPr>
      <xdr:spPr bwMode="auto">
        <a:xfrm>
          <a:off x="2838450" y="11372850"/>
          <a:ext cx="150495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type="triangle" w="med" len="med"/>
              <a:tailEnd type="triangle" w="med" len="me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3</xdr:col>
      <xdr:colOff>257175</xdr:colOff>
      <xdr:row>55</xdr:row>
      <xdr:rowOff>114300</xdr:rowOff>
    </xdr:from>
    <xdr:to>
      <xdr:col>3</xdr:col>
      <xdr:colOff>666750</xdr:colOff>
      <xdr:row>55</xdr:row>
      <xdr:rowOff>114300</xdr:rowOff>
    </xdr:to>
    <xdr:sp macro="" textlink="">
      <xdr:nvSpPr>
        <xdr:cNvPr id="390621" name="Line 804"/>
        <xdr:cNvSpPr>
          <a:spLocks noChangeShapeType="1"/>
        </xdr:cNvSpPr>
      </xdr:nvSpPr>
      <xdr:spPr bwMode="auto">
        <a:xfrm>
          <a:off x="2828925" y="11382375"/>
          <a:ext cx="409575" cy="0"/>
        </a:xfrm>
        <a:prstGeom prst="line">
          <a:avLst/>
        </a:prstGeom>
        <a:noFill/>
        <a:ln w="3175">
          <a:solidFill>
            <a:srgbClr val="000000"/>
          </a:solidFill>
          <a:round/>
          <a:headEnd type="triangle" w="med" len="med"/>
          <a:tailEnd type="triangle" w="med" len="me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7</xdr:col>
      <xdr:colOff>0</xdr:colOff>
      <xdr:row>53</xdr:row>
      <xdr:rowOff>152400</xdr:rowOff>
    </xdr:from>
    <xdr:to>
      <xdr:col>7</xdr:col>
      <xdr:colOff>0</xdr:colOff>
      <xdr:row>56</xdr:row>
      <xdr:rowOff>28575</xdr:rowOff>
    </xdr:to>
    <xdr:sp macro="" textlink="">
      <xdr:nvSpPr>
        <xdr:cNvPr id="390622" name="Line 806"/>
        <xdr:cNvSpPr>
          <a:spLocks noChangeShapeType="1"/>
        </xdr:cNvSpPr>
      </xdr:nvSpPr>
      <xdr:spPr bwMode="auto">
        <a:xfrm>
          <a:off x="6400800" y="11020425"/>
          <a:ext cx="0" cy="45720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6</xdr:col>
      <xdr:colOff>0</xdr:colOff>
      <xdr:row>55</xdr:row>
      <xdr:rowOff>95250</xdr:rowOff>
    </xdr:from>
    <xdr:to>
      <xdr:col>6</xdr:col>
      <xdr:colOff>0</xdr:colOff>
      <xdr:row>55</xdr:row>
      <xdr:rowOff>95250</xdr:rowOff>
    </xdr:to>
    <xdr:sp macro="" textlink="">
      <xdr:nvSpPr>
        <xdr:cNvPr id="390623" name="Line 809"/>
        <xdr:cNvSpPr>
          <a:spLocks noChangeShapeType="1"/>
        </xdr:cNvSpPr>
      </xdr:nvSpPr>
      <xdr:spPr bwMode="auto">
        <a:xfrm>
          <a:off x="5715000" y="11363325"/>
          <a:ext cx="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type="triangle" w="med" len="med"/>
              <a:tailEnd type="triangle" w="med" len="me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8</xdr:col>
      <xdr:colOff>38100</xdr:colOff>
      <xdr:row>48</xdr:row>
      <xdr:rowOff>104775</xdr:rowOff>
    </xdr:from>
    <xdr:to>
      <xdr:col>8</xdr:col>
      <xdr:colOff>38100</xdr:colOff>
      <xdr:row>51</xdr:row>
      <xdr:rowOff>19050</xdr:rowOff>
    </xdr:to>
    <xdr:sp macro="" textlink="">
      <xdr:nvSpPr>
        <xdr:cNvPr id="390624" name="Line 859"/>
        <xdr:cNvSpPr>
          <a:spLocks noChangeShapeType="1"/>
        </xdr:cNvSpPr>
      </xdr:nvSpPr>
      <xdr:spPr bwMode="auto">
        <a:xfrm>
          <a:off x="7124700" y="10067925"/>
          <a:ext cx="0" cy="45720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8</xdr:col>
      <xdr:colOff>57150</xdr:colOff>
      <xdr:row>50</xdr:row>
      <xdr:rowOff>142875</xdr:rowOff>
    </xdr:from>
    <xdr:to>
      <xdr:col>8</xdr:col>
      <xdr:colOff>466725</xdr:colOff>
      <xdr:row>50</xdr:row>
      <xdr:rowOff>142875</xdr:rowOff>
    </xdr:to>
    <xdr:sp macro="" textlink="">
      <xdr:nvSpPr>
        <xdr:cNvPr id="390625" name="Line 861"/>
        <xdr:cNvSpPr>
          <a:spLocks noChangeShapeType="1"/>
        </xdr:cNvSpPr>
      </xdr:nvSpPr>
      <xdr:spPr bwMode="auto">
        <a:xfrm>
          <a:off x="7143750" y="10467975"/>
          <a:ext cx="409575"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8</xdr:col>
      <xdr:colOff>38100</xdr:colOff>
      <xdr:row>50</xdr:row>
      <xdr:rowOff>152400</xdr:rowOff>
    </xdr:from>
    <xdr:to>
      <xdr:col>8</xdr:col>
      <xdr:colOff>381000</xdr:colOff>
      <xdr:row>50</xdr:row>
      <xdr:rowOff>152400</xdr:rowOff>
    </xdr:to>
    <xdr:sp macro="" textlink="">
      <xdr:nvSpPr>
        <xdr:cNvPr id="390626" name="Line 862"/>
        <xdr:cNvSpPr>
          <a:spLocks noChangeShapeType="1"/>
        </xdr:cNvSpPr>
      </xdr:nvSpPr>
      <xdr:spPr bwMode="auto">
        <a:xfrm>
          <a:off x="7124700" y="10477500"/>
          <a:ext cx="34290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8</xdr:col>
      <xdr:colOff>323850</xdr:colOff>
      <xdr:row>49</xdr:row>
      <xdr:rowOff>9525</xdr:rowOff>
    </xdr:from>
    <xdr:to>
      <xdr:col>9</xdr:col>
      <xdr:colOff>9525</xdr:colOff>
      <xdr:row>49</xdr:row>
      <xdr:rowOff>9525</xdr:rowOff>
    </xdr:to>
    <xdr:sp macro="" textlink="">
      <xdr:nvSpPr>
        <xdr:cNvPr id="390627" name="Line 864"/>
        <xdr:cNvSpPr>
          <a:spLocks noChangeShapeType="1"/>
        </xdr:cNvSpPr>
      </xdr:nvSpPr>
      <xdr:spPr bwMode="auto">
        <a:xfrm>
          <a:off x="7410450" y="10153650"/>
          <a:ext cx="371475"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8</xdr:col>
      <xdr:colOff>381000</xdr:colOff>
      <xdr:row>49</xdr:row>
      <xdr:rowOff>47625</xdr:rowOff>
    </xdr:from>
    <xdr:to>
      <xdr:col>8</xdr:col>
      <xdr:colOff>381000</xdr:colOff>
      <xdr:row>50</xdr:row>
      <xdr:rowOff>133350</xdr:rowOff>
    </xdr:to>
    <xdr:sp macro="" textlink="">
      <xdr:nvSpPr>
        <xdr:cNvPr id="390628" name="Line 866"/>
        <xdr:cNvSpPr>
          <a:spLocks noChangeShapeType="1"/>
        </xdr:cNvSpPr>
      </xdr:nvSpPr>
      <xdr:spPr bwMode="auto">
        <a:xfrm>
          <a:off x="7467600" y="10191750"/>
          <a:ext cx="0" cy="26670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type="triangle" w="med" len="med"/>
              <a:tailEnd type="triangle" w="med" len="me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7</xdr:col>
      <xdr:colOff>409575</xdr:colOff>
      <xdr:row>53</xdr:row>
      <xdr:rowOff>161925</xdr:rowOff>
    </xdr:from>
    <xdr:to>
      <xdr:col>7</xdr:col>
      <xdr:colOff>409575</xdr:colOff>
      <xdr:row>56</xdr:row>
      <xdr:rowOff>9525</xdr:rowOff>
    </xdr:to>
    <xdr:sp macro="" textlink="">
      <xdr:nvSpPr>
        <xdr:cNvPr id="390629" name="Line 868"/>
        <xdr:cNvSpPr>
          <a:spLocks noChangeShapeType="1"/>
        </xdr:cNvSpPr>
      </xdr:nvSpPr>
      <xdr:spPr bwMode="auto">
        <a:xfrm>
          <a:off x="6810375" y="11029950"/>
          <a:ext cx="0" cy="428625"/>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7</xdr:col>
      <xdr:colOff>409575</xdr:colOff>
      <xdr:row>53</xdr:row>
      <xdr:rowOff>161925</xdr:rowOff>
    </xdr:from>
    <xdr:to>
      <xdr:col>7</xdr:col>
      <xdr:colOff>409575</xdr:colOff>
      <xdr:row>55</xdr:row>
      <xdr:rowOff>133350</xdr:rowOff>
    </xdr:to>
    <xdr:sp macro="" textlink="">
      <xdr:nvSpPr>
        <xdr:cNvPr id="390630" name="Line 869"/>
        <xdr:cNvSpPr>
          <a:spLocks noChangeShapeType="1"/>
        </xdr:cNvSpPr>
      </xdr:nvSpPr>
      <xdr:spPr bwMode="auto">
        <a:xfrm>
          <a:off x="6810375" y="11029950"/>
          <a:ext cx="0" cy="371475"/>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7</xdr:col>
      <xdr:colOff>419100</xdr:colOff>
      <xdr:row>53</xdr:row>
      <xdr:rowOff>161925</xdr:rowOff>
    </xdr:from>
    <xdr:to>
      <xdr:col>8</xdr:col>
      <xdr:colOff>342900</xdr:colOff>
      <xdr:row>53</xdr:row>
      <xdr:rowOff>161925</xdr:rowOff>
    </xdr:to>
    <xdr:sp macro="" textlink="">
      <xdr:nvSpPr>
        <xdr:cNvPr id="390631" name="Line 871"/>
        <xdr:cNvSpPr>
          <a:spLocks noChangeShapeType="1"/>
        </xdr:cNvSpPr>
      </xdr:nvSpPr>
      <xdr:spPr bwMode="auto">
        <a:xfrm>
          <a:off x="6819900" y="11029950"/>
          <a:ext cx="60960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6</xdr:col>
      <xdr:colOff>0</xdr:colOff>
      <xdr:row>54</xdr:row>
      <xdr:rowOff>0</xdr:rowOff>
    </xdr:from>
    <xdr:to>
      <xdr:col>6</xdr:col>
      <xdr:colOff>371475</xdr:colOff>
      <xdr:row>54</xdr:row>
      <xdr:rowOff>0</xdr:rowOff>
    </xdr:to>
    <xdr:sp macro="" textlink="">
      <xdr:nvSpPr>
        <xdr:cNvPr id="390632" name="Line 872"/>
        <xdr:cNvSpPr>
          <a:spLocks noChangeShapeType="1"/>
        </xdr:cNvSpPr>
      </xdr:nvSpPr>
      <xdr:spPr bwMode="auto">
        <a:xfrm>
          <a:off x="5715000" y="11049000"/>
          <a:ext cx="371475"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7</xdr:col>
      <xdr:colOff>419100</xdr:colOff>
      <xdr:row>53</xdr:row>
      <xdr:rowOff>152400</xdr:rowOff>
    </xdr:from>
    <xdr:to>
      <xdr:col>8</xdr:col>
      <xdr:colOff>342900</xdr:colOff>
      <xdr:row>53</xdr:row>
      <xdr:rowOff>152400</xdr:rowOff>
    </xdr:to>
    <xdr:sp macro="" textlink="">
      <xdr:nvSpPr>
        <xdr:cNvPr id="390633" name="Line 873"/>
        <xdr:cNvSpPr>
          <a:spLocks noChangeShapeType="1"/>
        </xdr:cNvSpPr>
      </xdr:nvSpPr>
      <xdr:spPr bwMode="auto">
        <a:xfrm>
          <a:off x="6819900" y="11020425"/>
          <a:ext cx="60960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8</xdr:col>
      <xdr:colOff>342900</xdr:colOff>
      <xdr:row>53</xdr:row>
      <xdr:rowOff>133350</xdr:rowOff>
    </xdr:from>
    <xdr:to>
      <xdr:col>8</xdr:col>
      <xdr:colOff>342900</xdr:colOff>
      <xdr:row>53</xdr:row>
      <xdr:rowOff>152400</xdr:rowOff>
    </xdr:to>
    <xdr:sp macro="" textlink="">
      <xdr:nvSpPr>
        <xdr:cNvPr id="390634" name="Line 876"/>
        <xdr:cNvSpPr>
          <a:spLocks noChangeShapeType="1"/>
        </xdr:cNvSpPr>
      </xdr:nvSpPr>
      <xdr:spPr bwMode="auto">
        <a:xfrm>
          <a:off x="7429500" y="11001375"/>
          <a:ext cx="0" cy="1905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8</xdr:col>
      <xdr:colOff>57150</xdr:colOff>
      <xdr:row>53</xdr:row>
      <xdr:rowOff>133350</xdr:rowOff>
    </xdr:from>
    <xdr:to>
      <xdr:col>8</xdr:col>
      <xdr:colOff>57150</xdr:colOff>
      <xdr:row>53</xdr:row>
      <xdr:rowOff>171450</xdr:rowOff>
    </xdr:to>
    <xdr:sp macro="" textlink="">
      <xdr:nvSpPr>
        <xdr:cNvPr id="390635" name="Line 878"/>
        <xdr:cNvSpPr>
          <a:spLocks noChangeShapeType="1"/>
        </xdr:cNvSpPr>
      </xdr:nvSpPr>
      <xdr:spPr bwMode="auto">
        <a:xfrm flipV="1">
          <a:off x="7143750" y="11001375"/>
          <a:ext cx="0" cy="3810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8</xdr:col>
      <xdr:colOff>152400</xdr:colOff>
      <xdr:row>53</xdr:row>
      <xdr:rowOff>161925</xdr:rowOff>
    </xdr:from>
    <xdr:to>
      <xdr:col>8</xdr:col>
      <xdr:colOff>152400</xdr:colOff>
      <xdr:row>53</xdr:row>
      <xdr:rowOff>171450</xdr:rowOff>
    </xdr:to>
    <xdr:sp macro="" textlink="">
      <xdr:nvSpPr>
        <xdr:cNvPr id="390636" name="Line 879"/>
        <xdr:cNvSpPr>
          <a:spLocks noChangeShapeType="1"/>
        </xdr:cNvSpPr>
      </xdr:nvSpPr>
      <xdr:spPr bwMode="auto">
        <a:xfrm flipV="1">
          <a:off x="7239000" y="11029950"/>
          <a:ext cx="0" cy="9525"/>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8</xdr:col>
      <xdr:colOff>209550</xdr:colOff>
      <xdr:row>55</xdr:row>
      <xdr:rowOff>9525</xdr:rowOff>
    </xdr:from>
    <xdr:to>
      <xdr:col>8</xdr:col>
      <xdr:colOff>209550</xdr:colOff>
      <xdr:row>56</xdr:row>
      <xdr:rowOff>66675</xdr:rowOff>
    </xdr:to>
    <xdr:sp macro="" textlink="">
      <xdr:nvSpPr>
        <xdr:cNvPr id="390637" name="Line 880"/>
        <xdr:cNvSpPr>
          <a:spLocks noChangeShapeType="1"/>
        </xdr:cNvSpPr>
      </xdr:nvSpPr>
      <xdr:spPr bwMode="auto">
        <a:xfrm>
          <a:off x="7296150" y="11277600"/>
          <a:ext cx="0" cy="238125"/>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6</xdr:col>
      <xdr:colOff>209550</xdr:colOff>
      <xdr:row>55</xdr:row>
      <xdr:rowOff>28575</xdr:rowOff>
    </xdr:from>
    <xdr:to>
      <xdr:col>6</xdr:col>
      <xdr:colOff>390525</xdr:colOff>
      <xdr:row>55</xdr:row>
      <xdr:rowOff>28575</xdr:rowOff>
    </xdr:to>
    <xdr:sp macro="" textlink="">
      <xdr:nvSpPr>
        <xdr:cNvPr id="390638" name="Line 882"/>
        <xdr:cNvSpPr>
          <a:spLocks noChangeShapeType="1"/>
        </xdr:cNvSpPr>
      </xdr:nvSpPr>
      <xdr:spPr bwMode="auto">
        <a:xfrm>
          <a:off x="5924550" y="11296650"/>
          <a:ext cx="180975"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6</xdr:col>
      <xdr:colOff>190500</xdr:colOff>
      <xdr:row>55</xdr:row>
      <xdr:rowOff>0</xdr:rowOff>
    </xdr:from>
    <xdr:to>
      <xdr:col>6</xdr:col>
      <xdr:colOff>447675</xdr:colOff>
      <xdr:row>55</xdr:row>
      <xdr:rowOff>0</xdr:rowOff>
    </xdr:to>
    <xdr:sp macro="" textlink="">
      <xdr:nvSpPr>
        <xdr:cNvPr id="390639" name="Line 883"/>
        <xdr:cNvSpPr>
          <a:spLocks noChangeShapeType="1"/>
        </xdr:cNvSpPr>
      </xdr:nvSpPr>
      <xdr:spPr bwMode="auto">
        <a:xfrm>
          <a:off x="5905500" y="11268075"/>
          <a:ext cx="257175"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6</xdr:col>
      <xdr:colOff>190500</xdr:colOff>
      <xdr:row>55</xdr:row>
      <xdr:rowOff>104775</xdr:rowOff>
    </xdr:from>
    <xdr:to>
      <xdr:col>6</xdr:col>
      <xdr:colOff>219075</xdr:colOff>
      <xdr:row>55</xdr:row>
      <xdr:rowOff>104775</xdr:rowOff>
    </xdr:to>
    <xdr:sp macro="" textlink="">
      <xdr:nvSpPr>
        <xdr:cNvPr id="390640" name="Line 884"/>
        <xdr:cNvSpPr>
          <a:spLocks noChangeShapeType="1"/>
        </xdr:cNvSpPr>
      </xdr:nvSpPr>
      <xdr:spPr bwMode="auto">
        <a:xfrm>
          <a:off x="5905500" y="11372850"/>
          <a:ext cx="28575"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6</xdr:col>
      <xdr:colOff>200025</xdr:colOff>
      <xdr:row>55</xdr:row>
      <xdr:rowOff>28575</xdr:rowOff>
    </xdr:from>
    <xdr:to>
      <xdr:col>6</xdr:col>
      <xdr:colOff>409575</xdr:colOff>
      <xdr:row>55</xdr:row>
      <xdr:rowOff>28575</xdr:rowOff>
    </xdr:to>
    <xdr:sp macro="" textlink="">
      <xdr:nvSpPr>
        <xdr:cNvPr id="390641" name="Line 886"/>
        <xdr:cNvSpPr>
          <a:spLocks noChangeShapeType="1"/>
        </xdr:cNvSpPr>
      </xdr:nvSpPr>
      <xdr:spPr bwMode="auto">
        <a:xfrm>
          <a:off x="5915025" y="11296650"/>
          <a:ext cx="20955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6</xdr:col>
      <xdr:colOff>180975</xdr:colOff>
      <xdr:row>55</xdr:row>
      <xdr:rowOff>28575</xdr:rowOff>
    </xdr:from>
    <xdr:to>
      <xdr:col>6</xdr:col>
      <xdr:colOff>333375</xdr:colOff>
      <xdr:row>55</xdr:row>
      <xdr:rowOff>28575</xdr:rowOff>
    </xdr:to>
    <xdr:sp macro="" textlink="">
      <xdr:nvSpPr>
        <xdr:cNvPr id="390642" name="Line 888"/>
        <xdr:cNvSpPr>
          <a:spLocks noChangeShapeType="1"/>
        </xdr:cNvSpPr>
      </xdr:nvSpPr>
      <xdr:spPr bwMode="auto">
        <a:xfrm>
          <a:off x="5895975" y="11296650"/>
          <a:ext cx="15240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6</xdr:col>
      <xdr:colOff>209550</xdr:colOff>
      <xdr:row>55</xdr:row>
      <xdr:rowOff>9525</xdr:rowOff>
    </xdr:from>
    <xdr:to>
      <xdr:col>6</xdr:col>
      <xdr:colOff>419100</xdr:colOff>
      <xdr:row>55</xdr:row>
      <xdr:rowOff>9525</xdr:rowOff>
    </xdr:to>
    <xdr:sp macro="" textlink="">
      <xdr:nvSpPr>
        <xdr:cNvPr id="390643" name="Line 889"/>
        <xdr:cNvSpPr>
          <a:spLocks noChangeShapeType="1"/>
        </xdr:cNvSpPr>
      </xdr:nvSpPr>
      <xdr:spPr bwMode="auto">
        <a:xfrm>
          <a:off x="5924550" y="11277600"/>
          <a:ext cx="20955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8</xdr:col>
      <xdr:colOff>314325</xdr:colOff>
      <xdr:row>53</xdr:row>
      <xdr:rowOff>171450</xdr:rowOff>
    </xdr:from>
    <xdr:to>
      <xdr:col>8</xdr:col>
      <xdr:colOff>314325</xdr:colOff>
      <xdr:row>55</xdr:row>
      <xdr:rowOff>47625</xdr:rowOff>
    </xdr:to>
    <xdr:sp macro="" textlink="">
      <xdr:nvSpPr>
        <xdr:cNvPr id="390644" name="Line 891"/>
        <xdr:cNvSpPr>
          <a:spLocks noChangeShapeType="1"/>
        </xdr:cNvSpPr>
      </xdr:nvSpPr>
      <xdr:spPr bwMode="auto">
        <a:xfrm>
          <a:off x="7400925" y="11039475"/>
          <a:ext cx="0" cy="276225"/>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type="triangle" w="med" len="med"/>
              <a:tailEnd type="triangle" w="med" len="me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8</xdr:col>
      <xdr:colOff>38100</xdr:colOff>
      <xdr:row>53</xdr:row>
      <xdr:rowOff>104775</xdr:rowOff>
    </xdr:from>
    <xdr:to>
      <xdr:col>8</xdr:col>
      <xdr:colOff>38100</xdr:colOff>
      <xdr:row>56</xdr:row>
      <xdr:rowOff>0</xdr:rowOff>
    </xdr:to>
    <xdr:sp macro="" textlink="">
      <xdr:nvSpPr>
        <xdr:cNvPr id="390645" name="Line 893"/>
        <xdr:cNvSpPr>
          <a:spLocks noChangeShapeType="1"/>
        </xdr:cNvSpPr>
      </xdr:nvSpPr>
      <xdr:spPr bwMode="auto">
        <a:xfrm>
          <a:off x="7124700" y="10972800"/>
          <a:ext cx="0" cy="47625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6</xdr:col>
      <xdr:colOff>57150</xdr:colOff>
      <xdr:row>55</xdr:row>
      <xdr:rowOff>142875</xdr:rowOff>
    </xdr:from>
    <xdr:to>
      <xdr:col>6</xdr:col>
      <xdr:colOff>466725</xdr:colOff>
      <xdr:row>55</xdr:row>
      <xdr:rowOff>142875</xdr:rowOff>
    </xdr:to>
    <xdr:sp macro="" textlink="">
      <xdr:nvSpPr>
        <xdr:cNvPr id="390646" name="Line 894"/>
        <xdr:cNvSpPr>
          <a:spLocks noChangeShapeType="1"/>
        </xdr:cNvSpPr>
      </xdr:nvSpPr>
      <xdr:spPr bwMode="auto">
        <a:xfrm>
          <a:off x="5772150" y="11410950"/>
          <a:ext cx="409575"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6</xdr:col>
      <xdr:colOff>38100</xdr:colOff>
      <xdr:row>55</xdr:row>
      <xdr:rowOff>152400</xdr:rowOff>
    </xdr:from>
    <xdr:to>
      <xdr:col>6</xdr:col>
      <xdr:colOff>381000</xdr:colOff>
      <xdr:row>55</xdr:row>
      <xdr:rowOff>152400</xdr:rowOff>
    </xdr:to>
    <xdr:sp macro="" textlink="">
      <xdr:nvSpPr>
        <xdr:cNvPr id="390647" name="Line 895"/>
        <xdr:cNvSpPr>
          <a:spLocks noChangeShapeType="1"/>
        </xdr:cNvSpPr>
      </xdr:nvSpPr>
      <xdr:spPr bwMode="auto">
        <a:xfrm>
          <a:off x="5753100" y="11420475"/>
          <a:ext cx="34290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6</xdr:col>
      <xdr:colOff>323850</xdr:colOff>
      <xdr:row>54</xdr:row>
      <xdr:rowOff>9525</xdr:rowOff>
    </xdr:from>
    <xdr:to>
      <xdr:col>7</xdr:col>
      <xdr:colOff>0</xdr:colOff>
      <xdr:row>54</xdr:row>
      <xdr:rowOff>9525</xdr:rowOff>
    </xdr:to>
    <xdr:sp macro="" textlink="">
      <xdr:nvSpPr>
        <xdr:cNvPr id="390648" name="Line 897"/>
        <xdr:cNvSpPr>
          <a:spLocks noChangeShapeType="1"/>
        </xdr:cNvSpPr>
      </xdr:nvSpPr>
      <xdr:spPr bwMode="auto">
        <a:xfrm>
          <a:off x="6038850" y="11058525"/>
          <a:ext cx="36195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6</xdr:col>
      <xdr:colOff>381000</xdr:colOff>
      <xdr:row>54</xdr:row>
      <xdr:rowOff>47625</xdr:rowOff>
    </xdr:from>
    <xdr:to>
      <xdr:col>6</xdr:col>
      <xdr:colOff>381000</xdr:colOff>
      <xdr:row>55</xdr:row>
      <xdr:rowOff>133350</xdr:rowOff>
    </xdr:to>
    <xdr:sp macro="" textlink="">
      <xdr:nvSpPr>
        <xdr:cNvPr id="390649" name="Line 899"/>
        <xdr:cNvSpPr>
          <a:spLocks noChangeShapeType="1"/>
        </xdr:cNvSpPr>
      </xdr:nvSpPr>
      <xdr:spPr bwMode="auto">
        <a:xfrm>
          <a:off x="6096000" y="11096625"/>
          <a:ext cx="0" cy="30480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type="triangle" w="med" len="med"/>
              <a:tailEnd type="triangle" w="med" len="me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7</xdr:col>
      <xdr:colOff>0</xdr:colOff>
      <xdr:row>55</xdr:row>
      <xdr:rowOff>104775</xdr:rowOff>
    </xdr:from>
    <xdr:to>
      <xdr:col>7</xdr:col>
      <xdr:colOff>0</xdr:colOff>
      <xdr:row>55</xdr:row>
      <xdr:rowOff>104775</xdr:rowOff>
    </xdr:to>
    <xdr:sp macro="" textlink="">
      <xdr:nvSpPr>
        <xdr:cNvPr id="390650" name="Line 903"/>
        <xdr:cNvSpPr>
          <a:spLocks noChangeShapeType="1"/>
        </xdr:cNvSpPr>
      </xdr:nvSpPr>
      <xdr:spPr bwMode="auto">
        <a:xfrm>
          <a:off x="6400800" y="11372850"/>
          <a:ext cx="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xdr:col>
      <xdr:colOff>561975</xdr:colOff>
      <xdr:row>50</xdr:row>
      <xdr:rowOff>0</xdr:rowOff>
    </xdr:from>
    <xdr:to>
      <xdr:col>2</xdr:col>
      <xdr:colOff>104775</xdr:colOff>
      <xdr:row>51</xdr:row>
      <xdr:rowOff>57150</xdr:rowOff>
    </xdr:to>
    <xdr:sp macro="" textlink="">
      <xdr:nvSpPr>
        <xdr:cNvPr id="196" name="Text Box 922"/>
        <xdr:cNvSpPr txBox="1">
          <a:spLocks noChangeArrowheads="1"/>
        </xdr:cNvSpPr>
      </xdr:nvSpPr>
      <xdr:spPr bwMode="auto">
        <a:xfrm>
          <a:off x="1762125" y="10325100"/>
          <a:ext cx="228600" cy="238125"/>
        </a:xfrm>
        <a:prstGeom prst="rect">
          <a:avLst/>
        </a:prstGeom>
        <a:noFill/>
        <a:ln>
          <a:noFill/>
        </a:ln>
        <a:effectLst/>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lgn="ctr">
              <a:solidFill>
                <a:srgbClr val="000000"/>
              </a:solidFill>
              <a:miter lim="800000"/>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txBody>
        <a:bodyPr vertOverflow="clip" wrap="square" lIns="0" tIns="0" rIns="0" bIns="0" anchor="t" upright="1"/>
        <a:lstStyle/>
        <a:p>
          <a:pPr algn="l" rtl="0">
            <a:defRPr sz="1000"/>
          </a:pPr>
          <a:r>
            <a:rPr lang="en-US" altLang="zh-CN" sz="1800" b="0" i="0" u="none" strike="noStrike" baseline="0">
              <a:solidFill>
                <a:srgbClr val="000000"/>
              </a:solidFill>
              <a:latin typeface="宋体"/>
              <a:ea typeface="宋体"/>
            </a:rPr>
            <a:t>.</a:t>
          </a:r>
          <a:r>
            <a:rPr lang="en-US" altLang="zh-CN" sz="1200" b="0" i="0" u="none" strike="noStrike" baseline="0">
              <a:solidFill>
                <a:srgbClr val="000000"/>
              </a:solidFill>
              <a:latin typeface="宋体"/>
              <a:ea typeface="宋体"/>
            </a:rPr>
            <a:t>A</a:t>
          </a:r>
        </a:p>
      </xdr:txBody>
    </xdr:sp>
    <xdr:clientData/>
  </xdr:twoCellAnchor>
  <xdr:twoCellAnchor>
    <xdr:from>
      <xdr:col>3</xdr:col>
      <xdr:colOff>228600</xdr:colOff>
      <xdr:row>49</xdr:row>
      <xdr:rowOff>171450</xdr:rowOff>
    </xdr:from>
    <xdr:to>
      <xdr:col>3</xdr:col>
      <xdr:colOff>457200</xdr:colOff>
      <xdr:row>50</xdr:row>
      <xdr:rowOff>238125</xdr:rowOff>
    </xdr:to>
    <xdr:sp macro="" textlink="">
      <xdr:nvSpPr>
        <xdr:cNvPr id="197" name="Text Box 924"/>
        <xdr:cNvSpPr txBox="1">
          <a:spLocks noChangeArrowheads="1"/>
        </xdr:cNvSpPr>
      </xdr:nvSpPr>
      <xdr:spPr bwMode="auto">
        <a:xfrm>
          <a:off x="2800350" y="10315575"/>
          <a:ext cx="228600" cy="190500"/>
        </a:xfrm>
        <a:prstGeom prst="rect">
          <a:avLst/>
        </a:prstGeom>
        <a:noFill/>
        <a:ln>
          <a:noFill/>
        </a:ln>
        <a:effectLst/>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lgn="ctr">
              <a:solidFill>
                <a:srgbClr val="000000"/>
              </a:solidFill>
              <a:miter lim="800000"/>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txBody>
        <a:bodyPr vertOverflow="clip" wrap="square" lIns="0" tIns="0" rIns="0" bIns="0" anchor="t" upright="1"/>
        <a:lstStyle/>
        <a:p>
          <a:pPr algn="l" rtl="0">
            <a:defRPr sz="1000"/>
          </a:pPr>
          <a:r>
            <a:rPr lang="en-US" altLang="zh-CN" sz="1800" b="0" i="0" u="none" strike="noStrike" baseline="0">
              <a:solidFill>
                <a:srgbClr val="000000"/>
              </a:solidFill>
              <a:latin typeface="宋体"/>
              <a:ea typeface="宋体"/>
            </a:rPr>
            <a:t>.</a:t>
          </a:r>
          <a:r>
            <a:rPr lang="en-US" altLang="zh-CN" sz="1200" b="0" i="0" u="none" strike="noStrike" baseline="0">
              <a:solidFill>
                <a:srgbClr val="000000"/>
              </a:solidFill>
              <a:latin typeface="宋体"/>
              <a:ea typeface="宋体"/>
            </a:rPr>
            <a:t>B</a:t>
          </a:r>
        </a:p>
      </xdr:txBody>
    </xdr:sp>
    <xdr:clientData/>
  </xdr:twoCellAnchor>
  <xdr:twoCellAnchor>
    <xdr:from>
      <xdr:col>3</xdr:col>
      <xdr:colOff>247650</xdr:colOff>
      <xdr:row>52</xdr:row>
      <xdr:rowOff>180975</xdr:rowOff>
    </xdr:from>
    <xdr:to>
      <xdr:col>3</xdr:col>
      <xdr:colOff>514350</xdr:colOff>
      <xdr:row>54</xdr:row>
      <xdr:rowOff>57150</xdr:rowOff>
    </xdr:to>
    <xdr:sp macro="" textlink="">
      <xdr:nvSpPr>
        <xdr:cNvPr id="198" name="Text Box 925"/>
        <xdr:cNvSpPr txBox="1">
          <a:spLocks noChangeArrowheads="1"/>
        </xdr:cNvSpPr>
      </xdr:nvSpPr>
      <xdr:spPr bwMode="auto">
        <a:xfrm>
          <a:off x="2819400" y="10868025"/>
          <a:ext cx="266700" cy="238125"/>
        </a:xfrm>
        <a:prstGeom prst="rect">
          <a:avLst/>
        </a:prstGeom>
        <a:noFill/>
        <a:ln>
          <a:noFill/>
        </a:ln>
        <a:effectLst/>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lgn="ctr">
              <a:solidFill>
                <a:srgbClr val="000000"/>
              </a:solidFill>
              <a:miter lim="800000"/>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txBody>
        <a:bodyPr vertOverflow="clip" wrap="square" lIns="0" tIns="0" rIns="0" bIns="0" anchor="t" upright="1"/>
        <a:lstStyle/>
        <a:p>
          <a:pPr algn="l" rtl="0">
            <a:defRPr sz="1000"/>
          </a:pPr>
          <a:r>
            <a:rPr lang="en-US" altLang="zh-CN" sz="1800" b="0" i="0" u="none" strike="noStrike" baseline="0">
              <a:solidFill>
                <a:srgbClr val="000000"/>
              </a:solidFill>
              <a:latin typeface="宋体"/>
              <a:ea typeface="宋体"/>
            </a:rPr>
            <a:t>.</a:t>
          </a:r>
          <a:r>
            <a:rPr lang="en-US" altLang="zh-CN" sz="1200" b="0" i="0" u="none" strike="noStrike" baseline="0">
              <a:solidFill>
                <a:srgbClr val="000000"/>
              </a:solidFill>
              <a:latin typeface="宋体"/>
              <a:ea typeface="宋体"/>
            </a:rPr>
            <a:t>C</a:t>
          </a:r>
        </a:p>
      </xdr:txBody>
    </xdr:sp>
    <xdr:clientData/>
  </xdr:twoCellAnchor>
  <xdr:twoCellAnchor>
    <xdr:from>
      <xdr:col>1</xdr:col>
      <xdr:colOff>533400</xdr:colOff>
      <xdr:row>52</xdr:row>
      <xdr:rowOff>200025</xdr:rowOff>
    </xdr:from>
    <xdr:to>
      <xdr:col>2</xdr:col>
      <xdr:colOff>152400</xdr:colOff>
      <xdr:row>54</xdr:row>
      <xdr:rowOff>57150</xdr:rowOff>
    </xdr:to>
    <xdr:sp macro="" textlink="">
      <xdr:nvSpPr>
        <xdr:cNvPr id="199" name="Text Box 926"/>
        <xdr:cNvSpPr txBox="1">
          <a:spLocks noChangeArrowheads="1"/>
        </xdr:cNvSpPr>
      </xdr:nvSpPr>
      <xdr:spPr bwMode="auto">
        <a:xfrm>
          <a:off x="1733550" y="10868025"/>
          <a:ext cx="304800" cy="238125"/>
        </a:xfrm>
        <a:prstGeom prst="rect">
          <a:avLst/>
        </a:prstGeom>
        <a:noFill/>
        <a:ln>
          <a:noFill/>
        </a:ln>
        <a:effectLst/>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lgn="ctr">
              <a:solidFill>
                <a:srgbClr val="000000"/>
              </a:solidFill>
              <a:miter lim="800000"/>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txBody>
        <a:bodyPr vertOverflow="clip" wrap="square" lIns="0" tIns="0" rIns="0" bIns="0" anchor="t" upright="1"/>
        <a:lstStyle/>
        <a:p>
          <a:pPr algn="l" rtl="0">
            <a:defRPr sz="1000"/>
          </a:pPr>
          <a:r>
            <a:rPr lang="en-US" altLang="zh-CN" sz="1800" b="0" i="0" u="none" strike="noStrike" baseline="0">
              <a:solidFill>
                <a:srgbClr val="000000"/>
              </a:solidFill>
              <a:latin typeface="宋体"/>
              <a:ea typeface="宋体"/>
            </a:rPr>
            <a:t>.</a:t>
          </a:r>
          <a:r>
            <a:rPr lang="en-US" altLang="zh-CN" sz="1200" b="0" i="0" u="none" strike="noStrike" baseline="0">
              <a:solidFill>
                <a:srgbClr val="000000"/>
              </a:solidFill>
              <a:latin typeface="宋体"/>
              <a:ea typeface="宋体"/>
            </a:rPr>
            <a:t>D</a:t>
          </a:r>
        </a:p>
      </xdr:txBody>
    </xdr:sp>
    <xdr:clientData/>
  </xdr:twoCellAnchor>
  <xdr:twoCellAnchor>
    <xdr:from>
      <xdr:col>2</xdr:col>
      <xdr:colOff>352425</xdr:colOff>
      <xdr:row>51</xdr:row>
      <xdr:rowOff>38100</xdr:rowOff>
    </xdr:from>
    <xdr:to>
      <xdr:col>3</xdr:col>
      <xdr:colOff>28575</xdr:colOff>
      <xdr:row>52</xdr:row>
      <xdr:rowOff>190500</xdr:rowOff>
    </xdr:to>
    <xdr:sp macro="" textlink="">
      <xdr:nvSpPr>
        <xdr:cNvPr id="200" name="Text Box 927"/>
        <xdr:cNvSpPr txBox="1">
          <a:spLocks noChangeArrowheads="1"/>
        </xdr:cNvSpPr>
      </xdr:nvSpPr>
      <xdr:spPr bwMode="auto">
        <a:xfrm>
          <a:off x="2238375" y="10544175"/>
          <a:ext cx="361950" cy="323850"/>
        </a:xfrm>
        <a:prstGeom prst="rect">
          <a:avLst/>
        </a:prstGeom>
        <a:noFill/>
        <a:ln>
          <a:noFill/>
        </a:ln>
        <a:effectLst/>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lgn="ctr">
              <a:solidFill>
                <a:srgbClr val="000000"/>
              </a:solidFill>
              <a:miter lim="800000"/>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txBody>
        <a:bodyPr vertOverflow="clip" wrap="square" lIns="0" tIns="0" rIns="0" bIns="0" anchor="t" upright="1"/>
        <a:lstStyle/>
        <a:p>
          <a:pPr algn="l" rtl="0">
            <a:defRPr sz="1000"/>
          </a:pPr>
          <a:r>
            <a:rPr lang="en-US" altLang="zh-CN" sz="1200" b="0" i="0" u="none" strike="noStrike" baseline="0">
              <a:solidFill>
                <a:srgbClr val="000000"/>
              </a:solidFill>
              <a:latin typeface="宋体"/>
              <a:ea typeface="宋体"/>
            </a:rPr>
            <a:t> </a:t>
          </a:r>
          <a:r>
            <a:rPr lang="en-US" altLang="zh-CN" sz="1800" b="0" i="0" u="none" strike="noStrike" baseline="0">
              <a:solidFill>
                <a:srgbClr val="000000"/>
              </a:solidFill>
              <a:latin typeface="宋体"/>
              <a:ea typeface="宋体"/>
            </a:rPr>
            <a:t>.</a:t>
          </a:r>
          <a:r>
            <a:rPr lang="en-US" altLang="zh-CN" sz="1200" b="0" i="0" u="none" strike="noStrike" baseline="0">
              <a:solidFill>
                <a:srgbClr val="000000"/>
              </a:solidFill>
              <a:latin typeface="宋体"/>
              <a:ea typeface="宋体"/>
            </a:rPr>
            <a:t>O  </a:t>
          </a:r>
        </a:p>
      </xdr:txBody>
    </xdr:sp>
    <xdr:clientData/>
  </xdr:twoCellAnchor>
  <xdr:twoCellAnchor>
    <xdr:from>
      <xdr:col>3</xdr:col>
      <xdr:colOff>209550</xdr:colOff>
      <xdr:row>54</xdr:row>
      <xdr:rowOff>123825</xdr:rowOff>
    </xdr:from>
    <xdr:to>
      <xdr:col>4</xdr:col>
      <xdr:colOff>209550</xdr:colOff>
      <xdr:row>54</xdr:row>
      <xdr:rowOff>123825</xdr:rowOff>
    </xdr:to>
    <xdr:sp macro="" textlink="">
      <xdr:nvSpPr>
        <xdr:cNvPr id="390656" name="Line 929"/>
        <xdr:cNvSpPr>
          <a:spLocks noChangeShapeType="1"/>
        </xdr:cNvSpPr>
      </xdr:nvSpPr>
      <xdr:spPr bwMode="auto">
        <a:xfrm>
          <a:off x="2781300" y="11172825"/>
          <a:ext cx="177165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4</xdr:col>
      <xdr:colOff>104775</xdr:colOff>
      <xdr:row>53</xdr:row>
      <xdr:rowOff>133350</xdr:rowOff>
    </xdr:from>
    <xdr:to>
      <xdr:col>4</xdr:col>
      <xdr:colOff>104775</xdr:colOff>
      <xdr:row>54</xdr:row>
      <xdr:rowOff>190500</xdr:rowOff>
    </xdr:to>
    <xdr:sp macro="" textlink="">
      <xdr:nvSpPr>
        <xdr:cNvPr id="390657" name="Line 931"/>
        <xdr:cNvSpPr>
          <a:spLocks noChangeShapeType="1"/>
        </xdr:cNvSpPr>
      </xdr:nvSpPr>
      <xdr:spPr bwMode="auto">
        <a:xfrm>
          <a:off x="4448175" y="11001375"/>
          <a:ext cx="0" cy="238125"/>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type="triangle" w="med" len="med"/>
              <a:tailEnd type="triangle" w="med" len="me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xdr:col>
      <xdr:colOff>142875</xdr:colOff>
      <xdr:row>48</xdr:row>
      <xdr:rowOff>57150</xdr:rowOff>
    </xdr:from>
    <xdr:to>
      <xdr:col>1</xdr:col>
      <xdr:colOff>581025</xdr:colOff>
      <xdr:row>48</xdr:row>
      <xdr:rowOff>57150</xdr:rowOff>
    </xdr:to>
    <xdr:sp macro="" textlink="">
      <xdr:nvSpPr>
        <xdr:cNvPr id="390658" name="Line 932"/>
        <xdr:cNvSpPr>
          <a:spLocks noChangeShapeType="1"/>
        </xdr:cNvSpPr>
      </xdr:nvSpPr>
      <xdr:spPr bwMode="auto">
        <a:xfrm flipV="1">
          <a:off x="1343025" y="10020300"/>
          <a:ext cx="438150" cy="0"/>
        </a:xfrm>
        <a:prstGeom prst="line">
          <a:avLst/>
        </a:prstGeom>
        <a:noFill/>
        <a:ln w="9525">
          <a:solidFill>
            <a:srgbClr val="000000"/>
          </a:solidFill>
          <a:round/>
          <a:headEnd type="triangle" w="med" len="med"/>
          <a:tailEnd type="triangle" w="med" len="me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xdr:col>
      <xdr:colOff>342900</xdr:colOff>
      <xdr:row>48</xdr:row>
      <xdr:rowOff>66675</xdr:rowOff>
    </xdr:from>
    <xdr:to>
      <xdr:col>1</xdr:col>
      <xdr:colOff>342900</xdr:colOff>
      <xdr:row>48</xdr:row>
      <xdr:rowOff>66675</xdr:rowOff>
    </xdr:to>
    <xdr:sp macro="" textlink="">
      <xdr:nvSpPr>
        <xdr:cNvPr id="390659" name="Line 933"/>
        <xdr:cNvSpPr>
          <a:spLocks noChangeShapeType="1"/>
        </xdr:cNvSpPr>
      </xdr:nvSpPr>
      <xdr:spPr bwMode="auto">
        <a:xfrm>
          <a:off x="1543050" y="10029825"/>
          <a:ext cx="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type="triangle" w="med" len="me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xdr:col>
      <xdr:colOff>123825</xdr:colOff>
      <xdr:row>55</xdr:row>
      <xdr:rowOff>19050</xdr:rowOff>
    </xdr:from>
    <xdr:to>
      <xdr:col>1</xdr:col>
      <xdr:colOff>133350</xdr:colOff>
      <xdr:row>56</xdr:row>
      <xdr:rowOff>0</xdr:rowOff>
    </xdr:to>
    <xdr:sp macro="" textlink="">
      <xdr:nvSpPr>
        <xdr:cNvPr id="390660" name="Line 939"/>
        <xdr:cNvSpPr>
          <a:spLocks noChangeShapeType="1"/>
        </xdr:cNvSpPr>
      </xdr:nvSpPr>
      <xdr:spPr bwMode="auto">
        <a:xfrm>
          <a:off x="1323975" y="11287125"/>
          <a:ext cx="9525" cy="161925"/>
        </a:xfrm>
        <a:prstGeom prst="line">
          <a:avLst/>
        </a:prstGeom>
        <a:noFill/>
        <a:ln w="3175">
          <a:solidFill>
            <a:srgbClr val="000000"/>
          </a:solidFill>
          <a:round/>
          <a:headEnd/>
          <a:tailEn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12</xdr:col>
      <xdr:colOff>123825</xdr:colOff>
      <xdr:row>8</xdr:row>
      <xdr:rowOff>0</xdr:rowOff>
    </xdr:from>
    <xdr:to>
      <xdr:col>12</xdr:col>
      <xdr:colOff>133350</xdr:colOff>
      <xdr:row>8</xdr:row>
      <xdr:rowOff>0</xdr:rowOff>
    </xdr:to>
    <xdr:sp macro="" textlink="">
      <xdr:nvSpPr>
        <xdr:cNvPr id="390661" name="Line 9"/>
        <xdr:cNvSpPr>
          <a:spLocks noChangeShapeType="1"/>
        </xdr:cNvSpPr>
      </xdr:nvSpPr>
      <xdr:spPr bwMode="auto">
        <a:xfrm flipH="1">
          <a:off x="9953625" y="2000250"/>
          <a:ext cx="9525" cy="0"/>
        </a:xfrm>
        <a:prstGeom prst="line">
          <a:avLst/>
        </a:prstGeom>
        <a:noFill/>
        <a:ln w="9525">
          <a:solidFill>
            <a:srgbClr val="000000"/>
          </a:solidFill>
          <a:round/>
          <a:headEnd/>
          <a:tailEn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15</xdr:col>
      <xdr:colOff>0</xdr:colOff>
      <xdr:row>8</xdr:row>
      <xdr:rowOff>0</xdr:rowOff>
    </xdr:from>
    <xdr:to>
      <xdr:col>15</xdr:col>
      <xdr:colOff>0</xdr:colOff>
      <xdr:row>8</xdr:row>
      <xdr:rowOff>0</xdr:rowOff>
    </xdr:to>
    <xdr:sp macro="" textlink="">
      <xdr:nvSpPr>
        <xdr:cNvPr id="390662" name="Line 10"/>
        <xdr:cNvSpPr>
          <a:spLocks noChangeShapeType="1"/>
        </xdr:cNvSpPr>
      </xdr:nvSpPr>
      <xdr:spPr bwMode="auto">
        <a:xfrm flipH="1">
          <a:off x="11887200" y="2000250"/>
          <a:ext cx="0" cy="0"/>
        </a:xfrm>
        <a:prstGeom prst="line">
          <a:avLst/>
        </a:prstGeom>
        <a:noFill/>
        <a:ln w="9525">
          <a:solidFill>
            <a:srgbClr val="000000"/>
          </a:solidFill>
          <a:round/>
          <a:headEnd/>
          <a:tailEn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12</xdr:col>
      <xdr:colOff>390525</xdr:colOff>
      <xdr:row>8</xdr:row>
      <xdr:rowOff>0</xdr:rowOff>
    </xdr:from>
    <xdr:to>
      <xdr:col>12</xdr:col>
      <xdr:colOff>390525</xdr:colOff>
      <xdr:row>8</xdr:row>
      <xdr:rowOff>0</xdr:rowOff>
    </xdr:to>
    <xdr:sp macro="" textlink="">
      <xdr:nvSpPr>
        <xdr:cNvPr id="390663" name="Line 11"/>
        <xdr:cNvSpPr>
          <a:spLocks noChangeShapeType="1"/>
        </xdr:cNvSpPr>
      </xdr:nvSpPr>
      <xdr:spPr bwMode="auto">
        <a:xfrm>
          <a:off x="10220325" y="2000250"/>
          <a:ext cx="0" cy="0"/>
        </a:xfrm>
        <a:prstGeom prst="line">
          <a:avLst/>
        </a:prstGeom>
        <a:noFill/>
        <a:ln w="9525">
          <a:solidFill>
            <a:srgbClr val="000000"/>
          </a:solidFill>
          <a:round/>
          <a:headEnd/>
          <a:tailEn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17</xdr:col>
      <xdr:colOff>476250</xdr:colOff>
      <xdr:row>8</xdr:row>
      <xdr:rowOff>0</xdr:rowOff>
    </xdr:from>
    <xdr:to>
      <xdr:col>17</xdr:col>
      <xdr:colOff>476250</xdr:colOff>
      <xdr:row>8</xdr:row>
      <xdr:rowOff>0</xdr:rowOff>
    </xdr:to>
    <xdr:sp macro="" textlink="">
      <xdr:nvSpPr>
        <xdr:cNvPr id="390664" name="Line 30"/>
        <xdr:cNvSpPr>
          <a:spLocks noChangeShapeType="1"/>
        </xdr:cNvSpPr>
      </xdr:nvSpPr>
      <xdr:spPr bwMode="auto">
        <a:xfrm>
          <a:off x="13735050" y="2000250"/>
          <a:ext cx="0" cy="0"/>
        </a:xfrm>
        <a:prstGeom prst="line">
          <a:avLst/>
        </a:prstGeom>
        <a:noFill/>
        <a:ln w="9525">
          <a:solidFill>
            <a:srgbClr val="000000"/>
          </a:solidFill>
          <a:round/>
          <a:headEnd/>
          <a:tailEn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16</xdr:col>
      <xdr:colOff>228600</xdr:colOff>
      <xdr:row>8</xdr:row>
      <xdr:rowOff>0</xdr:rowOff>
    </xdr:from>
    <xdr:to>
      <xdr:col>16</xdr:col>
      <xdr:colOff>228600</xdr:colOff>
      <xdr:row>8</xdr:row>
      <xdr:rowOff>0</xdr:rowOff>
    </xdr:to>
    <xdr:sp macro="" textlink="">
      <xdr:nvSpPr>
        <xdr:cNvPr id="390665" name="Line 32"/>
        <xdr:cNvSpPr>
          <a:spLocks noChangeShapeType="1"/>
        </xdr:cNvSpPr>
      </xdr:nvSpPr>
      <xdr:spPr bwMode="auto">
        <a:xfrm flipH="1">
          <a:off x="12801600" y="2000250"/>
          <a:ext cx="0" cy="0"/>
        </a:xfrm>
        <a:prstGeom prst="line">
          <a:avLst/>
        </a:prstGeom>
        <a:noFill/>
        <a:ln w="9525">
          <a:solidFill>
            <a:srgbClr val="000000"/>
          </a:solidFill>
          <a:round/>
          <a:headEnd/>
          <a:tailEn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15</xdr:col>
      <xdr:colOff>495300</xdr:colOff>
      <xdr:row>8</xdr:row>
      <xdr:rowOff>0</xdr:rowOff>
    </xdr:from>
    <xdr:to>
      <xdr:col>15</xdr:col>
      <xdr:colOff>495300</xdr:colOff>
      <xdr:row>8</xdr:row>
      <xdr:rowOff>0</xdr:rowOff>
    </xdr:to>
    <xdr:sp macro="" textlink="">
      <xdr:nvSpPr>
        <xdr:cNvPr id="390666" name="Line 35"/>
        <xdr:cNvSpPr>
          <a:spLocks noChangeShapeType="1"/>
        </xdr:cNvSpPr>
      </xdr:nvSpPr>
      <xdr:spPr bwMode="auto">
        <a:xfrm>
          <a:off x="12382500" y="2000250"/>
          <a:ext cx="0" cy="0"/>
        </a:xfrm>
        <a:prstGeom prst="line">
          <a:avLst/>
        </a:prstGeom>
        <a:noFill/>
        <a:ln w="9525">
          <a:solidFill>
            <a:srgbClr val="000000"/>
          </a:solidFill>
          <a:round/>
          <a:headEnd type="triangle" w="med" len="med"/>
          <a:tailEnd type="triangle" w="med" len="me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11</xdr:col>
      <xdr:colOff>133350</xdr:colOff>
      <xdr:row>8</xdr:row>
      <xdr:rowOff>0</xdr:rowOff>
    </xdr:from>
    <xdr:to>
      <xdr:col>12</xdr:col>
      <xdr:colOff>123825</xdr:colOff>
      <xdr:row>8</xdr:row>
      <xdr:rowOff>0</xdr:rowOff>
    </xdr:to>
    <xdr:sp macro="" textlink="">
      <xdr:nvSpPr>
        <xdr:cNvPr id="390667" name="Line 36"/>
        <xdr:cNvSpPr>
          <a:spLocks noChangeShapeType="1"/>
        </xdr:cNvSpPr>
      </xdr:nvSpPr>
      <xdr:spPr bwMode="auto">
        <a:xfrm>
          <a:off x="9277350" y="2000250"/>
          <a:ext cx="676275"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type="triangle" w="med" len="me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11</xdr:col>
      <xdr:colOff>171450</xdr:colOff>
      <xdr:row>8</xdr:row>
      <xdr:rowOff>0</xdr:rowOff>
    </xdr:from>
    <xdr:to>
      <xdr:col>12</xdr:col>
      <xdr:colOff>104775</xdr:colOff>
      <xdr:row>8</xdr:row>
      <xdr:rowOff>0</xdr:rowOff>
    </xdr:to>
    <xdr:sp macro="" textlink="">
      <xdr:nvSpPr>
        <xdr:cNvPr id="390668" name="Line 37"/>
        <xdr:cNvSpPr>
          <a:spLocks noChangeShapeType="1"/>
        </xdr:cNvSpPr>
      </xdr:nvSpPr>
      <xdr:spPr bwMode="auto">
        <a:xfrm flipH="1" flipV="1">
          <a:off x="9315450" y="2000250"/>
          <a:ext cx="619125"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type="triangle" w="med" len="me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12</xdr:col>
      <xdr:colOff>142875</xdr:colOff>
      <xdr:row>8</xdr:row>
      <xdr:rowOff>0</xdr:rowOff>
    </xdr:from>
    <xdr:to>
      <xdr:col>12</xdr:col>
      <xdr:colOff>381000</xdr:colOff>
      <xdr:row>8</xdr:row>
      <xdr:rowOff>0</xdr:rowOff>
    </xdr:to>
    <xdr:sp macro="" textlink="">
      <xdr:nvSpPr>
        <xdr:cNvPr id="390669" name="Line 39"/>
        <xdr:cNvSpPr>
          <a:spLocks noChangeShapeType="1"/>
        </xdr:cNvSpPr>
      </xdr:nvSpPr>
      <xdr:spPr bwMode="auto">
        <a:xfrm>
          <a:off x="9972675" y="2000250"/>
          <a:ext cx="238125"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12</xdr:col>
      <xdr:colOff>619125</xdr:colOff>
      <xdr:row>8</xdr:row>
      <xdr:rowOff>0</xdr:rowOff>
    </xdr:from>
    <xdr:to>
      <xdr:col>12</xdr:col>
      <xdr:colOff>495300</xdr:colOff>
      <xdr:row>8</xdr:row>
      <xdr:rowOff>0</xdr:rowOff>
    </xdr:to>
    <xdr:sp macro="" textlink="">
      <xdr:nvSpPr>
        <xdr:cNvPr id="215" name="Text Box 42"/>
        <xdr:cNvSpPr txBox="1">
          <a:spLocks noChangeArrowheads="1"/>
        </xdr:cNvSpPr>
      </xdr:nvSpPr>
      <xdr:spPr bwMode="auto">
        <a:xfrm>
          <a:off x="10448925" y="2000250"/>
          <a:ext cx="0" cy="0"/>
        </a:xfrm>
        <a:prstGeom prst="rect">
          <a:avLst/>
        </a:prstGeom>
        <a:noFill/>
        <a:ln>
          <a:noFill/>
        </a:ln>
        <a:effectLst/>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lgn="ctr">
              <a:solidFill>
                <a:srgbClr val="000000"/>
              </a:solidFill>
              <a:miter lim="800000"/>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txBody>
        <a:bodyPr vertOverflow="clip" wrap="square" lIns="0" tIns="0" rIns="0" bIns="0" anchor="t" upright="1"/>
        <a:lstStyle/>
        <a:p>
          <a:pPr algn="l" rtl="0">
            <a:defRPr sz="1000"/>
          </a:pPr>
          <a:r>
            <a:rPr lang="zh-CN" altLang="en-US" sz="1000" b="0" i="0" u="none" strike="noStrike" baseline="0">
              <a:solidFill>
                <a:srgbClr val="000000"/>
              </a:solidFill>
              <a:latin typeface="宋体"/>
              <a:ea typeface="宋体"/>
            </a:rPr>
            <a:t>位置</a:t>
          </a:r>
        </a:p>
      </xdr:txBody>
    </xdr:sp>
    <xdr:clientData/>
  </xdr:twoCellAnchor>
  <xdr:twoCellAnchor>
    <xdr:from>
      <xdr:col>12</xdr:col>
      <xdr:colOff>19050</xdr:colOff>
      <xdr:row>8</xdr:row>
      <xdr:rowOff>0</xdr:rowOff>
    </xdr:from>
    <xdr:to>
      <xdr:col>13</xdr:col>
      <xdr:colOff>66675</xdr:colOff>
      <xdr:row>8</xdr:row>
      <xdr:rowOff>0</xdr:rowOff>
    </xdr:to>
    <xdr:sp macro="" textlink="">
      <xdr:nvSpPr>
        <xdr:cNvPr id="216" name="Text Box 43"/>
        <xdr:cNvSpPr txBox="1">
          <a:spLocks noChangeArrowheads="1"/>
        </xdr:cNvSpPr>
      </xdr:nvSpPr>
      <xdr:spPr bwMode="auto">
        <a:xfrm>
          <a:off x="9848850" y="2000250"/>
          <a:ext cx="733425" cy="0"/>
        </a:xfrm>
        <a:prstGeom prst="rect">
          <a:avLst/>
        </a:prstGeom>
        <a:noFill/>
        <a:ln>
          <a:noFill/>
        </a:ln>
        <a:effectLst/>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lgn="ctr">
              <a:solidFill>
                <a:srgbClr val="000000"/>
              </a:solidFill>
              <a:miter lim="800000"/>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txBody>
        <a:bodyPr vertOverflow="clip" wrap="square" lIns="0" tIns="0" rIns="0" bIns="0" anchor="t" upright="1"/>
        <a:lstStyle/>
        <a:p>
          <a:pPr algn="l" rtl="0">
            <a:defRPr sz="1000"/>
          </a:pPr>
          <a:r>
            <a:rPr lang="zh-CN" altLang="en-US" sz="1100" b="0" i="0" u="none" strike="noStrike" baseline="0">
              <a:solidFill>
                <a:srgbClr val="000000"/>
              </a:solidFill>
              <a:latin typeface="宋体"/>
              <a:ea typeface="宋体"/>
            </a:rPr>
            <a:t>测试点</a:t>
          </a:r>
        </a:p>
      </xdr:txBody>
    </xdr:sp>
    <xdr:clientData/>
  </xdr:twoCellAnchor>
  <xdr:twoCellAnchor>
    <xdr:from>
      <xdr:col>13</xdr:col>
      <xdr:colOff>238125</xdr:colOff>
      <xdr:row>8</xdr:row>
      <xdr:rowOff>0</xdr:rowOff>
    </xdr:from>
    <xdr:to>
      <xdr:col>13</xdr:col>
      <xdr:colOff>504825</xdr:colOff>
      <xdr:row>8</xdr:row>
      <xdr:rowOff>0</xdr:rowOff>
    </xdr:to>
    <xdr:sp macro="" textlink="">
      <xdr:nvSpPr>
        <xdr:cNvPr id="217" name="Text Box 44"/>
        <xdr:cNvSpPr txBox="1">
          <a:spLocks noChangeArrowheads="1"/>
        </xdr:cNvSpPr>
      </xdr:nvSpPr>
      <xdr:spPr bwMode="auto">
        <a:xfrm>
          <a:off x="10753725" y="2000250"/>
          <a:ext cx="266700" cy="0"/>
        </a:xfrm>
        <a:prstGeom prst="rect">
          <a:avLst/>
        </a:prstGeom>
        <a:noFill/>
        <a:ln>
          <a:noFill/>
        </a:ln>
        <a:effectLst/>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lgn="ctr">
              <a:solidFill>
                <a:srgbClr val="000000"/>
              </a:solidFill>
              <a:miter lim="800000"/>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txBody>
        <a:bodyPr vertOverflow="clip" wrap="square" lIns="0" tIns="0" rIns="0" bIns="0" anchor="t" upright="1"/>
        <a:lstStyle/>
        <a:p>
          <a:pPr algn="l" rtl="0">
            <a:defRPr sz="1000"/>
          </a:pPr>
          <a:r>
            <a:rPr lang="zh-CN" altLang="en-US" sz="1100" b="0" i="0" u="none" strike="noStrike" baseline="0">
              <a:solidFill>
                <a:srgbClr val="000000"/>
              </a:solidFill>
              <a:latin typeface="宋体"/>
              <a:ea typeface="宋体"/>
            </a:rPr>
            <a:t>位置</a:t>
          </a:r>
        </a:p>
      </xdr:txBody>
    </xdr:sp>
    <xdr:clientData/>
  </xdr:twoCellAnchor>
  <xdr:twoCellAnchor>
    <xdr:from>
      <xdr:col>12</xdr:col>
      <xdr:colOff>619125</xdr:colOff>
      <xdr:row>8</xdr:row>
      <xdr:rowOff>0</xdr:rowOff>
    </xdr:from>
    <xdr:to>
      <xdr:col>12</xdr:col>
      <xdr:colOff>495300</xdr:colOff>
      <xdr:row>8</xdr:row>
      <xdr:rowOff>0</xdr:rowOff>
    </xdr:to>
    <xdr:sp macro="" textlink="">
      <xdr:nvSpPr>
        <xdr:cNvPr id="218" name="Text Box 47"/>
        <xdr:cNvSpPr txBox="1">
          <a:spLocks noChangeArrowheads="1"/>
        </xdr:cNvSpPr>
      </xdr:nvSpPr>
      <xdr:spPr bwMode="auto">
        <a:xfrm>
          <a:off x="10448925" y="2000250"/>
          <a:ext cx="0" cy="0"/>
        </a:xfrm>
        <a:prstGeom prst="rect">
          <a:avLst/>
        </a:prstGeom>
        <a:noFill/>
        <a:ln>
          <a:noFill/>
        </a:ln>
        <a:effectLst/>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lgn="ctr">
              <a:solidFill>
                <a:srgbClr val="000000"/>
              </a:solidFill>
              <a:miter lim="800000"/>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txBody>
        <a:bodyPr vertOverflow="clip" wrap="square" lIns="0" tIns="0" rIns="0" bIns="0" anchor="t" upright="1"/>
        <a:lstStyle/>
        <a:p>
          <a:pPr algn="l" rtl="0">
            <a:defRPr sz="1000"/>
          </a:pPr>
          <a:r>
            <a:rPr lang="zh-CN" altLang="en-US" sz="1000" b="0" i="0" u="none" strike="noStrike" baseline="0">
              <a:solidFill>
                <a:srgbClr val="000000"/>
              </a:solidFill>
              <a:latin typeface="宋体"/>
              <a:ea typeface="宋体"/>
            </a:rPr>
            <a:t>位置</a:t>
          </a:r>
        </a:p>
      </xdr:txBody>
    </xdr:sp>
    <xdr:clientData/>
  </xdr:twoCellAnchor>
  <xdr:twoCellAnchor>
    <xdr:from>
      <xdr:col>12</xdr:col>
      <xdr:colOff>19050</xdr:colOff>
      <xdr:row>8</xdr:row>
      <xdr:rowOff>0</xdr:rowOff>
    </xdr:from>
    <xdr:to>
      <xdr:col>13</xdr:col>
      <xdr:colOff>66675</xdr:colOff>
      <xdr:row>8</xdr:row>
      <xdr:rowOff>0</xdr:rowOff>
    </xdr:to>
    <xdr:sp macro="" textlink="">
      <xdr:nvSpPr>
        <xdr:cNvPr id="219" name="Text Box 48"/>
        <xdr:cNvSpPr txBox="1">
          <a:spLocks noChangeArrowheads="1"/>
        </xdr:cNvSpPr>
      </xdr:nvSpPr>
      <xdr:spPr bwMode="auto">
        <a:xfrm>
          <a:off x="9848850" y="2000250"/>
          <a:ext cx="733425" cy="0"/>
        </a:xfrm>
        <a:prstGeom prst="rect">
          <a:avLst/>
        </a:prstGeom>
        <a:noFill/>
        <a:ln>
          <a:noFill/>
        </a:ln>
        <a:effectLst/>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lgn="ctr">
              <a:solidFill>
                <a:srgbClr val="000000"/>
              </a:solidFill>
              <a:miter lim="800000"/>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txBody>
        <a:bodyPr vertOverflow="clip" wrap="square" lIns="0" tIns="0" rIns="0" bIns="0" anchor="t" upright="1"/>
        <a:lstStyle/>
        <a:p>
          <a:pPr algn="l" rtl="0">
            <a:defRPr sz="1000"/>
          </a:pPr>
          <a:r>
            <a:rPr lang="zh-CN" altLang="en-US" sz="1100" b="0" i="0" u="none" strike="noStrike" baseline="0">
              <a:solidFill>
                <a:srgbClr val="000000"/>
              </a:solidFill>
              <a:latin typeface="宋体"/>
              <a:ea typeface="宋体"/>
            </a:rPr>
            <a:t>测试点</a:t>
          </a:r>
        </a:p>
      </xdr:txBody>
    </xdr:sp>
    <xdr:clientData/>
  </xdr:twoCellAnchor>
  <xdr:twoCellAnchor>
    <xdr:from>
      <xdr:col>12</xdr:col>
      <xdr:colOff>257175</xdr:colOff>
      <xdr:row>8</xdr:row>
      <xdr:rowOff>0</xdr:rowOff>
    </xdr:from>
    <xdr:to>
      <xdr:col>13</xdr:col>
      <xdr:colOff>133350</xdr:colOff>
      <xdr:row>8</xdr:row>
      <xdr:rowOff>0</xdr:rowOff>
    </xdr:to>
    <xdr:sp macro="" textlink="">
      <xdr:nvSpPr>
        <xdr:cNvPr id="220" name="Text Box 49"/>
        <xdr:cNvSpPr txBox="1">
          <a:spLocks noChangeArrowheads="1"/>
        </xdr:cNvSpPr>
      </xdr:nvSpPr>
      <xdr:spPr bwMode="auto">
        <a:xfrm>
          <a:off x="10086975" y="2000250"/>
          <a:ext cx="561975" cy="0"/>
        </a:xfrm>
        <a:prstGeom prst="rect">
          <a:avLst/>
        </a:prstGeom>
        <a:noFill/>
        <a:ln>
          <a:noFill/>
        </a:ln>
        <a:effectLst/>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lgn="ctr">
              <a:solidFill>
                <a:srgbClr val="000000"/>
              </a:solidFill>
              <a:miter lim="800000"/>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txBody>
        <a:bodyPr vertOverflow="clip" wrap="square" lIns="0" tIns="0" rIns="0" bIns="0" anchor="t" upright="1"/>
        <a:lstStyle/>
        <a:p>
          <a:pPr algn="l" rtl="0">
            <a:defRPr sz="1000"/>
          </a:pPr>
          <a:r>
            <a:rPr lang="zh-CN" altLang="en-US" sz="1100" b="0" i="0" u="none" strike="noStrike" baseline="0">
              <a:solidFill>
                <a:srgbClr val="000000"/>
              </a:solidFill>
              <a:latin typeface="宋体"/>
              <a:ea typeface="宋体"/>
            </a:rPr>
            <a:t>距离离</a:t>
          </a:r>
        </a:p>
      </xdr:txBody>
    </xdr:sp>
    <xdr:clientData/>
  </xdr:twoCellAnchor>
  <xdr:twoCellAnchor>
    <xdr:from>
      <xdr:col>13</xdr:col>
      <xdr:colOff>238125</xdr:colOff>
      <xdr:row>8</xdr:row>
      <xdr:rowOff>0</xdr:rowOff>
    </xdr:from>
    <xdr:to>
      <xdr:col>13</xdr:col>
      <xdr:colOff>504825</xdr:colOff>
      <xdr:row>8</xdr:row>
      <xdr:rowOff>0</xdr:rowOff>
    </xdr:to>
    <xdr:sp macro="" textlink="">
      <xdr:nvSpPr>
        <xdr:cNvPr id="221" name="Text Box 50"/>
        <xdr:cNvSpPr txBox="1">
          <a:spLocks noChangeArrowheads="1"/>
        </xdr:cNvSpPr>
      </xdr:nvSpPr>
      <xdr:spPr bwMode="auto">
        <a:xfrm>
          <a:off x="10753725" y="2000250"/>
          <a:ext cx="266700" cy="0"/>
        </a:xfrm>
        <a:prstGeom prst="rect">
          <a:avLst/>
        </a:prstGeom>
        <a:noFill/>
        <a:ln>
          <a:noFill/>
        </a:ln>
        <a:effectLst/>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lgn="ctr">
              <a:solidFill>
                <a:srgbClr val="000000"/>
              </a:solidFill>
              <a:miter lim="800000"/>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txBody>
        <a:bodyPr vertOverflow="clip" wrap="square" lIns="0" tIns="0" rIns="0" bIns="0" anchor="t" upright="1"/>
        <a:lstStyle/>
        <a:p>
          <a:pPr algn="l" rtl="0">
            <a:defRPr sz="1000"/>
          </a:pPr>
          <a:r>
            <a:rPr lang="zh-CN" altLang="en-US" sz="1100" b="0" i="0" u="none" strike="noStrike" baseline="0">
              <a:solidFill>
                <a:srgbClr val="000000"/>
              </a:solidFill>
              <a:latin typeface="宋体"/>
              <a:ea typeface="宋体"/>
            </a:rPr>
            <a:t>位置</a:t>
          </a:r>
        </a:p>
      </xdr:txBody>
    </xdr:sp>
    <xdr:clientData/>
  </xdr:twoCellAnchor>
  <xdr:twoCellAnchor>
    <xdr:from>
      <xdr:col>12</xdr:col>
      <xdr:colOff>28575</xdr:colOff>
      <xdr:row>8</xdr:row>
      <xdr:rowOff>0</xdr:rowOff>
    </xdr:from>
    <xdr:to>
      <xdr:col>13</xdr:col>
      <xdr:colOff>85725</xdr:colOff>
      <xdr:row>8</xdr:row>
      <xdr:rowOff>0</xdr:rowOff>
    </xdr:to>
    <xdr:sp macro="" textlink="">
      <xdr:nvSpPr>
        <xdr:cNvPr id="390677" name="Line 51"/>
        <xdr:cNvSpPr>
          <a:spLocks noChangeShapeType="1"/>
        </xdr:cNvSpPr>
      </xdr:nvSpPr>
      <xdr:spPr bwMode="auto">
        <a:xfrm>
          <a:off x="9858375" y="2000250"/>
          <a:ext cx="74295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13</xdr:col>
      <xdr:colOff>28575</xdr:colOff>
      <xdr:row>8</xdr:row>
      <xdr:rowOff>0</xdr:rowOff>
    </xdr:from>
    <xdr:to>
      <xdr:col>14</xdr:col>
      <xdr:colOff>85725</xdr:colOff>
      <xdr:row>8</xdr:row>
      <xdr:rowOff>0</xdr:rowOff>
    </xdr:to>
    <xdr:sp macro="" textlink="">
      <xdr:nvSpPr>
        <xdr:cNvPr id="390678" name="Line 52"/>
        <xdr:cNvSpPr>
          <a:spLocks noChangeShapeType="1"/>
        </xdr:cNvSpPr>
      </xdr:nvSpPr>
      <xdr:spPr bwMode="auto">
        <a:xfrm>
          <a:off x="10544175" y="2000250"/>
          <a:ext cx="74295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13</xdr:col>
      <xdr:colOff>200025</xdr:colOff>
      <xdr:row>10</xdr:row>
      <xdr:rowOff>209550</xdr:rowOff>
    </xdr:from>
    <xdr:to>
      <xdr:col>14</xdr:col>
      <xdr:colOff>257175</xdr:colOff>
      <xdr:row>10</xdr:row>
      <xdr:rowOff>209550</xdr:rowOff>
    </xdr:to>
    <xdr:sp macro="" textlink="">
      <xdr:nvSpPr>
        <xdr:cNvPr id="390679" name="Line 53"/>
        <xdr:cNvSpPr>
          <a:spLocks noChangeShapeType="1"/>
        </xdr:cNvSpPr>
      </xdr:nvSpPr>
      <xdr:spPr bwMode="auto">
        <a:xfrm>
          <a:off x="10715625" y="2628900"/>
          <a:ext cx="74295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12</xdr:col>
      <xdr:colOff>266700</xdr:colOff>
      <xdr:row>8</xdr:row>
      <xdr:rowOff>0</xdr:rowOff>
    </xdr:from>
    <xdr:to>
      <xdr:col>13</xdr:col>
      <xdr:colOff>85725</xdr:colOff>
      <xdr:row>8</xdr:row>
      <xdr:rowOff>0</xdr:rowOff>
    </xdr:to>
    <xdr:sp macro="" textlink="">
      <xdr:nvSpPr>
        <xdr:cNvPr id="225" name="Text Box 54"/>
        <xdr:cNvSpPr txBox="1">
          <a:spLocks noChangeArrowheads="1"/>
        </xdr:cNvSpPr>
      </xdr:nvSpPr>
      <xdr:spPr bwMode="auto">
        <a:xfrm>
          <a:off x="10096500" y="2000250"/>
          <a:ext cx="504825" cy="0"/>
        </a:xfrm>
        <a:prstGeom prst="rect">
          <a:avLst/>
        </a:prstGeom>
        <a:noFill/>
        <a:ln>
          <a:noFill/>
        </a:ln>
        <a:effectLst/>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lgn="ctr">
              <a:solidFill>
                <a:srgbClr val="000000"/>
              </a:solidFill>
              <a:miter lim="800000"/>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txBody>
        <a:bodyPr vertOverflow="clip" wrap="square" lIns="0" tIns="0" rIns="0" bIns="0" anchor="t" upright="1"/>
        <a:lstStyle/>
        <a:p>
          <a:pPr algn="l" rtl="0">
            <a:defRPr sz="1000"/>
          </a:pPr>
          <a:r>
            <a:rPr lang="zh-CN" altLang="en-US" sz="1100" b="0" i="0" u="none" strike="noStrike" baseline="0">
              <a:solidFill>
                <a:srgbClr val="000000"/>
              </a:solidFill>
              <a:latin typeface="宋体"/>
              <a:ea typeface="宋体"/>
            </a:rPr>
            <a:t>距离离</a:t>
          </a:r>
        </a:p>
      </xdr:txBody>
    </xdr:sp>
    <xdr:clientData/>
  </xdr:twoCellAnchor>
  <xdr:twoCellAnchor>
    <xdr:from>
      <xdr:col>12</xdr:col>
      <xdr:colOff>123825</xdr:colOff>
      <xdr:row>8</xdr:row>
      <xdr:rowOff>0</xdr:rowOff>
    </xdr:from>
    <xdr:to>
      <xdr:col>12</xdr:col>
      <xdr:colOff>409575</xdr:colOff>
      <xdr:row>8</xdr:row>
      <xdr:rowOff>0</xdr:rowOff>
    </xdr:to>
    <xdr:sp macro="" textlink="">
      <xdr:nvSpPr>
        <xdr:cNvPr id="390681" name="Line 55"/>
        <xdr:cNvSpPr>
          <a:spLocks noChangeShapeType="1"/>
        </xdr:cNvSpPr>
      </xdr:nvSpPr>
      <xdr:spPr bwMode="auto">
        <a:xfrm>
          <a:off x="9953625" y="2000250"/>
          <a:ext cx="28575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14</xdr:col>
      <xdr:colOff>228600</xdr:colOff>
      <xdr:row>8</xdr:row>
      <xdr:rowOff>0</xdr:rowOff>
    </xdr:from>
    <xdr:to>
      <xdr:col>14</xdr:col>
      <xdr:colOff>228600</xdr:colOff>
      <xdr:row>8</xdr:row>
      <xdr:rowOff>0</xdr:rowOff>
    </xdr:to>
    <xdr:sp macro="" textlink="">
      <xdr:nvSpPr>
        <xdr:cNvPr id="390682" name="Line 58"/>
        <xdr:cNvSpPr>
          <a:spLocks noChangeShapeType="1"/>
        </xdr:cNvSpPr>
      </xdr:nvSpPr>
      <xdr:spPr bwMode="auto">
        <a:xfrm>
          <a:off x="11430000" y="2000250"/>
          <a:ext cx="0" cy="0"/>
        </a:xfrm>
        <a:prstGeom prst="line">
          <a:avLst/>
        </a:prstGeom>
        <a:noFill/>
        <a:ln w="3175">
          <a:solidFill>
            <a:srgbClr val="000000"/>
          </a:solidFill>
          <a:round/>
          <a:headEnd/>
          <a:tailEn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14</xdr:col>
      <xdr:colOff>247650</xdr:colOff>
      <xdr:row>8</xdr:row>
      <xdr:rowOff>0</xdr:rowOff>
    </xdr:from>
    <xdr:to>
      <xdr:col>15</xdr:col>
      <xdr:colOff>200025</xdr:colOff>
      <xdr:row>8</xdr:row>
      <xdr:rowOff>0</xdr:rowOff>
    </xdr:to>
    <xdr:sp macro="" textlink="">
      <xdr:nvSpPr>
        <xdr:cNvPr id="390683" name="Line 59"/>
        <xdr:cNvSpPr>
          <a:spLocks noChangeShapeType="1"/>
        </xdr:cNvSpPr>
      </xdr:nvSpPr>
      <xdr:spPr bwMode="auto">
        <a:xfrm>
          <a:off x="11449050" y="2000250"/>
          <a:ext cx="638175"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15</xdr:col>
      <xdr:colOff>0</xdr:colOff>
      <xdr:row>26</xdr:row>
      <xdr:rowOff>0</xdr:rowOff>
    </xdr:from>
    <xdr:to>
      <xdr:col>15</xdr:col>
      <xdr:colOff>0</xdr:colOff>
      <xdr:row>26</xdr:row>
      <xdr:rowOff>0</xdr:rowOff>
    </xdr:to>
    <xdr:sp macro="" textlink="">
      <xdr:nvSpPr>
        <xdr:cNvPr id="390684" name="Line 206"/>
        <xdr:cNvSpPr>
          <a:spLocks noChangeShapeType="1"/>
        </xdr:cNvSpPr>
      </xdr:nvSpPr>
      <xdr:spPr bwMode="auto">
        <a:xfrm>
          <a:off x="11887200" y="5495925"/>
          <a:ext cx="0" cy="0"/>
        </a:xfrm>
        <a:prstGeom prst="line">
          <a:avLst/>
        </a:prstGeom>
        <a:noFill/>
        <a:ln w="9525">
          <a:solidFill>
            <a:srgbClr val="000000"/>
          </a:solidFill>
          <a:round/>
          <a:headEnd/>
          <a:tailEn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15</xdr:col>
      <xdr:colOff>0</xdr:colOff>
      <xdr:row>26</xdr:row>
      <xdr:rowOff>0</xdr:rowOff>
    </xdr:from>
    <xdr:to>
      <xdr:col>15</xdr:col>
      <xdr:colOff>0</xdr:colOff>
      <xdr:row>26</xdr:row>
      <xdr:rowOff>0</xdr:rowOff>
    </xdr:to>
    <xdr:sp macro="" textlink="">
      <xdr:nvSpPr>
        <xdr:cNvPr id="390685" name="Line 207"/>
        <xdr:cNvSpPr>
          <a:spLocks noChangeShapeType="1"/>
        </xdr:cNvSpPr>
      </xdr:nvSpPr>
      <xdr:spPr bwMode="auto">
        <a:xfrm>
          <a:off x="11887200" y="5495925"/>
          <a:ext cx="0" cy="0"/>
        </a:xfrm>
        <a:prstGeom prst="line">
          <a:avLst/>
        </a:prstGeom>
        <a:noFill/>
        <a:ln w="9525">
          <a:solidFill>
            <a:srgbClr val="000000"/>
          </a:solidFill>
          <a:round/>
          <a:headEnd/>
          <a:tailEn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15</xdr:col>
      <xdr:colOff>0</xdr:colOff>
      <xdr:row>26</xdr:row>
      <xdr:rowOff>0</xdr:rowOff>
    </xdr:from>
    <xdr:to>
      <xdr:col>15</xdr:col>
      <xdr:colOff>0</xdr:colOff>
      <xdr:row>26</xdr:row>
      <xdr:rowOff>0</xdr:rowOff>
    </xdr:to>
    <xdr:sp macro="" textlink="">
      <xdr:nvSpPr>
        <xdr:cNvPr id="390686" name="Line 209"/>
        <xdr:cNvSpPr>
          <a:spLocks noChangeShapeType="1"/>
        </xdr:cNvSpPr>
      </xdr:nvSpPr>
      <xdr:spPr bwMode="auto">
        <a:xfrm>
          <a:off x="11887200" y="5495925"/>
          <a:ext cx="0" cy="0"/>
        </a:xfrm>
        <a:prstGeom prst="line">
          <a:avLst/>
        </a:prstGeom>
        <a:noFill/>
        <a:ln w="9525">
          <a:solidFill>
            <a:srgbClr val="000000"/>
          </a:solidFill>
          <a:round/>
          <a:headEnd/>
          <a:tailEn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15</xdr:col>
      <xdr:colOff>0</xdr:colOff>
      <xdr:row>26</xdr:row>
      <xdr:rowOff>0</xdr:rowOff>
    </xdr:from>
    <xdr:to>
      <xdr:col>15</xdr:col>
      <xdr:colOff>0</xdr:colOff>
      <xdr:row>26</xdr:row>
      <xdr:rowOff>0</xdr:rowOff>
    </xdr:to>
    <xdr:sp macro="" textlink="">
      <xdr:nvSpPr>
        <xdr:cNvPr id="390687" name="Line 213"/>
        <xdr:cNvSpPr>
          <a:spLocks noChangeShapeType="1"/>
        </xdr:cNvSpPr>
      </xdr:nvSpPr>
      <xdr:spPr bwMode="auto">
        <a:xfrm>
          <a:off x="11887200" y="5495925"/>
          <a:ext cx="0" cy="0"/>
        </a:xfrm>
        <a:prstGeom prst="line">
          <a:avLst/>
        </a:prstGeom>
        <a:noFill/>
        <a:ln w="9525">
          <a:solidFill>
            <a:srgbClr val="000000"/>
          </a:solidFill>
          <a:round/>
          <a:headEnd type="triangle" w="med" len="med"/>
          <a:tailEn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15</xdr:col>
      <xdr:colOff>0</xdr:colOff>
      <xdr:row>26</xdr:row>
      <xdr:rowOff>0</xdr:rowOff>
    </xdr:from>
    <xdr:to>
      <xdr:col>15</xdr:col>
      <xdr:colOff>0</xdr:colOff>
      <xdr:row>26</xdr:row>
      <xdr:rowOff>0</xdr:rowOff>
    </xdr:to>
    <xdr:sp macro="" textlink="">
      <xdr:nvSpPr>
        <xdr:cNvPr id="390688" name="Line 217"/>
        <xdr:cNvSpPr>
          <a:spLocks noChangeShapeType="1"/>
        </xdr:cNvSpPr>
      </xdr:nvSpPr>
      <xdr:spPr bwMode="auto">
        <a:xfrm flipH="1">
          <a:off x="11887200" y="5495925"/>
          <a:ext cx="0" cy="0"/>
        </a:xfrm>
        <a:prstGeom prst="line">
          <a:avLst/>
        </a:prstGeom>
        <a:noFill/>
        <a:ln w="9525">
          <a:solidFill>
            <a:srgbClr val="000000"/>
          </a:solidFill>
          <a:round/>
          <a:headEnd type="triangle" w="med" len="med"/>
          <a:tailEnd type="triangle" w="med" len="me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12</xdr:col>
      <xdr:colOff>447675</xdr:colOff>
      <xdr:row>26</xdr:row>
      <xdr:rowOff>0</xdr:rowOff>
    </xdr:from>
    <xdr:to>
      <xdr:col>12</xdr:col>
      <xdr:colOff>447675</xdr:colOff>
      <xdr:row>26</xdr:row>
      <xdr:rowOff>0</xdr:rowOff>
    </xdr:to>
    <xdr:sp macro="" textlink="">
      <xdr:nvSpPr>
        <xdr:cNvPr id="390689" name="Line 218"/>
        <xdr:cNvSpPr>
          <a:spLocks noChangeShapeType="1"/>
        </xdr:cNvSpPr>
      </xdr:nvSpPr>
      <xdr:spPr bwMode="auto">
        <a:xfrm>
          <a:off x="10277475" y="5495925"/>
          <a:ext cx="0" cy="0"/>
        </a:xfrm>
        <a:prstGeom prst="line">
          <a:avLst/>
        </a:prstGeom>
        <a:noFill/>
        <a:ln w="9525">
          <a:solidFill>
            <a:srgbClr val="000000"/>
          </a:solidFill>
          <a:round/>
          <a:headEnd/>
          <a:tailEn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11</xdr:col>
      <xdr:colOff>228600</xdr:colOff>
      <xdr:row>26</xdr:row>
      <xdr:rowOff>0</xdr:rowOff>
    </xdr:from>
    <xdr:to>
      <xdr:col>11</xdr:col>
      <xdr:colOff>228600</xdr:colOff>
      <xdr:row>26</xdr:row>
      <xdr:rowOff>0</xdr:rowOff>
    </xdr:to>
    <xdr:sp macro="" textlink="">
      <xdr:nvSpPr>
        <xdr:cNvPr id="390690" name="Line 220"/>
        <xdr:cNvSpPr>
          <a:spLocks noChangeShapeType="1"/>
        </xdr:cNvSpPr>
      </xdr:nvSpPr>
      <xdr:spPr bwMode="auto">
        <a:xfrm flipH="1">
          <a:off x="9372600" y="5495925"/>
          <a:ext cx="0" cy="0"/>
        </a:xfrm>
        <a:prstGeom prst="line">
          <a:avLst/>
        </a:prstGeom>
        <a:noFill/>
        <a:ln w="9525">
          <a:solidFill>
            <a:srgbClr val="000000"/>
          </a:solidFill>
          <a:round/>
          <a:headEnd/>
          <a:tailEn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15</xdr:col>
      <xdr:colOff>0</xdr:colOff>
      <xdr:row>26</xdr:row>
      <xdr:rowOff>0</xdr:rowOff>
    </xdr:from>
    <xdr:to>
      <xdr:col>15</xdr:col>
      <xdr:colOff>0</xdr:colOff>
      <xdr:row>26</xdr:row>
      <xdr:rowOff>0</xdr:rowOff>
    </xdr:to>
    <xdr:sp macro="" textlink="">
      <xdr:nvSpPr>
        <xdr:cNvPr id="390691" name="Line 259"/>
        <xdr:cNvSpPr>
          <a:spLocks noChangeShapeType="1"/>
        </xdr:cNvSpPr>
      </xdr:nvSpPr>
      <xdr:spPr bwMode="auto">
        <a:xfrm flipH="1">
          <a:off x="11887200" y="5495925"/>
          <a:ext cx="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15</xdr:col>
      <xdr:colOff>0</xdr:colOff>
      <xdr:row>26</xdr:row>
      <xdr:rowOff>0</xdr:rowOff>
    </xdr:from>
    <xdr:to>
      <xdr:col>15</xdr:col>
      <xdr:colOff>0</xdr:colOff>
      <xdr:row>26</xdr:row>
      <xdr:rowOff>0</xdr:rowOff>
    </xdr:to>
    <xdr:sp macro="" textlink="">
      <xdr:nvSpPr>
        <xdr:cNvPr id="390692" name="Line 279"/>
        <xdr:cNvSpPr>
          <a:spLocks noChangeShapeType="1"/>
        </xdr:cNvSpPr>
      </xdr:nvSpPr>
      <xdr:spPr bwMode="auto">
        <a:xfrm>
          <a:off x="11887200" y="5495925"/>
          <a:ext cx="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15</xdr:col>
      <xdr:colOff>0</xdr:colOff>
      <xdr:row>26</xdr:row>
      <xdr:rowOff>0</xdr:rowOff>
    </xdr:from>
    <xdr:to>
      <xdr:col>15</xdr:col>
      <xdr:colOff>0</xdr:colOff>
      <xdr:row>26</xdr:row>
      <xdr:rowOff>0</xdr:rowOff>
    </xdr:to>
    <xdr:sp macro="" textlink="">
      <xdr:nvSpPr>
        <xdr:cNvPr id="390693" name="Line 280"/>
        <xdr:cNvSpPr>
          <a:spLocks noChangeShapeType="1"/>
        </xdr:cNvSpPr>
      </xdr:nvSpPr>
      <xdr:spPr bwMode="auto">
        <a:xfrm>
          <a:off x="11887200" y="5495925"/>
          <a:ext cx="0" cy="0"/>
        </a:xfrm>
        <a:prstGeom prst="line">
          <a:avLst/>
        </a:prstGeom>
        <a:noFill/>
        <a:ln w="3175">
          <a:solidFill>
            <a:srgbClr val="000000"/>
          </a:solidFill>
          <a:round/>
          <a:headEnd/>
          <a:tailEn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15</xdr:col>
      <xdr:colOff>0</xdr:colOff>
      <xdr:row>26</xdr:row>
      <xdr:rowOff>0</xdr:rowOff>
    </xdr:from>
    <xdr:to>
      <xdr:col>15</xdr:col>
      <xdr:colOff>0</xdr:colOff>
      <xdr:row>26</xdr:row>
      <xdr:rowOff>0</xdr:rowOff>
    </xdr:to>
    <xdr:sp macro="" textlink="">
      <xdr:nvSpPr>
        <xdr:cNvPr id="390694" name="Line 282"/>
        <xdr:cNvSpPr>
          <a:spLocks noChangeShapeType="1"/>
        </xdr:cNvSpPr>
      </xdr:nvSpPr>
      <xdr:spPr bwMode="auto">
        <a:xfrm>
          <a:off x="11887200" y="5495925"/>
          <a:ext cx="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type="triangle" w="med" len="med"/>
              <a:tailEnd type="triangle" w="med" len="me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15</xdr:col>
      <xdr:colOff>0</xdr:colOff>
      <xdr:row>26</xdr:row>
      <xdr:rowOff>0</xdr:rowOff>
    </xdr:from>
    <xdr:to>
      <xdr:col>15</xdr:col>
      <xdr:colOff>0</xdr:colOff>
      <xdr:row>26</xdr:row>
      <xdr:rowOff>0</xdr:rowOff>
    </xdr:to>
    <xdr:sp macro="" textlink="">
      <xdr:nvSpPr>
        <xdr:cNvPr id="390695" name="Line 284"/>
        <xdr:cNvSpPr>
          <a:spLocks noChangeShapeType="1"/>
        </xdr:cNvSpPr>
      </xdr:nvSpPr>
      <xdr:spPr bwMode="auto">
        <a:xfrm flipH="1">
          <a:off x="11887200" y="5495925"/>
          <a:ext cx="0" cy="0"/>
        </a:xfrm>
        <a:prstGeom prst="line">
          <a:avLst/>
        </a:prstGeom>
        <a:noFill/>
        <a:ln w="3175">
          <a:solidFill>
            <a:srgbClr val="000000"/>
          </a:solidFill>
          <a:round/>
          <a:headEnd type="triangle" w="med" len="med"/>
          <a:tailEnd type="triangle" w="med" len="me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15</xdr:col>
      <xdr:colOff>0</xdr:colOff>
      <xdr:row>26</xdr:row>
      <xdr:rowOff>0</xdr:rowOff>
    </xdr:from>
    <xdr:to>
      <xdr:col>15</xdr:col>
      <xdr:colOff>0</xdr:colOff>
      <xdr:row>26</xdr:row>
      <xdr:rowOff>0</xdr:rowOff>
    </xdr:to>
    <xdr:sp macro="" textlink="">
      <xdr:nvSpPr>
        <xdr:cNvPr id="390696" name="Line 285"/>
        <xdr:cNvSpPr>
          <a:spLocks noChangeShapeType="1"/>
        </xdr:cNvSpPr>
      </xdr:nvSpPr>
      <xdr:spPr bwMode="auto">
        <a:xfrm>
          <a:off x="11887200" y="5495925"/>
          <a:ext cx="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15</xdr:col>
      <xdr:colOff>0</xdr:colOff>
      <xdr:row>26</xdr:row>
      <xdr:rowOff>0</xdr:rowOff>
    </xdr:from>
    <xdr:to>
      <xdr:col>15</xdr:col>
      <xdr:colOff>0</xdr:colOff>
      <xdr:row>26</xdr:row>
      <xdr:rowOff>0</xdr:rowOff>
    </xdr:to>
    <xdr:sp macro="" textlink="">
      <xdr:nvSpPr>
        <xdr:cNvPr id="390697" name="Line 286"/>
        <xdr:cNvSpPr>
          <a:spLocks noChangeShapeType="1"/>
        </xdr:cNvSpPr>
      </xdr:nvSpPr>
      <xdr:spPr bwMode="auto">
        <a:xfrm>
          <a:off x="11887200" y="5495925"/>
          <a:ext cx="0" cy="0"/>
        </a:xfrm>
        <a:prstGeom prst="line">
          <a:avLst/>
        </a:prstGeom>
        <a:noFill/>
        <a:ln w="3175">
          <a:solidFill>
            <a:srgbClr val="000000"/>
          </a:solidFill>
          <a:round/>
          <a:headEnd/>
          <a:tailEn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15</xdr:col>
      <xdr:colOff>0</xdr:colOff>
      <xdr:row>26</xdr:row>
      <xdr:rowOff>0</xdr:rowOff>
    </xdr:from>
    <xdr:to>
      <xdr:col>15</xdr:col>
      <xdr:colOff>0</xdr:colOff>
      <xdr:row>26</xdr:row>
      <xdr:rowOff>0</xdr:rowOff>
    </xdr:to>
    <xdr:sp macro="" textlink="">
      <xdr:nvSpPr>
        <xdr:cNvPr id="390698" name="Line 287"/>
        <xdr:cNvSpPr>
          <a:spLocks noChangeShapeType="1"/>
        </xdr:cNvSpPr>
      </xdr:nvSpPr>
      <xdr:spPr bwMode="auto">
        <a:xfrm>
          <a:off x="11887200" y="5495925"/>
          <a:ext cx="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15</xdr:col>
      <xdr:colOff>0</xdr:colOff>
      <xdr:row>26</xdr:row>
      <xdr:rowOff>0</xdr:rowOff>
    </xdr:from>
    <xdr:to>
      <xdr:col>15</xdr:col>
      <xdr:colOff>0</xdr:colOff>
      <xdr:row>26</xdr:row>
      <xdr:rowOff>0</xdr:rowOff>
    </xdr:to>
    <xdr:sp macro="" textlink="">
      <xdr:nvSpPr>
        <xdr:cNvPr id="390699" name="Line 288"/>
        <xdr:cNvSpPr>
          <a:spLocks noChangeShapeType="1"/>
        </xdr:cNvSpPr>
      </xdr:nvSpPr>
      <xdr:spPr bwMode="auto">
        <a:xfrm>
          <a:off x="11887200" y="5495925"/>
          <a:ext cx="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15</xdr:col>
      <xdr:colOff>0</xdr:colOff>
      <xdr:row>26</xdr:row>
      <xdr:rowOff>0</xdr:rowOff>
    </xdr:from>
    <xdr:to>
      <xdr:col>15</xdr:col>
      <xdr:colOff>9525</xdr:colOff>
      <xdr:row>26</xdr:row>
      <xdr:rowOff>0</xdr:rowOff>
    </xdr:to>
    <xdr:sp macro="" textlink="">
      <xdr:nvSpPr>
        <xdr:cNvPr id="390700" name="Line 290"/>
        <xdr:cNvSpPr>
          <a:spLocks noChangeShapeType="1"/>
        </xdr:cNvSpPr>
      </xdr:nvSpPr>
      <xdr:spPr bwMode="auto">
        <a:xfrm>
          <a:off x="11887200" y="5495925"/>
          <a:ext cx="9525"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15</xdr:col>
      <xdr:colOff>0</xdr:colOff>
      <xdr:row>26</xdr:row>
      <xdr:rowOff>0</xdr:rowOff>
    </xdr:from>
    <xdr:to>
      <xdr:col>15</xdr:col>
      <xdr:colOff>0</xdr:colOff>
      <xdr:row>26</xdr:row>
      <xdr:rowOff>0</xdr:rowOff>
    </xdr:to>
    <xdr:sp macro="" textlink="">
      <xdr:nvSpPr>
        <xdr:cNvPr id="390701" name="Line 292"/>
        <xdr:cNvSpPr>
          <a:spLocks noChangeShapeType="1"/>
        </xdr:cNvSpPr>
      </xdr:nvSpPr>
      <xdr:spPr bwMode="auto">
        <a:xfrm>
          <a:off x="11887200" y="5495925"/>
          <a:ext cx="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type="triangle" w="med" len="med"/>
              <a:tailEnd type="triangle" w="med" len="me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15</xdr:col>
      <xdr:colOff>0</xdr:colOff>
      <xdr:row>26</xdr:row>
      <xdr:rowOff>0</xdr:rowOff>
    </xdr:from>
    <xdr:to>
      <xdr:col>15</xdr:col>
      <xdr:colOff>0</xdr:colOff>
      <xdr:row>26</xdr:row>
      <xdr:rowOff>0</xdr:rowOff>
    </xdr:to>
    <xdr:sp macro="" textlink="">
      <xdr:nvSpPr>
        <xdr:cNvPr id="390702" name="Line 293"/>
        <xdr:cNvSpPr>
          <a:spLocks noChangeShapeType="1"/>
        </xdr:cNvSpPr>
      </xdr:nvSpPr>
      <xdr:spPr bwMode="auto">
        <a:xfrm>
          <a:off x="11887200" y="5495925"/>
          <a:ext cx="0" cy="0"/>
        </a:xfrm>
        <a:prstGeom prst="line">
          <a:avLst/>
        </a:prstGeom>
        <a:noFill/>
        <a:ln w="3175">
          <a:solidFill>
            <a:srgbClr val="000000"/>
          </a:solidFill>
          <a:round/>
          <a:headEnd type="triangle" w="med" len="med"/>
          <a:tailEnd type="triangle" w="med" len="me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15</xdr:col>
      <xdr:colOff>0</xdr:colOff>
      <xdr:row>26</xdr:row>
      <xdr:rowOff>0</xdr:rowOff>
    </xdr:from>
    <xdr:to>
      <xdr:col>15</xdr:col>
      <xdr:colOff>0</xdr:colOff>
      <xdr:row>26</xdr:row>
      <xdr:rowOff>0</xdr:rowOff>
    </xdr:to>
    <xdr:sp macro="" textlink="">
      <xdr:nvSpPr>
        <xdr:cNvPr id="390703" name="Line 294"/>
        <xdr:cNvSpPr>
          <a:spLocks noChangeShapeType="1"/>
        </xdr:cNvSpPr>
      </xdr:nvSpPr>
      <xdr:spPr bwMode="auto">
        <a:xfrm>
          <a:off x="11887200" y="5495925"/>
          <a:ext cx="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15</xdr:col>
      <xdr:colOff>0</xdr:colOff>
      <xdr:row>26</xdr:row>
      <xdr:rowOff>0</xdr:rowOff>
    </xdr:from>
    <xdr:to>
      <xdr:col>15</xdr:col>
      <xdr:colOff>0</xdr:colOff>
      <xdr:row>26</xdr:row>
      <xdr:rowOff>0</xdr:rowOff>
    </xdr:to>
    <xdr:sp macro="" textlink="">
      <xdr:nvSpPr>
        <xdr:cNvPr id="390704" name="Line 295"/>
        <xdr:cNvSpPr>
          <a:spLocks noChangeShapeType="1"/>
        </xdr:cNvSpPr>
      </xdr:nvSpPr>
      <xdr:spPr bwMode="auto">
        <a:xfrm>
          <a:off x="11887200" y="5495925"/>
          <a:ext cx="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15</xdr:col>
      <xdr:colOff>0</xdr:colOff>
      <xdr:row>26</xdr:row>
      <xdr:rowOff>0</xdr:rowOff>
    </xdr:from>
    <xdr:to>
      <xdr:col>15</xdr:col>
      <xdr:colOff>0</xdr:colOff>
      <xdr:row>26</xdr:row>
      <xdr:rowOff>0</xdr:rowOff>
    </xdr:to>
    <xdr:sp macro="" textlink="">
      <xdr:nvSpPr>
        <xdr:cNvPr id="390705" name="Line 296"/>
        <xdr:cNvSpPr>
          <a:spLocks noChangeShapeType="1"/>
        </xdr:cNvSpPr>
      </xdr:nvSpPr>
      <xdr:spPr bwMode="auto">
        <a:xfrm>
          <a:off x="11887200" y="5495925"/>
          <a:ext cx="0" cy="0"/>
        </a:xfrm>
        <a:prstGeom prst="line">
          <a:avLst/>
        </a:prstGeom>
        <a:noFill/>
        <a:ln w="3175">
          <a:solidFill>
            <a:srgbClr val="000000"/>
          </a:solidFill>
          <a:round/>
          <a:headEnd/>
          <a:tailEn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15</xdr:col>
      <xdr:colOff>0</xdr:colOff>
      <xdr:row>26</xdr:row>
      <xdr:rowOff>0</xdr:rowOff>
    </xdr:from>
    <xdr:to>
      <xdr:col>15</xdr:col>
      <xdr:colOff>0</xdr:colOff>
      <xdr:row>26</xdr:row>
      <xdr:rowOff>0</xdr:rowOff>
    </xdr:to>
    <xdr:sp macro="" textlink="">
      <xdr:nvSpPr>
        <xdr:cNvPr id="390706" name="Line 297"/>
        <xdr:cNvSpPr>
          <a:spLocks noChangeShapeType="1"/>
        </xdr:cNvSpPr>
      </xdr:nvSpPr>
      <xdr:spPr bwMode="auto">
        <a:xfrm>
          <a:off x="11887200" y="5495925"/>
          <a:ext cx="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15</xdr:col>
      <xdr:colOff>0</xdr:colOff>
      <xdr:row>26</xdr:row>
      <xdr:rowOff>0</xdr:rowOff>
    </xdr:from>
    <xdr:to>
      <xdr:col>15</xdr:col>
      <xdr:colOff>0</xdr:colOff>
      <xdr:row>26</xdr:row>
      <xdr:rowOff>0</xdr:rowOff>
    </xdr:to>
    <xdr:sp macro="" textlink="">
      <xdr:nvSpPr>
        <xdr:cNvPr id="390707" name="Line 298"/>
        <xdr:cNvSpPr>
          <a:spLocks noChangeShapeType="1"/>
        </xdr:cNvSpPr>
      </xdr:nvSpPr>
      <xdr:spPr bwMode="auto">
        <a:xfrm>
          <a:off x="11887200" y="5495925"/>
          <a:ext cx="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15</xdr:col>
      <xdr:colOff>0</xdr:colOff>
      <xdr:row>26</xdr:row>
      <xdr:rowOff>0</xdr:rowOff>
    </xdr:from>
    <xdr:to>
      <xdr:col>15</xdr:col>
      <xdr:colOff>0</xdr:colOff>
      <xdr:row>26</xdr:row>
      <xdr:rowOff>0</xdr:rowOff>
    </xdr:to>
    <xdr:sp macro="" textlink="">
      <xdr:nvSpPr>
        <xdr:cNvPr id="390708" name="Line 299"/>
        <xdr:cNvSpPr>
          <a:spLocks noChangeShapeType="1"/>
        </xdr:cNvSpPr>
      </xdr:nvSpPr>
      <xdr:spPr bwMode="auto">
        <a:xfrm>
          <a:off x="11887200" y="5495925"/>
          <a:ext cx="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15</xdr:col>
      <xdr:colOff>0</xdr:colOff>
      <xdr:row>26</xdr:row>
      <xdr:rowOff>0</xdr:rowOff>
    </xdr:from>
    <xdr:to>
      <xdr:col>15</xdr:col>
      <xdr:colOff>0</xdr:colOff>
      <xdr:row>26</xdr:row>
      <xdr:rowOff>0</xdr:rowOff>
    </xdr:to>
    <xdr:sp macro="" textlink="">
      <xdr:nvSpPr>
        <xdr:cNvPr id="390709" name="Line 301"/>
        <xdr:cNvSpPr>
          <a:spLocks noChangeShapeType="1"/>
        </xdr:cNvSpPr>
      </xdr:nvSpPr>
      <xdr:spPr bwMode="auto">
        <a:xfrm>
          <a:off x="11887200" y="5495925"/>
          <a:ext cx="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15</xdr:col>
      <xdr:colOff>0</xdr:colOff>
      <xdr:row>26</xdr:row>
      <xdr:rowOff>0</xdr:rowOff>
    </xdr:from>
    <xdr:to>
      <xdr:col>15</xdr:col>
      <xdr:colOff>0</xdr:colOff>
      <xdr:row>26</xdr:row>
      <xdr:rowOff>0</xdr:rowOff>
    </xdr:to>
    <xdr:sp macro="" textlink="">
      <xdr:nvSpPr>
        <xdr:cNvPr id="390710" name="Line 302"/>
        <xdr:cNvSpPr>
          <a:spLocks noChangeShapeType="1"/>
        </xdr:cNvSpPr>
      </xdr:nvSpPr>
      <xdr:spPr bwMode="auto">
        <a:xfrm flipV="1">
          <a:off x="11887200" y="5495925"/>
          <a:ext cx="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15</xdr:col>
      <xdr:colOff>0</xdr:colOff>
      <xdr:row>26</xdr:row>
      <xdr:rowOff>0</xdr:rowOff>
    </xdr:from>
    <xdr:to>
      <xdr:col>15</xdr:col>
      <xdr:colOff>0</xdr:colOff>
      <xdr:row>26</xdr:row>
      <xdr:rowOff>0</xdr:rowOff>
    </xdr:to>
    <xdr:sp macro="" textlink="">
      <xdr:nvSpPr>
        <xdr:cNvPr id="390711" name="Line 303"/>
        <xdr:cNvSpPr>
          <a:spLocks noChangeShapeType="1"/>
        </xdr:cNvSpPr>
      </xdr:nvSpPr>
      <xdr:spPr bwMode="auto">
        <a:xfrm flipV="1">
          <a:off x="11887200" y="5495925"/>
          <a:ext cx="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15</xdr:col>
      <xdr:colOff>0</xdr:colOff>
      <xdr:row>26</xdr:row>
      <xdr:rowOff>0</xdr:rowOff>
    </xdr:from>
    <xdr:to>
      <xdr:col>15</xdr:col>
      <xdr:colOff>0</xdr:colOff>
      <xdr:row>26</xdr:row>
      <xdr:rowOff>0</xdr:rowOff>
    </xdr:to>
    <xdr:sp macro="" textlink="">
      <xdr:nvSpPr>
        <xdr:cNvPr id="390712" name="Line 304"/>
        <xdr:cNvSpPr>
          <a:spLocks noChangeShapeType="1"/>
        </xdr:cNvSpPr>
      </xdr:nvSpPr>
      <xdr:spPr bwMode="auto">
        <a:xfrm>
          <a:off x="11887200" y="5495925"/>
          <a:ext cx="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15</xdr:col>
      <xdr:colOff>0</xdr:colOff>
      <xdr:row>26</xdr:row>
      <xdr:rowOff>0</xdr:rowOff>
    </xdr:from>
    <xdr:to>
      <xdr:col>15</xdr:col>
      <xdr:colOff>0</xdr:colOff>
      <xdr:row>26</xdr:row>
      <xdr:rowOff>0</xdr:rowOff>
    </xdr:to>
    <xdr:sp macro="" textlink="">
      <xdr:nvSpPr>
        <xdr:cNvPr id="390713" name="Line 305"/>
        <xdr:cNvSpPr>
          <a:spLocks noChangeShapeType="1"/>
        </xdr:cNvSpPr>
      </xdr:nvSpPr>
      <xdr:spPr bwMode="auto">
        <a:xfrm>
          <a:off x="11887200" y="5495925"/>
          <a:ext cx="0" cy="0"/>
        </a:xfrm>
        <a:prstGeom prst="line">
          <a:avLst/>
        </a:prstGeom>
        <a:noFill/>
        <a:ln w="3175">
          <a:solidFill>
            <a:srgbClr val="000000"/>
          </a:solidFill>
          <a:round/>
          <a:headEnd/>
          <a:tailEn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15</xdr:col>
      <xdr:colOff>0</xdr:colOff>
      <xdr:row>26</xdr:row>
      <xdr:rowOff>0</xdr:rowOff>
    </xdr:from>
    <xdr:to>
      <xdr:col>15</xdr:col>
      <xdr:colOff>0</xdr:colOff>
      <xdr:row>26</xdr:row>
      <xdr:rowOff>0</xdr:rowOff>
    </xdr:to>
    <xdr:sp macro="" textlink="">
      <xdr:nvSpPr>
        <xdr:cNvPr id="390714" name="Line 306"/>
        <xdr:cNvSpPr>
          <a:spLocks noChangeShapeType="1"/>
        </xdr:cNvSpPr>
      </xdr:nvSpPr>
      <xdr:spPr bwMode="auto">
        <a:xfrm>
          <a:off x="11887200" y="5495925"/>
          <a:ext cx="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15</xdr:col>
      <xdr:colOff>0</xdr:colOff>
      <xdr:row>26</xdr:row>
      <xdr:rowOff>0</xdr:rowOff>
    </xdr:from>
    <xdr:to>
      <xdr:col>15</xdr:col>
      <xdr:colOff>0</xdr:colOff>
      <xdr:row>26</xdr:row>
      <xdr:rowOff>0</xdr:rowOff>
    </xdr:to>
    <xdr:sp macro="" textlink="">
      <xdr:nvSpPr>
        <xdr:cNvPr id="390715" name="Line 307"/>
        <xdr:cNvSpPr>
          <a:spLocks noChangeShapeType="1"/>
        </xdr:cNvSpPr>
      </xdr:nvSpPr>
      <xdr:spPr bwMode="auto">
        <a:xfrm>
          <a:off x="11887200" y="5495925"/>
          <a:ext cx="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15</xdr:col>
      <xdr:colOff>0</xdr:colOff>
      <xdr:row>26</xdr:row>
      <xdr:rowOff>0</xdr:rowOff>
    </xdr:from>
    <xdr:to>
      <xdr:col>15</xdr:col>
      <xdr:colOff>0</xdr:colOff>
      <xdr:row>26</xdr:row>
      <xdr:rowOff>0</xdr:rowOff>
    </xdr:to>
    <xdr:sp macro="" textlink="">
      <xdr:nvSpPr>
        <xdr:cNvPr id="390716" name="Line 308"/>
        <xdr:cNvSpPr>
          <a:spLocks noChangeShapeType="1"/>
        </xdr:cNvSpPr>
      </xdr:nvSpPr>
      <xdr:spPr bwMode="auto">
        <a:xfrm>
          <a:off x="11887200" y="5495925"/>
          <a:ext cx="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15</xdr:col>
      <xdr:colOff>0</xdr:colOff>
      <xdr:row>26</xdr:row>
      <xdr:rowOff>0</xdr:rowOff>
    </xdr:from>
    <xdr:to>
      <xdr:col>15</xdr:col>
      <xdr:colOff>0</xdr:colOff>
      <xdr:row>26</xdr:row>
      <xdr:rowOff>0</xdr:rowOff>
    </xdr:to>
    <xdr:sp macro="" textlink="">
      <xdr:nvSpPr>
        <xdr:cNvPr id="390717" name="Line 310"/>
        <xdr:cNvSpPr>
          <a:spLocks noChangeShapeType="1"/>
        </xdr:cNvSpPr>
      </xdr:nvSpPr>
      <xdr:spPr bwMode="auto">
        <a:xfrm>
          <a:off x="11887200" y="5495925"/>
          <a:ext cx="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15</xdr:col>
      <xdr:colOff>0</xdr:colOff>
      <xdr:row>26</xdr:row>
      <xdr:rowOff>0</xdr:rowOff>
    </xdr:from>
    <xdr:to>
      <xdr:col>15</xdr:col>
      <xdr:colOff>0</xdr:colOff>
      <xdr:row>26</xdr:row>
      <xdr:rowOff>0</xdr:rowOff>
    </xdr:to>
    <xdr:sp macro="" textlink="">
      <xdr:nvSpPr>
        <xdr:cNvPr id="390718" name="Line 311"/>
        <xdr:cNvSpPr>
          <a:spLocks noChangeShapeType="1"/>
        </xdr:cNvSpPr>
      </xdr:nvSpPr>
      <xdr:spPr bwMode="auto">
        <a:xfrm>
          <a:off x="11887200" y="5495925"/>
          <a:ext cx="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15</xdr:col>
      <xdr:colOff>0</xdr:colOff>
      <xdr:row>26</xdr:row>
      <xdr:rowOff>0</xdr:rowOff>
    </xdr:from>
    <xdr:to>
      <xdr:col>15</xdr:col>
      <xdr:colOff>0</xdr:colOff>
      <xdr:row>26</xdr:row>
      <xdr:rowOff>0</xdr:rowOff>
    </xdr:to>
    <xdr:sp macro="" textlink="">
      <xdr:nvSpPr>
        <xdr:cNvPr id="390719" name="Line 312"/>
        <xdr:cNvSpPr>
          <a:spLocks noChangeShapeType="1"/>
        </xdr:cNvSpPr>
      </xdr:nvSpPr>
      <xdr:spPr bwMode="auto">
        <a:xfrm>
          <a:off x="11887200" y="5495925"/>
          <a:ext cx="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15</xdr:col>
      <xdr:colOff>0</xdr:colOff>
      <xdr:row>26</xdr:row>
      <xdr:rowOff>0</xdr:rowOff>
    </xdr:from>
    <xdr:to>
      <xdr:col>15</xdr:col>
      <xdr:colOff>0</xdr:colOff>
      <xdr:row>26</xdr:row>
      <xdr:rowOff>0</xdr:rowOff>
    </xdr:to>
    <xdr:sp macro="" textlink="">
      <xdr:nvSpPr>
        <xdr:cNvPr id="390720" name="Line 314"/>
        <xdr:cNvSpPr>
          <a:spLocks noChangeShapeType="1"/>
        </xdr:cNvSpPr>
      </xdr:nvSpPr>
      <xdr:spPr bwMode="auto">
        <a:xfrm>
          <a:off x="11887200" y="5495925"/>
          <a:ext cx="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type="triangle" w="med" len="med"/>
              <a:tailEnd type="triangle" w="med" len="me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15</xdr:col>
      <xdr:colOff>0</xdr:colOff>
      <xdr:row>26</xdr:row>
      <xdr:rowOff>0</xdr:rowOff>
    </xdr:from>
    <xdr:to>
      <xdr:col>15</xdr:col>
      <xdr:colOff>0</xdr:colOff>
      <xdr:row>26</xdr:row>
      <xdr:rowOff>0</xdr:rowOff>
    </xdr:to>
    <xdr:sp macro="" textlink="">
      <xdr:nvSpPr>
        <xdr:cNvPr id="390721" name="Line 315"/>
        <xdr:cNvSpPr>
          <a:spLocks noChangeShapeType="1"/>
        </xdr:cNvSpPr>
      </xdr:nvSpPr>
      <xdr:spPr bwMode="auto">
        <a:xfrm flipH="1">
          <a:off x="11887200" y="5495925"/>
          <a:ext cx="0" cy="0"/>
        </a:xfrm>
        <a:prstGeom prst="line">
          <a:avLst/>
        </a:prstGeom>
        <a:noFill/>
        <a:ln w="3175">
          <a:solidFill>
            <a:srgbClr val="000000"/>
          </a:solidFill>
          <a:round/>
          <a:headEnd type="triangle" w="med" len="med"/>
          <a:tailEnd type="triangle" w="med" len="me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15</xdr:col>
      <xdr:colOff>0</xdr:colOff>
      <xdr:row>26</xdr:row>
      <xdr:rowOff>0</xdr:rowOff>
    </xdr:from>
    <xdr:to>
      <xdr:col>15</xdr:col>
      <xdr:colOff>0</xdr:colOff>
      <xdr:row>26</xdr:row>
      <xdr:rowOff>0</xdr:rowOff>
    </xdr:to>
    <xdr:sp macro="" textlink="">
      <xdr:nvSpPr>
        <xdr:cNvPr id="390722" name="Line 316"/>
        <xdr:cNvSpPr>
          <a:spLocks noChangeShapeType="1"/>
        </xdr:cNvSpPr>
      </xdr:nvSpPr>
      <xdr:spPr bwMode="auto">
        <a:xfrm>
          <a:off x="11887200" y="5495925"/>
          <a:ext cx="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15</xdr:col>
      <xdr:colOff>0</xdr:colOff>
      <xdr:row>26</xdr:row>
      <xdr:rowOff>0</xdr:rowOff>
    </xdr:from>
    <xdr:to>
      <xdr:col>15</xdr:col>
      <xdr:colOff>0</xdr:colOff>
      <xdr:row>26</xdr:row>
      <xdr:rowOff>0</xdr:rowOff>
    </xdr:to>
    <xdr:sp macro="" textlink="">
      <xdr:nvSpPr>
        <xdr:cNvPr id="390723" name="Line 317"/>
        <xdr:cNvSpPr>
          <a:spLocks noChangeShapeType="1"/>
        </xdr:cNvSpPr>
      </xdr:nvSpPr>
      <xdr:spPr bwMode="auto">
        <a:xfrm>
          <a:off x="11887200" y="5495925"/>
          <a:ext cx="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15</xdr:col>
      <xdr:colOff>0</xdr:colOff>
      <xdr:row>26</xdr:row>
      <xdr:rowOff>0</xdr:rowOff>
    </xdr:from>
    <xdr:to>
      <xdr:col>15</xdr:col>
      <xdr:colOff>0</xdr:colOff>
      <xdr:row>26</xdr:row>
      <xdr:rowOff>0</xdr:rowOff>
    </xdr:to>
    <xdr:sp macro="" textlink="">
      <xdr:nvSpPr>
        <xdr:cNvPr id="390724" name="Line 318"/>
        <xdr:cNvSpPr>
          <a:spLocks noChangeShapeType="1"/>
        </xdr:cNvSpPr>
      </xdr:nvSpPr>
      <xdr:spPr bwMode="auto">
        <a:xfrm>
          <a:off x="11887200" y="5495925"/>
          <a:ext cx="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15</xdr:col>
      <xdr:colOff>0</xdr:colOff>
      <xdr:row>26</xdr:row>
      <xdr:rowOff>0</xdr:rowOff>
    </xdr:from>
    <xdr:to>
      <xdr:col>15</xdr:col>
      <xdr:colOff>9525</xdr:colOff>
      <xdr:row>26</xdr:row>
      <xdr:rowOff>0</xdr:rowOff>
    </xdr:to>
    <xdr:sp macro="" textlink="">
      <xdr:nvSpPr>
        <xdr:cNvPr id="390725" name="Line 319"/>
        <xdr:cNvSpPr>
          <a:spLocks noChangeShapeType="1"/>
        </xdr:cNvSpPr>
      </xdr:nvSpPr>
      <xdr:spPr bwMode="auto">
        <a:xfrm>
          <a:off x="11887200" y="5495925"/>
          <a:ext cx="9525"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15</xdr:col>
      <xdr:colOff>0</xdr:colOff>
      <xdr:row>26</xdr:row>
      <xdr:rowOff>0</xdr:rowOff>
    </xdr:from>
    <xdr:to>
      <xdr:col>15</xdr:col>
      <xdr:colOff>0</xdr:colOff>
      <xdr:row>26</xdr:row>
      <xdr:rowOff>0</xdr:rowOff>
    </xdr:to>
    <xdr:sp macro="" textlink="">
      <xdr:nvSpPr>
        <xdr:cNvPr id="390726" name="Line 320"/>
        <xdr:cNvSpPr>
          <a:spLocks noChangeShapeType="1"/>
        </xdr:cNvSpPr>
      </xdr:nvSpPr>
      <xdr:spPr bwMode="auto">
        <a:xfrm>
          <a:off x="11887200" y="5495925"/>
          <a:ext cx="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type="triangle" w="med" len="med"/>
              <a:tailEnd type="triangle" w="med" len="me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15</xdr:col>
      <xdr:colOff>0</xdr:colOff>
      <xdr:row>26</xdr:row>
      <xdr:rowOff>0</xdr:rowOff>
    </xdr:from>
    <xdr:to>
      <xdr:col>15</xdr:col>
      <xdr:colOff>0</xdr:colOff>
      <xdr:row>26</xdr:row>
      <xdr:rowOff>0</xdr:rowOff>
    </xdr:to>
    <xdr:sp macro="" textlink="">
      <xdr:nvSpPr>
        <xdr:cNvPr id="390727" name="Line 323"/>
        <xdr:cNvSpPr>
          <a:spLocks noChangeShapeType="1"/>
        </xdr:cNvSpPr>
      </xdr:nvSpPr>
      <xdr:spPr bwMode="auto">
        <a:xfrm>
          <a:off x="11887200" y="5495925"/>
          <a:ext cx="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12</xdr:col>
      <xdr:colOff>123825</xdr:colOff>
      <xdr:row>17</xdr:row>
      <xdr:rowOff>171450</xdr:rowOff>
    </xdr:from>
    <xdr:to>
      <xdr:col>15</xdr:col>
      <xdr:colOff>0</xdr:colOff>
      <xdr:row>24</xdr:row>
      <xdr:rowOff>9525</xdr:rowOff>
    </xdr:to>
    <xdr:sp macro="" textlink="">
      <xdr:nvSpPr>
        <xdr:cNvPr id="273" name="Rectangle 325"/>
        <xdr:cNvSpPr>
          <a:spLocks noChangeArrowheads="1"/>
        </xdr:cNvSpPr>
      </xdr:nvSpPr>
      <xdr:spPr bwMode="auto">
        <a:xfrm>
          <a:off x="9953625" y="3924300"/>
          <a:ext cx="1933575" cy="1104900"/>
        </a:xfrm>
        <a:prstGeom prst="rect">
          <a:avLst/>
        </a:prstGeom>
        <a:solidFill>
          <a:srgbClr val="FFFFFF"/>
        </a:solidFill>
        <a:ln w="9525">
          <a:solidFill>
            <a:srgbClr val="000000"/>
          </a:solidFill>
          <a:miter lim="800000"/>
          <a:headEnd/>
          <a:tailEnd/>
        </a:ln>
      </xdr:spPr>
      <xdr:txBody>
        <a:bodyPr vertOverflow="clip" wrap="square" lIns="45720" tIns="27432" rIns="0" bIns="0" anchor="t" upright="1"/>
        <a:lstStyle/>
        <a:p>
          <a:pPr algn="l" rtl="0">
            <a:lnSpc>
              <a:spcPts val="2100"/>
            </a:lnSpc>
            <a:defRPr sz="1000"/>
          </a:pPr>
          <a:r>
            <a:rPr lang="zh-CN" altLang="en-US" sz="1800" b="1" i="0" u="none" strike="noStrike" baseline="0">
              <a:solidFill>
                <a:srgbClr val="000000"/>
              </a:solidFill>
              <a:latin typeface="宋体"/>
              <a:ea typeface="宋体"/>
            </a:rPr>
            <a:t>                      </a:t>
          </a:r>
          <a:endParaRPr lang="zh-CN" altLang="en-US" sz="1200" b="0" i="0" u="none" strike="noStrike" baseline="0">
            <a:solidFill>
              <a:srgbClr val="000000"/>
            </a:solidFill>
            <a:latin typeface="宋体"/>
            <a:ea typeface="宋体"/>
          </a:endParaRPr>
        </a:p>
        <a:p>
          <a:pPr algn="l" rtl="0">
            <a:lnSpc>
              <a:spcPts val="1400"/>
            </a:lnSpc>
            <a:defRPr sz="1000"/>
          </a:pPr>
          <a:endParaRPr lang="zh-CN" altLang="en-US" sz="1200" b="0" i="0" u="none" strike="noStrike" baseline="0">
            <a:solidFill>
              <a:srgbClr val="000000"/>
            </a:solidFill>
            <a:latin typeface="宋体"/>
            <a:ea typeface="宋体"/>
          </a:endParaRPr>
        </a:p>
        <a:p>
          <a:pPr algn="l" rtl="0">
            <a:lnSpc>
              <a:spcPts val="1400"/>
            </a:lnSpc>
            <a:defRPr sz="1000"/>
          </a:pPr>
          <a:endParaRPr lang="zh-CN" altLang="en-US" sz="1200" b="0" i="0" u="none" strike="noStrike" baseline="0">
            <a:solidFill>
              <a:srgbClr val="000000"/>
            </a:solidFill>
            <a:latin typeface="宋体"/>
            <a:ea typeface="宋体"/>
          </a:endParaRPr>
        </a:p>
        <a:p>
          <a:pPr algn="l" rtl="0">
            <a:lnSpc>
              <a:spcPts val="1400"/>
            </a:lnSpc>
            <a:defRPr sz="1000"/>
          </a:pPr>
          <a:r>
            <a:rPr lang="zh-CN" altLang="en-US" sz="1200" b="0" i="0" u="none" strike="noStrike" baseline="0">
              <a:solidFill>
                <a:srgbClr val="000000"/>
              </a:solidFill>
              <a:latin typeface="宋体"/>
              <a:ea typeface="宋体"/>
            </a:rPr>
            <a:t>  </a:t>
          </a:r>
        </a:p>
      </xdr:txBody>
    </xdr:sp>
    <xdr:clientData/>
  </xdr:twoCellAnchor>
  <xdr:twoCellAnchor>
    <xdr:from>
      <xdr:col>12</xdr:col>
      <xdr:colOff>133350</xdr:colOff>
      <xdr:row>15</xdr:row>
      <xdr:rowOff>200025</xdr:rowOff>
    </xdr:from>
    <xdr:to>
      <xdr:col>14</xdr:col>
      <xdr:colOff>657225</xdr:colOff>
      <xdr:row>15</xdr:row>
      <xdr:rowOff>200025</xdr:rowOff>
    </xdr:to>
    <xdr:sp macro="" textlink="">
      <xdr:nvSpPr>
        <xdr:cNvPr id="390729" name="Line 326"/>
        <xdr:cNvSpPr>
          <a:spLocks noChangeShapeType="1"/>
        </xdr:cNvSpPr>
      </xdr:nvSpPr>
      <xdr:spPr bwMode="auto">
        <a:xfrm>
          <a:off x="9963150" y="3571875"/>
          <a:ext cx="1895475" cy="0"/>
        </a:xfrm>
        <a:prstGeom prst="line">
          <a:avLst/>
        </a:prstGeom>
        <a:noFill/>
        <a:ln w="9525">
          <a:solidFill>
            <a:srgbClr val="000000"/>
          </a:solidFill>
          <a:round/>
          <a:headEnd type="triangle" w="med" len="med"/>
          <a:tailEnd type="triangle" w="med" len="me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12</xdr:col>
      <xdr:colOff>123825</xdr:colOff>
      <xdr:row>15</xdr:row>
      <xdr:rowOff>114300</xdr:rowOff>
    </xdr:from>
    <xdr:to>
      <xdr:col>12</xdr:col>
      <xdr:colOff>133350</xdr:colOff>
      <xdr:row>18</xdr:row>
      <xdr:rowOff>0</xdr:rowOff>
    </xdr:to>
    <xdr:sp macro="" textlink="">
      <xdr:nvSpPr>
        <xdr:cNvPr id="390730" name="Line 327"/>
        <xdr:cNvSpPr>
          <a:spLocks noChangeShapeType="1"/>
        </xdr:cNvSpPr>
      </xdr:nvSpPr>
      <xdr:spPr bwMode="auto">
        <a:xfrm>
          <a:off x="9953625" y="3505200"/>
          <a:ext cx="9525" cy="428625"/>
        </a:xfrm>
        <a:prstGeom prst="line">
          <a:avLst/>
        </a:prstGeom>
        <a:noFill/>
        <a:ln w="3175">
          <a:solidFill>
            <a:srgbClr val="000000"/>
          </a:solidFill>
          <a:round/>
          <a:headEnd/>
          <a:tailEn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15</xdr:col>
      <xdr:colOff>0</xdr:colOff>
      <xdr:row>15</xdr:row>
      <xdr:rowOff>123825</xdr:rowOff>
    </xdr:from>
    <xdr:to>
      <xdr:col>15</xdr:col>
      <xdr:colOff>0</xdr:colOff>
      <xdr:row>17</xdr:row>
      <xdr:rowOff>171450</xdr:rowOff>
    </xdr:to>
    <xdr:sp macro="" textlink="">
      <xdr:nvSpPr>
        <xdr:cNvPr id="390731" name="Line 328"/>
        <xdr:cNvSpPr>
          <a:spLocks noChangeShapeType="1"/>
        </xdr:cNvSpPr>
      </xdr:nvSpPr>
      <xdr:spPr bwMode="auto">
        <a:xfrm flipH="1">
          <a:off x="11887200" y="3514725"/>
          <a:ext cx="0" cy="409575"/>
        </a:xfrm>
        <a:prstGeom prst="line">
          <a:avLst/>
        </a:prstGeom>
        <a:noFill/>
        <a:ln w="3175">
          <a:solidFill>
            <a:srgbClr val="000000"/>
          </a:solidFill>
          <a:round/>
          <a:headEnd/>
          <a:tailEn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12</xdr:col>
      <xdr:colOff>561975</xdr:colOff>
      <xdr:row>17</xdr:row>
      <xdr:rowOff>9525</xdr:rowOff>
    </xdr:from>
    <xdr:to>
      <xdr:col>12</xdr:col>
      <xdr:colOff>561975</xdr:colOff>
      <xdr:row>19</xdr:row>
      <xdr:rowOff>190500</xdr:rowOff>
    </xdr:to>
    <xdr:sp macro="" textlink="">
      <xdr:nvSpPr>
        <xdr:cNvPr id="390732" name="Line 329"/>
        <xdr:cNvSpPr>
          <a:spLocks noChangeShapeType="1"/>
        </xdr:cNvSpPr>
      </xdr:nvSpPr>
      <xdr:spPr bwMode="auto">
        <a:xfrm>
          <a:off x="10391775" y="3762375"/>
          <a:ext cx="0" cy="533400"/>
        </a:xfrm>
        <a:prstGeom prst="line">
          <a:avLst/>
        </a:prstGeom>
        <a:noFill/>
        <a:ln w="3175">
          <a:solidFill>
            <a:srgbClr val="000000"/>
          </a:solidFill>
          <a:round/>
          <a:headEnd/>
          <a:tailEn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11</xdr:col>
      <xdr:colOff>533400</xdr:colOff>
      <xdr:row>19</xdr:row>
      <xdr:rowOff>180975</xdr:rowOff>
    </xdr:from>
    <xdr:to>
      <xdr:col>12</xdr:col>
      <xdr:colOff>552450</xdr:colOff>
      <xdr:row>19</xdr:row>
      <xdr:rowOff>190500</xdr:rowOff>
    </xdr:to>
    <xdr:sp macro="" textlink="">
      <xdr:nvSpPr>
        <xdr:cNvPr id="390733" name="Line 330"/>
        <xdr:cNvSpPr>
          <a:spLocks noChangeShapeType="1"/>
        </xdr:cNvSpPr>
      </xdr:nvSpPr>
      <xdr:spPr bwMode="auto">
        <a:xfrm flipH="1" flipV="1">
          <a:off x="9677400" y="4295775"/>
          <a:ext cx="704850" cy="0"/>
        </a:xfrm>
        <a:prstGeom prst="line">
          <a:avLst/>
        </a:prstGeom>
        <a:noFill/>
        <a:ln w="3175">
          <a:solidFill>
            <a:srgbClr val="000000"/>
          </a:solidFill>
          <a:round/>
          <a:headEnd/>
          <a:tailEn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11</xdr:col>
      <xdr:colOff>323850</xdr:colOff>
      <xdr:row>18</xdr:row>
      <xdr:rowOff>0</xdr:rowOff>
    </xdr:from>
    <xdr:to>
      <xdr:col>12</xdr:col>
      <xdr:colOff>123825</xdr:colOff>
      <xdr:row>18</xdr:row>
      <xdr:rowOff>0</xdr:rowOff>
    </xdr:to>
    <xdr:sp macro="" textlink="">
      <xdr:nvSpPr>
        <xdr:cNvPr id="390734" name="Line 332"/>
        <xdr:cNvSpPr>
          <a:spLocks noChangeShapeType="1"/>
        </xdr:cNvSpPr>
      </xdr:nvSpPr>
      <xdr:spPr bwMode="auto">
        <a:xfrm flipH="1" flipV="1">
          <a:off x="9467850" y="3933825"/>
          <a:ext cx="485775" cy="0"/>
        </a:xfrm>
        <a:prstGeom prst="line">
          <a:avLst/>
        </a:prstGeom>
        <a:noFill/>
        <a:ln w="3175">
          <a:solidFill>
            <a:srgbClr val="000000"/>
          </a:solidFill>
          <a:round/>
          <a:headEnd/>
          <a:tailEn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11</xdr:col>
      <xdr:colOff>438150</xdr:colOff>
      <xdr:row>18</xdr:row>
      <xdr:rowOff>38100</xdr:rowOff>
    </xdr:from>
    <xdr:to>
      <xdr:col>11</xdr:col>
      <xdr:colOff>457200</xdr:colOff>
      <xdr:row>23</xdr:row>
      <xdr:rowOff>295275</xdr:rowOff>
    </xdr:to>
    <xdr:sp macro="" textlink="">
      <xdr:nvSpPr>
        <xdr:cNvPr id="390735" name="Line 333"/>
        <xdr:cNvSpPr>
          <a:spLocks noChangeShapeType="1"/>
        </xdr:cNvSpPr>
      </xdr:nvSpPr>
      <xdr:spPr bwMode="auto">
        <a:xfrm flipH="1">
          <a:off x="9582150" y="3971925"/>
          <a:ext cx="19050" cy="1047750"/>
        </a:xfrm>
        <a:prstGeom prst="line">
          <a:avLst/>
        </a:prstGeom>
        <a:noFill/>
        <a:ln w="9525">
          <a:solidFill>
            <a:srgbClr val="000000"/>
          </a:solidFill>
          <a:round/>
          <a:headEnd type="triangle" w="med" len="med"/>
          <a:tailEnd type="triangle" w="med" len="me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12</xdr:col>
      <xdr:colOff>0</xdr:colOff>
      <xdr:row>18</xdr:row>
      <xdr:rowOff>19050</xdr:rowOff>
    </xdr:from>
    <xdr:to>
      <xdr:col>12</xdr:col>
      <xdr:colOff>0</xdr:colOff>
      <xdr:row>19</xdr:row>
      <xdr:rowOff>161925</xdr:rowOff>
    </xdr:to>
    <xdr:sp macro="" textlink="">
      <xdr:nvSpPr>
        <xdr:cNvPr id="390736" name="Line 334"/>
        <xdr:cNvSpPr>
          <a:spLocks noChangeShapeType="1"/>
        </xdr:cNvSpPr>
      </xdr:nvSpPr>
      <xdr:spPr bwMode="auto">
        <a:xfrm flipH="1">
          <a:off x="9829800" y="3952875"/>
          <a:ext cx="0" cy="323850"/>
        </a:xfrm>
        <a:prstGeom prst="line">
          <a:avLst/>
        </a:prstGeom>
        <a:noFill/>
        <a:ln w="9525">
          <a:solidFill>
            <a:srgbClr val="000000"/>
          </a:solidFill>
          <a:round/>
          <a:headEnd type="triangle" w="med" len="med"/>
          <a:tailEnd type="triangle" w="med" len="me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17</xdr:col>
      <xdr:colOff>0</xdr:colOff>
      <xdr:row>24</xdr:row>
      <xdr:rowOff>104775</xdr:rowOff>
    </xdr:from>
    <xdr:to>
      <xdr:col>17</xdr:col>
      <xdr:colOff>0</xdr:colOff>
      <xdr:row>24</xdr:row>
      <xdr:rowOff>104775</xdr:rowOff>
    </xdr:to>
    <xdr:sp macro="" textlink="">
      <xdr:nvSpPr>
        <xdr:cNvPr id="390737" name="Line 335"/>
        <xdr:cNvSpPr>
          <a:spLocks noChangeShapeType="1"/>
        </xdr:cNvSpPr>
      </xdr:nvSpPr>
      <xdr:spPr bwMode="auto">
        <a:xfrm>
          <a:off x="13258800" y="5124450"/>
          <a:ext cx="0" cy="0"/>
        </a:xfrm>
        <a:prstGeom prst="line">
          <a:avLst/>
        </a:prstGeom>
        <a:noFill/>
        <a:ln w="9525">
          <a:solidFill>
            <a:srgbClr val="000000"/>
          </a:solidFill>
          <a:round/>
          <a:headEnd/>
          <a:tailEn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17</xdr:col>
      <xdr:colOff>0</xdr:colOff>
      <xdr:row>24</xdr:row>
      <xdr:rowOff>104775</xdr:rowOff>
    </xdr:from>
    <xdr:to>
      <xdr:col>17</xdr:col>
      <xdr:colOff>0</xdr:colOff>
      <xdr:row>24</xdr:row>
      <xdr:rowOff>104775</xdr:rowOff>
    </xdr:to>
    <xdr:sp macro="" textlink="">
      <xdr:nvSpPr>
        <xdr:cNvPr id="390738" name="Line 336"/>
        <xdr:cNvSpPr>
          <a:spLocks noChangeShapeType="1"/>
        </xdr:cNvSpPr>
      </xdr:nvSpPr>
      <xdr:spPr bwMode="auto">
        <a:xfrm>
          <a:off x="13258800" y="5124450"/>
          <a:ext cx="0" cy="0"/>
        </a:xfrm>
        <a:prstGeom prst="line">
          <a:avLst/>
        </a:prstGeom>
        <a:noFill/>
        <a:ln w="9525">
          <a:solidFill>
            <a:srgbClr val="000000"/>
          </a:solidFill>
          <a:round/>
          <a:headEnd type="triangle" w="med" len="med"/>
          <a:tailEn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17</xdr:col>
      <xdr:colOff>0</xdr:colOff>
      <xdr:row>24</xdr:row>
      <xdr:rowOff>9525</xdr:rowOff>
    </xdr:from>
    <xdr:to>
      <xdr:col>17</xdr:col>
      <xdr:colOff>0</xdr:colOff>
      <xdr:row>24</xdr:row>
      <xdr:rowOff>9525</xdr:rowOff>
    </xdr:to>
    <xdr:sp macro="" textlink="">
      <xdr:nvSpPr>
        <xdr:cNvPr id="390739" name="Line 337"/>
        <xdr:cNvSpPr>
          <a:spLocks noChangeShapeType="1"/>
        </xdr:cNvSpPr>
      </xdr:nvSpPr>
      <xdr:spPr bwMode="auto">
        <a:xfrm flipH="1" flipV="1">
          <a:off x="13258800" y="5029200"/>
          <a:ext cx="0" cy="0"/>
        </a:xfrm>
        <a:prstGeom prst="line">
          <a:avLst/>
        </a:prstGeom>
        <a:noFill/>
        <a:ln w="9525">
          <a:solidFill>
            <a:srgbClr val="000000"/>
          </a:solidFill>
          <a:round/>
          <a:headEnd/>
          <a:tailEn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11</xdr:col>
      <xdr:colOff>133350</xdr:colOff>
      <xdr:row>17</xdr:row>
      <xdr:rowOff>104775</xdr:rowOff>
    </xdr:from>
    <xdr:to>
      <xdr:col>12</xdr:col>
      <xdr:colOff>123825</xdr:colOff>
      <xdr:row>17</xdr:row>
      <xdr:rowOff>104775</xdr:rowOff>
    </xdr:to>
    <xdr:sp macro="" textlink="">
      <xdr:nvSpPr>
        <xdr:cNvPr id="390740" name="Line 338"/>
        <xdr:cNvSpPr>
          <a:spLocks noChangeShapeType="1"/>
        </xdr:cNvSpPr>
      </xdr:nvSpPr>
      <xdr:spPr bwMode="auto">
        <a:xfrm>
          <a:off x="9277350" y="3857625"/>
          <a:ext cx="676275"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type="triangle" w="med" len="me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12</xdr:col>
      <xdr:colOff>142875</xdr:colOff>
      <xdr:row>17</xdr:row>
      <xdr:rowOff>114300</xdr:rowOff>
    </xdr:from>
    <xdr:to>
      <xdr:col>12</xdr:col>
      <xdr:colOff>381000</xdr:colOff>
      <xdr:row>17</xdr:row>
      <xdr:rowOff>114300</xdr:rowOff>
    </xdr:to>
    <xdr:sp macro="" textlink="">
      <xdr:nvSpPr>
        <xdr:cNvPr id="390741" name="Line 341"/>
        <xdr:cNvSpPr>
          <a:spLocks noChangeShapeType="1"/>
        </xdr:cNvSpPr>
      </xdr:nvSpPr>
      <xdr:spPr bwMode="auto">
        <a:xfrm>
          <a:off x="9972675" y="3867150"/>
          <a:ext cx="238125"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12</xdr:col>
      <xdr:colOff>619125</xdr:colOff>
      <xdr:row>25</xdr:row>
      <xdr:rowOff>0</xdr:rowOff>
    </xdr:from>
    <xdr:to>
      <xdr:col>12</xdr:col>
      <xdr:colOff>495300</xdr:colOff>
      <xdr:row>25</xdr:row>
      <xdr:rowOff>0</xdr:rowOff>
    </xdr:to>
    <xdr:sp macro="" textlink="">
      <xdr:nvSpPr>
        <xdr:cNvPr id="287" name="Text Box 342"/>
        <xdr:cNvSpPr txBox="1">
          <a:spLocks noChangeArrowheads="1"/>
        </xdr:cNvSpPr>
      </xdr:nvSpPr>
      <xdr:spPr bwMode="auto">
        <a:xfrm>
          <a:off x="10448925" y="5257800"/>
          <a:ext cx="0" cy="0"/>
        </a:xfrm>
        <a:prstGeom prst="rect">
          <a:avLst/>
        </a:prstGeom>
        <a:noFill/>
        <a:ln>
          <a:noFill/>
        </a:ln>
        <a:effectLst/>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lgn="ctr">
              <a:solidFill>
                <a:srgbClr val="000000"/>
              </a:solidFill>
              <a:miter lim="800000"/>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txBody>
        <a:bodyPr vertOverflow="clip" wrap="square" lIns="0" tIns="0" rIns="0" bIns="0" anchor="t" upright="1"/>
        <a:lstStyle/>
        <a:p>
          <a:pPr algn="l" rtl="0">
            <a:defRPr sz="1000"/>
          </a:pPr>
          <a:r>
            <a:rPr lang="zh-CN" altLang="en-US" sz="1000" b="0" i="0" u="none" strike="noStrike" baseline="0">
              <a:solidFill>
                <a:srgbClr val="000000"/>
              </a:solidFill>
              <a:latin typeface="宋体"/>
              <a:ea typeface="宋体"/>
            </a:rPr>
            <a:t>位置</a:t>
          </a:r>
        </a:p>
      </xdr:txBody>
    </xdr:sp>
    <xdr:clientData/>
  </xdr:twoCellAnchor>
  <xdr:twoCellAnchor>
    <xdr:from>
      <xdr:col>12</xdr:col>
      <xdr:colOff>19050</xdr:colOff>
      <xdr:row>25</xdr:row>
      <xdr:rowOff>0</xdr:rowOff>
    </xdr:from>
    <xdr:to>
      <xdr:col>13</xdr:col>
      <xdr:colOff>66675</xdr:colOff>
      <xdr:row>25</xdr:row>
      <xdr:rowOff>0</xdr:rowOff>
    </xdr:to>
    <xdr:sp macro="" textlink="">
      <xdr:nvSpPr>
        <xdr:cNvPr id="288" name="Text Box 343"/>
        <xdr:cNvSpPr txBox="1">
          <a:spLocks noChangeArrowheads="1"/>
        </xdr:cNvSpPr>
      </xdr:nvSpPr>
      <xdr:spPr bwMode="auto">
        <a:xfrm>
          <a:off x="9848850" y="5257800"/>
          <a:ext cx="733425" cy="0"/>
        </a:xfrm>
        <a:prstGeom prst="rect">
          <a:avLst/>
        </a:prstGeom>
        <a:noFill/>
        <a:ln>
          <a:noFill/>
        </a:ln>
        <a:effectLst/>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lgn="ctr">
              <a:solidFill>
                <a:srgbClr val="000000"/>
              </a:solidFill>
              <a:miter lim="800000"/>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txBody>
        <a:bodyPr vertOverflow="clip" wrap="square" lIns="0" tIns="0" rIns="0" bIns="0" anchor="t" upright="1"/>
        <a:lstStyle/>
        <a:p>
          <a:pPr algn="l" rtl="0">
            <a:defRPr sz="1000"/>
          </a:pPr>
          <a:r>
            <a:rPr lang="zh-CN" altLang="en-US" sz="1100" b="0" i="0" u="none" strike="noStrike" baseline="0">
              <a:solidFill>
                <a:srgbClr val="000000"/>
              </a:solidFill>
              <a:latin typeface="宋体"/>
              <a:ea typeface="宋体"/>
            </a:rPr>
            <a:t>测试点</a:t>
          </a:r>
        </a:p>
      </xdr:txBody>
    </xdr:sp>
    <xdr:clientData/>
  </xdr:twoCellAnchor>
  <xdr:twoCellAnchor>
    <xdr:from>
      <xdr:col>13</xdr:col>
      <xdr:colOff>238125</xdr:colOff>
      <xdr:row>25</xdr:row>
      <xdr:rowOff>0</xdr:rowOff>
    </xdr:from>
    <xdr:to>
      <xdr:col>13</xdr:col>
      <xdr:colOff>504825</xdr:colOff>
      <xdr:row>25</xdr:row>
      <xdr:rowOff>0</xdr:rowOff>
    </xdr:to>
    <xdr:sp macro="" textlink="">
      <xdr:nvSpPr>
        <xdr:cNvPr id="289" name="Text Box 344"/>
        <xdr:cNvSpPr txBox="1">
          <a:spLocks noChangeArrowheads="1"/>
        </xdr:cNvSpPr>
      </xdr:nvSpPr>
      <xdr:spPr bwMode="auto">
        <a:xfrm>
          <a:off x="10753725" y="5257800"/>
          <a:ext cx="266700" cy="0"/>
        </a:xfrm>
        <a:prstGeom prst="rect">
          <a:avLst/>
        </a:prstGeom>
        <a:noFill/>
        <a:ln>
          <a:noFill/>
        </a:ln>
        <a:effectLst/>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lgn="ctr">
              <a:solidFill>
                <a:srgbClr val="000000"/>
              </a:solidFill>
              <a:miter lim="800000"/>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txBody>
        <a:bodyPr vertOverflow="clip" wrap="square" lIns="0" tIns="0" rIns="0" bIns="0" anchor="t" upright="1"/>
        <a:lstStyle/>
        <a:p>
          <a:pPr algn="l" rtl="0">
            <a:defRPr sz="1000"/>
          </a:pPr>
          <a:r>
            <a:rPr lang="zh-CN" altLang="en-US" sz="1100" b="0" i="0" u="none" strike="noStrike" baseline="0">
              <a:solidFill>
                <a:srgbClr val="000000"/>
              </a:solidFill>
              <a:latin typeface="宋体"/>
              <a:ea typeface="宋体"/>
            </a:rPr>
            <a:t>位置</a:t>
          </a:r>
        </a:p>
      </xdr:txBody>
    </xdr:sp>
    <xdr:clientData/>
  </xdr:twoCellAnchor>
  <xdr:twoCellAnchor>
    <xdr:from>
      <xdr:col>12</xdr:col>
      <xdr:colOff>619125</xdr:colOff>
      <xdr:row>25</xdr:row>
      <xdr:rowOff>0</xdr:rowOff>
    </xdr:from>
    <xdr:to>
      <xdr:col>12</xdr:col>
      <xdr:colOff>495300</xdr:colOff>
      <xdr:row>25</xdr:row>
      <xdr:rowOff>0</xdr:rowOff>
    </xdr:to>
    <xdr:sp macro="" textlink="">
      <xdr:nvSpPr>
        <xdr:cNvPr id="290" name="Text Box 345"/>
        <xdr:cNvSpPr txBox="1">
          <a:spLocks noChangeArrowheads="1"/>
        </xdr:cNvSpPr>
      </xdr:nvSpPr>
      <xdr:spPr bwMode="auto">
        <a:xfrm>
          <a:off x="10448925" y="5257800"/>
          <a:ext cx="0" cy="0"/>
        </a:xfrm>
        <a:prstGeom prst="rect">
          <a:avLst/>
        </a:prstGeom>
        <a:noFill/>
        <a:ln>
          <a:noFill/>
        </a:ln>
        <a:effectLst/>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lgn="ctr">
              <a:solidFill>
                <a:srgbClr val="000000"/>
              </a:solidFill>
              <a:miter lim="800000"/>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txBody>
        <a:bodyPr vertOverflow="clip" wrap="square" lIns="0" tIns="0" rIns="0" bIns="0" anchor="t" upright="1"/>
        <a:lstStyle/>
        <a:p>
          <a:pPr algn="l" rtl="0">
            <a:defRPr sz="1000"/>
          </a:pPr>
          <a:r>
            <a:rPr lang="zh-CN" altLang="en-US" sz="1000" b="0" i="0" u="none" strike="noStrike" baseline="0">
              <a:solidFill>
                <a:srgbClr val="000000"/>
              </a:solidFill>
              <a:latin typeface="宋体"/>
              <a:ea typeface="宋体"/>
            </a:rPr>
            <a:t>位置</a:t>
          </a:r>
        </a:p>
      </xdr:txBody>
    </xdr:sp>
    <xdr:clientData/>
  </xdr:twoCellAnchor>
  <xdr:twoCellAnchor>
    <xdr:from>
      <xdr:col>12</xdr:col>
      <xdr:colOff>19050</xdr:colOff>
      <xdr:row>25</xdr:row>
      <xdr:rowOff>0</xdr:rowOff>
    </xdr:from>
    <xdr:to>
      <xdr:col>13</xdr:col>
      <xdr:colOff>66675</xdr:colOff>
      <xdr:row>25</xdr:row>
      <xdr:rowOff>0</xdr:rowOff>
    </xdr:to>
    <xdr:sp macro="" textlink="">
      <xdr:nvSpPr>
        <xdr:cNvPr id="291" name="Text Box 346"/>
        <xdr:cNvSpPr txBox="1">
          <a:spLocks noChangeArrowheads="1"/>
        </xdr:cNvSpPr>
      </xdr:nvSpPr>
      <xdr:spPr bwMode="auto">
        <a:xfrm>
          <a:off x="9848850" y="5257800"/>
          <a:ext cx="733425" cy="0"/>
        </a:xfrm>
        <a:prstGeom prst="rect">
          <a:avLst/>
        </a:prstGeom>
        <a:noFill/>
        <a:ln>
          <a:noFill/>
        </a:ln>
        <a:effectLst/>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lgn="ctr">
              <a:solidFill>
                <a:srgbClr val="000000"/>
              </a:solidFill>
              <a:miter lim="800000"/>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txBody>
        <a:bodyPr vertOverflow="clip" wrap="square" lIns="0" tIns="0" rIns="0" bIns="0" anchor="t" upright="1"/>
        <a:lstStyle/>
        <a:p>
          <a:pPr algn="l" rtl="0">
            <a:defRPr sz="1000"/>
          </a:pPr>
          <a:r>
            <a:rPr lang="zh-CN" altLang="en-US" sz="1100" b="0" i="0" u="none" strike="noStrike" baseline="0">
              <a:solidFill>
                <a:srgbClr val="000000"/>
              </a:solidFill>
              <a:latin typeface="宋体"/>
              <a:ea typeface="宋体"/>
            </a:rPr>
            <a:t>测试点</a:t>
          </a:r>
        </a:p>
      </xdr:txBody>
    </xdr:sp>
    <xdr:clientData/>
  </xdr:twoCellAnchor>
  <xdr:twoCellAnchor>
    <xdr:from>
      <xdr:col>12</xdr:col>
      <xdr:colOff>257175</xdr:colOff>
      <xdr:row>25</xdr:row>
      <xdr:rowOff>0</xdr:rowOff>
    </xdr:from>
    <xdr:to>
      <xdr:col>13</xdr:col>
      <xdr:colOff>133350</xdr:colOff>
      <xdr:row>25</xdr:row>
      <xdr:rowOff>0</xdr:rowOff>
    </xdr:to>
    <xdr:sp macro="" textlink="">
      <xdr:nvSpPr>
        <xdr:cNvPr id="292" name="Text Box 347"/>
        <xdr:cNvSpPr txBox="1">
          <a:spLocks noChangeArrowheads="1"/>
        </xdr:cNvSpPr>
      </xdr:nvSpPr>
      <xdr:spPr bwMode="auto">
        <a:xfrm>
          <a:off x="10086975" y="5257800"/>
          <a:ext cx="561975" cy="0"/>
        </a:xfrm>
        <a:prstGeom prst="rect">
          <a:avLst/>
        </a:prstGeom>
        <a:noFill/>
        <a:ln>
          <a:noFill/>
        </a:ln>
        <a:effectLst/>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lgn="ctr">
              <a:solidFill>
                <a:srgbClr val="000000"/>
              </a:solidFill>
              <a:miter lim="800000"/>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txBody>
        <a:bodyPr vertOverflow="clip" wrap="square" lIns="0" tIns="0" rIns="0" bIns="0" anchor="t" upright="1"/>
        <a:lstStyle/>
        <a:p>
          <a:pPr algn="l" rtl="0">
            <a:defRPr sz="1000"/>
          </a:pPr>
          <a:r>
            <a:rPr lang="zh-CN" altLang="en-US" sz="1100" b="0" i="0" u="none" strike="noStrike" baseline="0">
              <a:solidFill>
                <a:srgbClr val="000000"/>
              </a:solidFill>
              <a:latin typeface="宋体"/>
              <a:ea typeface="宋体"/>
            </a:rPr>
            <a:t>距离离</a:t>
          </a:r>
        </a:p>
      </xdr:txBody>
    </xdr:sp>
    <xdr:clientData/>
  </xdr:twoCellAnchor>
  <xdr:twoCellAnchor>
    <xdr:from>
      <xdr:col>13</xdr:col>
      <xdr:colOff>238125</xdr:colOff>
      <xdr:row>25</xdr:row>
      <xdr:rowOff>0</xdr:rowOff>
    </xdr:from>
    <xdr:to>
      <xdr:col>13</xdr:col>
      <xdr:colOff>504825</xdr:colOff>
      <xdr:row>25</xdr:row>
      <xdr:rowOff>0</xdr:rowOff>
    </xdr:to>
    <xdr:sp macro="" textlink="">
      <xdr:nvSpPr>
        <xdr:cNvPr id="293" name="Text Box 348"/>
        <xdr:cNvSpPr txBox="1">
          <a:spLocks noChangeArrowheads="1"/>
        </xdr:cNvSpPr>
      </xdr:nvSpPr>
      <xdr:spPr bwMode="auto">
        <a:xfrm>
          <a:off x="10753725" y="5257800"/>
          <a:ext cx="266700" cy="0"/>
        </a:xfrm>
        <a:prstGeom prst="rect">
          <a:avLst/>
        </a:prstGeom>
        <a:noFill/>
        <a:ln>
          <a:noFill/>
        </a:ln>
        <a:effectLst/>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lgn="ctr">
              <a:solidFill>
                <a:srgbClr val="000000"/>
              </a:solidFill>
              <a:miter lim="800000"/>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txBody>
        <a:bodyPr vertOverflow="clip" wrap="square" lIns="0" tIns="0" rIns="0" bIns="0" anchor="t" upright="1"/>
        <a:lstStyle/>
        <a:p>
          <a:pPr algn="l" rtl="0">
            <a:defRPr sz="1000"/>
          </a:pPr>
          <a:r>
            <a:rPr lang="zh-CN" altLang="en-US" sz="1100" b="0" i="0" u="none" strike="noStrike" baseline="0">
              <a:solidFill>
                <a:srgbClr val="000000"/>
              </a:solidFill>
              <a:latin typeface="宋体"/>
              <a:ea typeface="宋体"/>
            </a:rPr>
            <a:t>位置</a:t>
          </a:r>
        </a:p>
      </xdr:txBody>
    </xdr:sp>
    <xdr:clientData/>
  </xdr:twoCellAnchor>
  <xdr:twoCellAnchor>
    <xdr:from>
      <xdr:col>12</xdr:col>
      <xdr:colOff>28575</xdr:colOff>
      <xdr:row>25</xdr:row>
      <xdr:rowOff>0</xdr:rowOff>
    </xdr:from>
    <xdr:to>
      <xdr:col>13</xdr:col>
      <xdr:colOff>85725</xdr:colOff>
      <xdr:row>25</xdr:row>
      <xdr:rowOff>0</xdr:rowOff>
    </xdr:to>
    <xdr:sp macro="" textlink="">
      <xdr:nvSpPr>
        <xdr:cNvPr id="390749" name="Line 349"/>
        <xdr:cNvSpPr>
          <a:spLocks noChangeShapeType="1"/>
        </xdr:cNvSpPr>
      </xdr:nvSpPr>
      <xdr:spPr bwMode="auto">
        <a:xfrm>
          <a:off x="9858375" y="5257800"/>
          <a:ext cx="74295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13</xdr:col>
      <xdr:colOff>28575</xdr:colOff>
      <xdr:row>25</xdr:row>
      <xdr:rowOff>0</xdr:rowOff>
    </xdr:from>
    <xdr:to>
      <xdr:col>14</xdr:col>
      <xdr:colOff>85725</xdr:colOff>
      <xdr:row>25</xdr:row>
      <xdr:rowOff>0</xdr:rowOff>
    </xdr:to>
    <xdr:sp macro="" textlink="">
      <xdr:nvSpPr>
        <xdr:cNvPr id="390750" name="Line 350"/>
        <xdr:cNvSpPr>
          <a:spLocks noChangeShapeType="1"/>
        </xdr:cNvSpPr>
      </xdr:nvSpPr>
      <xdr:spPr bwMode="auto">
        <a:xfrm>
          <a:off x="10544175" y="5257800"/>
          <a:ext cx="74295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13</xdr:col>
      <xdr:colOff>28575</xdr:colOff>
      <xdr:row>25</xdr:row>
      <xdr:rowOff>0</xdr:rowOff>
    </xdr:from>
    <xdr:to>
      <xdr:col>14</xdr:col>
      <xdr:colOff>85725</xdr:colOff>
      <xdr:row>25</xdr:row>
      <xdr:rowOff>0</xdr:rowOff>
    </xdr:to>
    <xdr:sp macro="" textlink="">
      <xdr:nvSpPr>
        <xdr:cNvPr id="390751" name="Line 351"/>
        <xdr:cNvSpPr>
          <a:spLocks noChangeShapeType="1"/>
        </xdr:cNvSpPr>
      </xdr:nvSpPr>
      <xdr:spPr bwMode="auto">
        <a:xfrm>
          <a:off x="10544175" y="5257800"/>
          <a:ext cx="74295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12</xdr:col>
      <xdr:colOff>266700</xdr:colOff>
      <xdr:row>25</xdr:row>
      <xdr:rowOff>0</xdr:rowOff>
    </xdr:from>
    <xdr:to>
      <xdr:col>13</xdr:col>
      <xdr:colOff>85725</xdr:colOff>
      <xdr:row>25</xdr:row>
      <xdr:rowOff>0</xdr:rowOff>
    </xdr:to>
    <xdr:sp macro="" textlink="">
      <xdr:nvSpPr>
        <xdr:cNvPr id="297" name="Text Box 352"/>
        <xdr:cNvSpPr txBox="1">
          <a:spLocks noChangeArrowheads="1"/>
        </xdr:cNvSpPr>
      </xdr:nvSpPr>
      <xdr:spPr bwMode="auto">
        <a:xfrm>
          <a:off x="10096500" y="5257800"/>
          <a:ext cx="504825" cy="0"/>
        </a:xfrm>
        <a:prstGeom prst="rect">
          <a:avLst/>
        </a:prstGeom>
        <a:noFill/>
        <a:ln>
          <a:noFill/>
        </a:ln>
        <a:effectLst/>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lgn="ctr">
              <a:solidFill>
                <a:srgbClr val="000000"/>
              </a:solidFill>
              <a:miter lim="800000"/>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txBody>
        <a:bodyPr vertOverflow="clip" wrap="square" lIns="0" tIns="0" rIns="0" bIns="0" anchor="t" upright="1"/>
        <a:lstStyle/>
        <a:p>
          <a:pPr algn="l" rtl="0">
            <a:defRPr sz="1000"/>
          </a:pPr>
          <a:r>
            <a:rPr lang="zh-CN" altLang="en-US" sz="1100" b="0" i="0" u="none" strike="noStrike" baseline="0">
              <a:solidFill>
                <a:srgbClr val="000000"/>
              </a:solidFill>
              <a:latin typeface="宋体"/>
              <a:ea typeface="宋体"/>
            </a:rPr>
            <a:t>距离离</a:t>
          </a:r>
        </a:p>
      </xdr:txBody>
    </xdr:sp>
    <xdr:clientData/>
  </xdr:twoCellAnchor>
  <xdr:twoCellAnchor>
    <xdr:from>
      <xdr:col>12</xdr:col>
      <xdr:colOff>123825</xdr:colOff>
      <xdr:row>17</xdr:row>
      <xdr:rowOff>85725</xdr:rowOff>
    </xdr:from>
    <xdr:to>
      <xdr:col>12</xdr:col>
      <xdr:colOff>409575</xdr:colOff>
      <xdr:row>17</xdr:row>
      <xdr:rowOff>85725</xdr:rowOff>
    </xdr:to>
    <xdr:sp macro="" textlink="">
      <xdr:nvSpPr>
        <xdr:cNvPr id="390753" name="Line 353"/>
        <xdr:cNvSpPr>
          <a:spLocks noChangeShapeType="1"/>
        </xdr:cNvSpPr>
      </xdr:nvSpPr>
      <xdr:spPr bwMode="auto">
        <a:xfrm>
          <a:off x="9953625" y="3838575"/>
          <a:ext cx="28575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17</xdr:col>
      <xdr:colOff>0</xdr:colOff>
      <xdr:row>24</xdr:row>
      <xdr:rowOff>114300</xdr:rowOff>
    </xdr:from>
    <xdr:to>
      <xdr:col>17</xdr:col>
      <xdr:colOff>0</xdr:colOff>
      <xdr:row>24</xdr:row>
      <xdr:rowOff>114300</xdr:rowOff>
    </xdr:to>
    <xdr:sp macro="" textlink="">
      <xdr:nvSpPr>
        <xdr:cNvPr id="390754" name="Line 355"/>
        <xdr:cNvSpPr>
          <a:spLocks noChangeShapeType="1"/>
        </xdr:cNvSpPr>
      </xdr:nvSpPr>
      <xdr:spPr bwMode="auto">
        <a:xfrm flipH="1" flipV="1">
          <a:off x="13258800" y="5133975"/>
          <a:ext cx="0" cy="0"/>
        </a:xfrm>
        <a:prstGeom prst="line">
          <a:avLst/>
        </a:prstGeom>
        <a:noFill/>
        <a:ln w="9525">
          <a:solidFill>
            <a:srgbClr val="000000"/>
          </a:solidFill>
          <a:round/>
          <a:headEnd/>
          <a:tailEnd type="triangle" w="med" len="me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14</xdr:col>
      <xdr:colOff>247650</xdr:colOff>
      <xdr:row>16</xdr:row>
      <xdr:rowOff>114300</xdr:rowOff>
    </xdr:from>
    <xdr:to>
      <xdr:col>14</xdr:col>
      <xdr:colOff>247650</xdr:colOff>
      <xdr:row>19</xdr:row>
      <xdr:rowOff>190500</xdr:rowOff>
    </xdr:to>
    <xdr:sp macro="" textlink="">
      <xdr:nvSpPr>
        <xdr:cNvPr id="390755" name="Line 356"/>
        <xdr:cNvSpPr>
          <a:spLocks noChangeShapeType="1"/>
        </xdr:cNvSpPr>
      </xdr:nvSpPr>
      <xdr:spPr bwMode="auto">
        <a:xfrm>
          <a:off x="11449050" y="3686175"/>
          <a:ext cx="0" cy="609600"/>
        </a:xfrm>
        <a:prstGeom prst="line">
          <a:avLst/>
        </a:prstGeom>
        <a:noFill/>
        <a:ln w="3175">
          <a:solidFill>
            <a:srgbClr val="000000"/>
          </a:solidFill>
          <a:round/>
          <a:headEnd/>
          <a:tailEn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14</xdr:col>
      <xdr:colOff>247650</xdr:colOff>
      <xdr:row>19</xdr:row>
      <xdr:rowOff>114300</xdr:rowOff>
    </xdr:from>
    <xdr:to>
      <xdr:col>15</xdr:col>
      <xdr:colOff>200025</xdr:colOff>
      <xdr:row>19</xdr:row>
      <xdr:rowOff>114300</xdr:rowOff>
    </xdr:to>
    <xdr:sp macro="" textlink="">
      <xdr:nvSpPr>
        <xdr:cNvPr id="390756" name="Line 357"/>
        <xdr:cNvSpPr>
          <a:spLocks noChangeShapeType="1"/>
        </xdr:cNvSpPr>
      </xdr:nvSpPr>
      <xdr:spPr bwMode="auto">
        <a:xfrm>
          <a:off x="11449050" y="4229100"/>
          <a:ext cx="638175"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14</xdr:col>
      <xdr:colOff>257175</xdr:colOff>
      <xdr:row>19</xdr:row>
      <xdr:rowOff>190500</xdr:rowOff>
    </xdr:from>
    <xdr:to>
      <xdr:col>15</xdr:col>
      <xdr:colOff>247650</xdr:colOff>
      <xdr:row>19</xdr:row>
      <xdr:rowOff>190500</xdr:rowOff>
    </xdr:to>
    <xdr:sp macro="" textlink="">
      <xdr:nvSpPr>
        <xdr:cNvPr id="390757" name="Line 358"/>
        <xdr:cNvSpPr>
          <a:spLocks noChangeShapeType="1"/>
        </xdr:cNvSpPr>
      </xdr:nvSpPr>
      <xdr:spPr bwMode="auto">
        <a:xfrm flipV="1">
          <a:off x="11458575" y="4295775"/>
          <a:ext cx="676275" cy="0"/>
        </a:xfrm>
        <a:prstGeom prst="line">
          <a:avLst/>
        </a:prstGeom>
        <a:noFill/>
        <a:ln w="3175">
          <a:solidFill>
            <a:srgbClr val="000000"/>
          </a:solidFill>
          <a:round/>
          <a:headEnd/>
          <a:tailEn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15</xdr:col>
      <xdr:colOff>9525</xdr:colOff>
      <xdr:row>17</xdr:row>
      <xdr:rowOff>180975</xdr:rowOff>
    </xdr:from>
    <xdr:to>
      <xdr:col>15</xdr:col>
      <xdr:colOff>257175</xdr:colOff>
      <xdr:row>17</xdr:row>
      <xdr:rowOff>180975</xdr:rowOff>
    </xdr:to>
    <xdr:sp macro="" textlink="">
      <xdr:nvSpPr>
        <xdr:cNvPr id="390758" name="Line 359"/>
        <xdr:cNvSpPr>
          <a:spLocks noChangeShapeType="1"/>
        </xdr:cNvSpPr>
      </xdr:nvSpPr>
      <xdr:spPr bwMode="auto">
        <a:xfrm flipV="1">
          <a:off x="11896725" y="3933825"/>
          <a:ext cx="247650" cy="0"/>
        </a:xfrm>
        <a:prstGeom prst="line">
          <a:avLst/>
        </a:prstGeom>
        <a:noFill/>
        <a:ln w="3175">
          <a:solidFill>
            <a:srgbClr val="000000"/>
          </a:solidFill>
          <a:round/>
          <a:headEnd/>
          <a:tailEn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15</xdr:col>
      <xdr:colOff>200025</xdr:colOff>
      <xdr:row>17</xdr:row>
      <xdr:rowOff>190500</xdr:rowOff>
    </xdr:from>
    <xdr:to>
      <xdr:col>15</xdr:col>
      <xdr:colOff>200025</xdr:colOff>
      <xdr:row>19</xdr:row>
      <xdr:rowOff>171450</xdr:rowOff>
    </xdr:to>
    <xdr:sp macro="" textlink="">
      <xdr:nvSpPr>
        <xdr:cNvPr id="390759" name="Line 360"/>
        <xdr:cNvSpPr>
          <a:spLocks noChangeShapeType="1"/>
        </xdr:cNvSpPr>
      </xdr:nvSpPr>
      <xdr:spPr bwMode="auto">
        <a:xfrm>
          <a:off x="12087225" y="3933825"/>
          <a:ext cx="0" cy="352425"/>
        </a:xfrm>
        <a:prstGeom prst="line">
          <a:avLst/>
        </a:prstGeom>
        <a:noFill/>
        <a:ln w="3175">
          <a:solidFill>
            <a:srgbClr val="000000"/>
          </a:solidFill>
          <a:round/>
          <a:headEnd type="triangle" w="med" len="med"/>
          <a:tailEnd type="triangle" w="med" len="me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14</xdr:col>
      <xdr:colOff>247650</xdr:colOff>
      <xdr:row>17</xdr:row>
      <xdr:rowOff>123825</xdr:rowOff>
    </xdr:from>
    <xdr:to>
      <xdr:col>15</xdr:col>
      <xdr:colOff>0</xdr:colOff>
      <xdr:row>17</xdr:row>
      <xdr:rowOff>123825</xdr:rowOff>
    </xdr:to>
    <xdr:sp macro="" textlink="">
      <xdr:nvSpPr>
        <xdr:cNvPr id="390760" name="Line 361"/>
        <xdr:cNvSpPr>
          <a:spLocks noChangeShapeType="1"/>
        </xdr:cNvSpPr>
      </xdr:nvSpPr>
      <xdr:spPr bwMode="auto">
        <a:xfrm>
          <a:off x="11449050" y="3876675"/>
          <a:ext cx="43815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14</xdr:col>
      <xdr:colOff>238125</xdr:colOff>
      <xdr:row>17</xdr:row>
      <xdr:rowOff>76200</xdr:rowOff>
    </xdr:from>
    <xdr:to>
      <xdr:col>15</xdr:col>
      <xdr:colOff>9525</xdr:colOff>
      <xdr:row>17</xdr:row>
      <xdr:rowOff>85725</xdr:rowOff>
    </xdr:to>
    <xdr:sp macro="" textlink="">
      <xdr:nvSpPr>
        <xdr:cNvPr id="390761" name="Line 362"/>
        <xdr:cNvSpPr>
          <a:spLocks noChangeShapeType="1"/>
        </xdr:cNvSpPr>
      </xdr:nvSpPr>
      <xdr:spPr bwMode="auto">
        <a:xfrm flipV="1">
          <a:off x="11439525" y="3829050"/>
          <a:ext cx="457200" cy="9525"/>
        </a:xfrm>
        <a:prstGeom prst="line">
          <a:avLst/>
        </a:prstGeom>
        <a:noFill/>
        <a:ln w="3175">
          <a:solidFill>
            <a:srgbClr val="000000"/>
          </a:solidFill>
          <a:round/>
          <a:headEnd type="triangle" w="med" len="med"/>
          <a:tailEnd type="triangle" w="med" len="me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12</xdr:col>
      <xdr:colOff>38100</xdr:colOff>
      <xdr:row>22</xdr:row>
      <xdr:rowOff>123825</xdr:rowOff>
    </xdr:from>
    <xdr:to>
      <xdr:col>12</xdr:col>
      <xdr:colOff>361950</xdr:colOff>
      <xdr:row>22</xdr:row>
      <xdr:rowOff>123825</xdr:rowOff>
    </xdr:to>
    <xdr:sp macro="" textlink="">
      <xdr:nvSpPr>
        <xdr:cNvPr id="390762" name="Line 363"/>
        <xdr:cNvSpPr>
          <a:spLocks noChangeShapeType="1"/>
        </xdr:cNvSpPr>
      </xdr:nvSpPr>
      <xdr:spPr bwMode="auto">
        <a:xfrm>
          <a:off x="9867900" y="4781550"/>
          <a:ext cx="32385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12</xdr:col>
      <xdr:colOff>57150</xdr:colOff>
      <xdr:row>22</xdr:row>
      <xdr:rowOff>114300</xdr:rowOff>
    </xdr:from>
    <xdr:to>
      <xdr:col>12</xdr:col>
      <xdr:colOff>428625</xdr:colOff>
      <xdr:row>22</xdr:row>
      <xdr:rowOff>114300</xdr:rowOff>
    </xdr:to>
    <xdr:sp macro="" textlink="">
      <xdr:nvSpPr>
        <xdr:cNvPr id="390763" name="Line 364"/>
        <xdr:cNvSpPr>
          <a:spLocks noChangeShapeType="1"/>
        </xdr:cNvSpPr>
      </xdr:nvSpPr>
      <xdr:spPr bwMode="auto">
        <a:xfrm>
          <a:off x="9886950" y="4772025"/>
          <a:ext cx="371475"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11</xdr:col>
      <xdr:colOff>581025</xdr:colOff>
      <xdr:row>22</xdr:row>
      <xdr:rowOff>190500</xdr:rowOff>
    </xdr:from>
    <xdr:to>
      <xdr:col>12</xdr:col>
      <xdr:colOff>571500</xdr:colOff>
      <xdr:row>22</xdr:row>
      <xdr:rowOff>200025</xdr:rowOff>
    </xdr:to>
    <xdr:sp macro="" textlink="">
      <xdr:nvSpPr>
        <xdr:cNvPr id="390764" name="Line 365"/>
        <xdr:cNvSpPr>
          <a:spLocks noChangeShapeType="1"/>
        </xdr:cNvSpPr>
      </xdr:nvSpPr>
      <xdr:spPr bwMode="auto">
        <a:xfrm flipH="1">
          <a:off x="9725025" y="4838700"/>
          <a:ext cx="676275" cy="0"/>
        </a:xfrm>
        <a:prstGeom prst="line">
          <a:avLst/>
        </a:prstGeom>
        <a:noFill/>
        <a:ln w="3175">
          <a:solidFill>
            <a:srgbClr val="000000"/>
          </a:solidFill>
          <a:round/>
          <a:headEnd/>
          <a:tailEn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12</xdr:col>
      <xdr:colOff>561975</xdr:colOff>
      <xdr:row>22</xdr:row>
      <xdr:rowOff>200025</xdr:rowOff>
    </xdr:from>
    <xdr:to>
      <xdr:col>12</xdr:col>
      <xdr:colOff>561975</xdr:colOff>
      <xdr:row>24</xdr:row>
      <xdr:rowOff>200025</xdr:rowOff>
    </xdr:to>
    <xdr:sp macro="" textlink="">
      <xdr:nvSpPr>
        <xdr:cNvPr id="390765" name="Line 366"/>
        <xdr:cNvSpPr>
          <a:spLocks noChangeShapeType="1"/>
        </xdr:cNvSpPr>
      </xdr:nvSpPr>
      <xdr:spPr bwMode="auto">
        <a:xfrm>
          <a:off x="10391775" y="4838700"/>
          <a:ext cx="0" cy="381000"/>
        </a:xfrm>
        <a:prstGeom prst="line">
          <a:avLst/>
        </a:prstGeom>
        <a:noFill/>
        <a:ln w="3175">
          <a:solidFill>
            <a:srgbClr val="000000"/>
          </a:solidFill>
          <a:round/>
          <a:headEnd/>
          <a:tailEn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12</xdr:col>
      <xdr:colOff>123825</xdr:colOff>
      <xdr:row>24</xdr:row>
      <xdr:rowOff>9525</xdr:rowOff>
    </xdr:from>
    <xdr:to>
      <xdr:col>12</xdr:col>
      <xdr:colOff>133350</xdr:colOff>
      <xdr:row>24</xdr:row>
      <xdr:rowOff>228600</xdr:rowOff>
    </xdr:to>
    <xdr:sp macro="" textlink="">
      <xdr:nvSpPr>
        <xdr:cNvPr id="390766" name="Line 367"/>
        <xdr:cNvSpPr>
          <a:spLocks noChangeShapeType="1"/>
        </xdr:cNvSpPr>
      </xdr:nvSpPr>
      <xdr:spPr bwMode="auto">
        <a:xfrm flipH="1">
          <a:off x="9953625" y="5029200"/>
          <a:ext cx="9525" cy="219075"/>
        </a:xfrm>
        <a:prstGeom prst="line">
          <a:avLst/>
        </a:prstGeom>
        <a:noFill/>
        <a:ln w="3175">
          <a:solidFill>
            <a:srgbClr val="000000"/>
          </a:solidFill>
          <a:round/>
          <a:headEnd/>
          <a:tailEn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12</xdr:col>
      <xdr:colOff>161925</xdr:colOff>
      <xdr:row>24</xdr:row>
      <xdr:rowOff>104775</xdr:rowOff>
    </xdr:from>
    <xdr:to>
      <xdr:col>12</xdr:col>
      <xdr:colOff>533400</xdr:colOff>
      <xdr:row>24</xdr:row>
      <xdr:rowOff>114300</xdr:rowOff>
    </xdr:to>
    <xdr:sp macro="" textlink="">
      <xdr:nvSpPr>
        <xdr:cNvPr id="390767" name="Line 368"/>
        <xdr:cNvSpPr>
          <a:spLocks noChangeShapeType="1"/>
        </xdr:cNvSpPr>
      </xdr:nvSpPr>
      <xdr:spPr bwMode="auto">
        <a:xfrm flipV="1">
          <a:off x="9991725" y="5124450"/>
          <a:ext cx="371475" cy="9525"/>
        </a:xfrm>
        <a:prstGeom prst="line">
          <a:avLst/>
        </a:prstGeom>
        <a:noFill/>
        <a:ln w="3175">
          <a:solidFill>
            <a:srgbClr val="000000"/>
          </a:solidFill>
          <a:round/>
          <a:headEnd type="triangle" w="med" len="med"/>
          <a:tailEnd type="triangle" w="med" len="me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11</xdr:col>
      <xdr:colOff>342900</xdr:colOff>
      <xdr:row>24</xdr:row>
      <xdr:rowOff>9525</xdr:rowOff>
    </xdr:from>
    <xdr:to>
      <xdr:col>12</xdr:col>
      <xdr:colOff>123825</xdr:colOff>
      <xdr:row>24</xdr:row>
      <xdr:rowOff>19050</xdr:rowOff>
    </xdr:to>
    <xdr:sp macro="" textlink="">
      <xdr:nvSpPr>
        <xdr:cNvPr id="390768" name="Line 369"/>
        <xdr:cNvSpPr>
          <a:spLocks noChangeShapeType="1"/>
        </xdr:cNvSpPr>
      </xdr:nvSpPr>
      <xdr:spPr bwMode="auto">
        <a:xfrm flipH="1">
          <a:off x="9486900" y="5029200"/>
          <a:ext cx="466725" cy="9525"/>
        </a:xfrm>
        <a:prstGeom prst="line">
          <a:avLst/>
        </a:prstGeom>
        <a:noFill/>
        <a:ln w="3175">
          <a:solidFill>
            <a:srgbClr val="000000"/>
          </a:solidFill>
          <a:round/>
          <a:headEnd/>
          <a:tailEn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12</xdr:col>
      <xdr:colOff>66675</xdr:colOff>
      <xdr:row>21</xdr:row>
      <xdr:rowOff>133350</xdr:rowOff>
    </xdr:from>
    <xdr:to>
      <xdr:col>12</xdr:col>
      <xdr:colOff>66675</xdr:colOff>
      <xdr:row>22</xdr:row>
      <xdr:rowOff>190500</xdr:rowOff>
    </xdr:to>
    <xdr:sp macro="" textlink="">
      <xdr:nvSpPr>
        <xdr:cNvPr id="390769" name="Line 370"/>
        <xdr:cNvSpPr>
          <a:spLocks noChangeShapeType="1"/>
        </xdr:cNvSpPr>
      </xdr:nvSpPr>
      <xdr:spPr bwMode="auto">
        <a:xfrm>
          <a:off x="9896475" y="4610100"/>
          <a:ext cx="0" cy="22860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type="triangle" w="med" len="med"/>
              <a:tailEnd type="triangle" w="med" len="me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12</xdr:col>
      <xdr:colOff>9525</xdr:colOff>
      <xdr:row>22</xdr:row>
      <xdr:rowOff>190500</xdr:rowOff>
    </xdr:from>
    <xdr:to>
      <xdr:col>12</xdr:col>
      <xdr:colOff>19050</xdr:colOff>
      <xdr:row>24</xdr:row>
      <xdr:rowOff>19050</xdr:rowOff>
    </xdr:to>
    <xdr:sp macro="" textlink="">
      <xdr:nvSpPr>
        <xdr:cNvPr id="390770" name="Line 371"/>
        <xdr:cNvSpPr>
          <a:spLocks noChangeShapeType="1"/>
        </xdr:cNvSpPr>
      </xdr:nvSpPr>
      <xdr:spPr bwMode="auto">
        <a:xfrm flipH="1">
          <a:off x="9839325" y="4838700"/>
          <a:ext cx="9525" cy="200025"/>
        </a:xfrm>
        <a:prstGeom prst="line">
          <a:avLst/>
        </a:prstGeom>
        <a:noFill/>
        <a:ln w="3175">
          <a:solidFill>
            <a:srgbClr val="000000"/>
          </a:solidFill>
          <a:round/>
          <a:headEnd type="triangle" w="med" len="med"/>
          <a:tailEnd type="triangle" w="med" len="me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14</xdr:col>
      <xdr:colOff>219075</xdr:colOff>
      <xdr:row>22</xdr:row>
      <xdr:rowOff>114300</xdr:rowOff>
    </xdr:from>
    <xdr:to>
      <xdr:col>14</xdr:col>
      <xdr:colOff>219075</xdr:colOff>
      <xdr:row>24</xdr:row>
      <xdr:rowOff>152400</xdr:rowOff>
    </xdr:to>
    <xdr:sp macro="" textlink="">
      <xdr:nvSpPr>
        <xdr:cNvPr id="390771" name="Line 372"/>
        <xdr:cNvSpPr>
          <a:spLocks noChangeShapeType="1"/>
        </xdr:cNvSpPr>
      </xdr:nvSpPr>
      <xdr:spPr bwMode="auto">
        <a:xfrm>
          <a:off x="11420475" y="4772025"/>
          <a:ext cx="0" cy="40005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14</xdr:col>
      <xdr:colOff>238125</xdr:colOff>
      <xdr:row>22</xdr:row>
      <xdr:rowOff>114300</xdr:rowOff>
    </xdr:from>
    <xdr:to>
      <xdr:col>14</xdr:col>
      <xdr:colOff>238125</xdr:colOff>
      <xdr:row>24</xdr:row>
      <xdr:rowOff>47625</xdr:rowOff>
    </xdr:to>
    <xdr:sp macro="" textlink="">
      <xdr:nvSpPr>
        <xdr:cNvPr id="390772" name="Line 373"/>
        <xdr:cNvSpPr>
          <a:spLocks noChangeShapeType="1"/>
        </xdr:cNvSpPr>
      </xdr:nvSpPr>
      <xdr:spPr bwMode="auto">
        <a:xfrm>
          <a:off x="11439525" y="4772025"/>
          <a:ext cx="0" cy="295275"/>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14</xdr:col>
      <xdr:colOff>257175</xdr:colOff>
      <xdr:row>22</xdr:row>
      <xdr:rowOff>200025</xdr:rowOff>
    </xdr:from>
    <xdr:to>
      <xdr:col>14</xdr:col>
      <xdr:colOff>257175</xdr:colOff>
      <xdr:row>24</xdr:row>
      <xdr:rowOff>238125</xdr:rowOff>
    </xdr:to>
    <xdr:sp macro="" textlink="">
      <xdr:nvSpPr>
        <xdr:cNvPr id="390773" name="Line 374"/>
        <xdr:cNvSpPr>
          <a:spLocks noChangeShapeType="1"/>
        </xdr:cNvSpPr>
      </xdr:nvSpPr>
      <xdr:spPr bwMode="auto">
        <a:xfrm>
          <a:off x="11458575" y="4838700"/>
          <a:ext cx="0" cy="419100"/>
        </a:xfrm>
        <a:prstGeom prst="line">
          <a:avLst/>
        </a:prstGeom>
        <a:noFill/>
        <a:ln w="3175">
          <a:solidFill>
            <a:srgbClr val="000000"/>
          </a:solidFill>
          <a:round/>
          <a:headEnd/>
          <a:tailEn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14</xdr:col>
      <xdr:colOff>209550</xdr:colOff>
      <xdr:row>22</xdr:row>
      <xdr:rowOff>123825</xdr:rowOff>
    </xdr:from>
    <xdr:to>
      <xdr:col>15</xdr:col>
      <xdr:colOff>209550</xdr:colOff>
      <xdr:row>22</xdr:row>
      <xdr:rowOff>123825</xdr:rowOff>
    </xdr:to>
    <xdr:sp macro="" textlink="">
      <xdr:nvSpPr>
        <xdr:cNvPr id="390774" name="Line 375"/>
        <xdr:cNvSpPr>
          <a:spLocks noChangeShapeType="1"/>
        </xdr:cNvSpPr>
      </xdr:nvSpPr>
      <xdr:spPr bwMode="auto">
        <a:xfrm>
          <a:off x="11410950" y="4781550"/>
          <a:ext cx="68580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14</xdr:col>
      <xdr:colOff>266700</xdr:colOff>
      <xdr:row>22</xdr:row>
      <xdr:rowOff>180975</xdr:rowOff>
    </xdr:from>
    <xdr:to>
      <xdr:col>15</xdr:col>
      <xdr:colOff>266700</xdr:colOff>
      <xdr:row>22</xdr:row>
      <xdr:rowOff>180975</xdr:rowOff>
    </xdr:to>
    <xdr:sp macro="" textlink="">
      <xdr:nvSpPr>
        <xdr:cNvPr id="390775" name="Line 376"/>
        <xdr:cNvSpPr>
          <a:spLocks noChangeShapeType="1"/>
        </xdr:cNvSpPr>
      </xdr:nvSpPr>
      <xdr:spPr bwMode="auto">
        <a:xfrm>
          <a:off x="11468100" y="4838700"/>
          <a:ext cx="685800" cy="0"/>
        </a:xfrm>
        <a:prstGeom prst="line">
          <a:avLst/>
        </a:prstGeom>
        <a:noFill/>
        <a:ln w="3175">
          <a:solidFill>
            <a:srgbClr val="000000"/>
          </a:solidFill>
          <a:round/>
          <a:headEnd/>
          <a:tailEn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15</xdr:col>
      <xdr:colOff>0</xdr:colOff>
      <xdr:row>24</xdr:row>
      <xdr:rowOff>19050</xdr:rowOff>
    </xdr:from>
    <xdr:to>
      <xdr:col>15</xdr:col>
      <xdr:colOff>0</xdr:colOff>
      <xdr:row>24</xdr:row>
      <xdr:rowOff>238125</xdr:rowOff>
    </xdr:to>
    <xdr:sp macro="" textlink="">
      <xdr:nvSpPr>
        <xdr:cNvPr id="390776" name="Line 377"/>
        <xdr:cNvSpPr>
          <a:spLocks noChangeShapeType="1"/>
        </xdr:cNvSpPr>
      </xdr:nvSpPr>
      <xdr:spPr bwMode="auto">
        <a:xfrm>
          <a:off x="11887200" y="5038725"/>
          <a:ext cx="0" cy="219075"/>
        </a:xfrm>
        <a:prstGeom prst="line">
          <a:avLst/>
        </a:prstGeom>
        <a:noFill/>
        <a:ln w="3175">
          <a:solidFill>
            <a:srgbClr val="000000"/>
          </a:solidFill>
          <a:round/>
          <a:headEnd/>
          <a:tailEn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15</xdr:col>
      <xdr:colOff>0</xdr:colOff>
      <xdr:row>24</xdr:row>
      <xdr:rowOff>19050</xdr:rowOff>
    </xdr:from>
    <xdr:to>
      <xdr:col>15</xdr:col>
      <xdr:colOff>238125</xdr:colOff>
      <xdr:row>24</xdr:row>
      <xdr:rowOff>19050</xdr:rowOff>
    </xdr:to>
    <xdr:sp macro="" textlink="">
      <xdr:nvSpPr>
        <xdr:cNvPr id="390777" name="Line 378"/>
        <xdr:cNvSpPr>
          <a:spLocks noChangeShapeType="1"/>
        </xdr:cNvSpPr>
      </xdr:nvSpPr>
      <xdr:spPr bwMode="auto">
        <a:xfrm>
          <a:off x="11887200" y="5038725"/>
          <a:ext cx="238125"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15</xdr:col>
      <xdr:colOff>19050</xdr:colOff>
      <xdr:row>24</xdr:row>
      <xdr:rowOff>9525</xdr:rowOff>
    </xdr:from>
    <xdr:to>
      <xdr:col>15</xdr:col>
      <xdr:colOff>247650</xdr:colOff>
      <xdr:row>24</xdr:row>
      <xdr:rowOff>9525</xdr:rowOff>
    </xdr:to>
    <xdr:sp macro="" textlink="">
      <xdr:nvSpPr>
        <xdr:cNvPr id="390778" name="Line 379"/>
        <xdr:cNvSpPr>
          <a:spLocks noChangeShapeType="1"/>
        </xdr:cNvSpPr>
      </xdr:nvSpPr>
      <xdr:spPr bwMode="auto">
        <a:xfrm>
          <a:off x="11906250" y="5029200"/>
          <a:ext cx="22860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15</xdr:col>
      <xdr:colOff>0</xdr:colOff>
      <xdr:row>24</xdr:row>
      <xdr:rowOff>9525</xdr:rowOff>
    </xdr:from>
    <xdr:to>
      <xdr:col>15</xdr:col>
      <xdr:colOff>304800</xdr:colOff>
      <xdr:row>24</xdr:row>
      <xdr:rowOff>9525</xdr:rowOff>
    </xdr:to>
    <xdr:sp macro="" textlink="">
      <xdr:nvSpPr>
        <xdr:cNvPr id="390779" name="Line 380"/>
        <xdr:cNvSpPr>
          <a:spLocks noChangeShapeType="1"/>
        </xdr:cNvSpPr>
      </xdr:nvSpPr>
      <xdr:spPr bwMode="auto">
        <a:xfrm>
          <a:off x="11887200" y="5029200"/>
          <a:ext cx="304800" cy="0"/>
        </a:xfrm>
        <a:prstGeom prst="line">
          <a:avLst/>
        </a:prstGeom>
        <a:noFill/>
        <a:ln w="3175">
          <a:solidFill>
            <a:srgbClr val="000000"/>
          </a:solidFill>
          <a:round/>
          <a:headEnd/>
          <a:tailEn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15</xdr:col>
      <xdr:colOff>104775</xdr:colOff>
      <xdr:row>21</xdr:row>
      <xdr:rowOff>133350</xdr:rowOff>
    </xdr:from>
    <xdr:to>
      <xdr:col>15</xdr:col>
      <xdr:colOff>104775</xdr:colOff>
      <xdr:row>22</xdr:row>
      <xdr:rowOff>190500</xdr:rowOff>
    </xdr:to>
    <xdr:sp macro="" textlink="">
      <xdr:nvSpPr>
        <xdr:cNvPr id="390780" name="Line 381"/>
        <xdr:cNvSpPr>
          <a:spLocks noChangeShapeType="1"/>
        </xdr:cNvSpPr>
      </xdr:nvSpPr>
      <xdr:spPr bwMode="auto">
        <a:xfrm>
          <a:off x="11991975" y="4610100"/>
          <a:ext cx="0" cy="22860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type="triangle" w="med" len="med"/>
              <a:tailEnd type="triangle" w="med" len="me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15</xdr:col>
      <xdr:colOff>219075</xdr:colOff>
      <xdr:row>22</xdr:row>
      <xdr:rowOff>209550</xdr:rowOff>
    </xdr:from>
    <xdr:to>
      <xdr:col>15</xdr:col>
      <xdr:colOff>219075</xdr:colOff>
      <xdr:row>23</xdr:row>
      <xdr:rowOff>285750</xdr:rowOff>
    </xdr:to>
    <xdr:sp macro="" textlink="">
      <xdr:nvSpPr>
        <xdr:cNvPr id="390781" name="Line 382"/>
        <xdr:cNvSpPr>
          <a:spLocks noChangeShapeType="1"/>
        </xdr:cNvSpPr>
      </xdr:nvSpPr>
      <xdr:spPr bwMode="auto">
        <a:xfrm flipH="1">
          <a:off x="12106275" y="4838700"/>
          <a:ext cx="0" cy="180975"/>
        </a:xfrm>
        <a:prstGeom prst="line">
          <a:avLst/>
        </a:prstGeom>
        <a:noFill/>
        <a:ln w="3175">
          <a:solidFill>
            <a:srgbClr val="000000"/>
          </a:solidFill>
          <a:round/>
          <a:headEnd type="triangle" w="med" len="med"/>
          <a:tailEnd type="triangle" w="med" len="me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14</xdr:col>
      <xdr:colOff>238125</xdr:colOff>
      <xdr:row>24</xdr:row>
      <xdr:rowOff>123825</xdr:rowOff>
    </xdr:from>
    <xdr:to>
      <xdr:col>14</xdr:col>
      <xdr:colOff>495300</xdr:colOff>
      <xdr:row>24</xdr:row>
      <xdr:rowOff>123825</xdr:rowOff>
    </xdr:to>
    <xdr:sp macro="" textlink="">
      <xdr:nvSpPr>
        <xdr:cNvPr id="390782" name="Line 383"/>
        <xdr:cNvSpPr>
          <a:spLocks noChangeShapeType="1"/>
        </xdr:cNvSpPr>
      </xdr:nvSpPr>
      <xdr:spPr bwMode="auto">
        <a:xfrm>
          <a:off x="11439525" y="5143500"/>
          <a:ext cx="257175"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type="triangle" w="med" len="med"/>
              <a:tailEnd type="triangle" w="med" len="me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14</xdr:col>
      <xdr:colOff>295275</xdr:colOff>
      <xdr:row>24</xdr:row>
      <xdr:rowOff>95250</xdr:rowOff>
    </xdr:from>
    <xdr:to>
      <xdr:col>15</xdr:col>
      <xdr:colOff>9525</xdr:colOff>
      <xdr:row>24</xdr:row>
      <xdr:rowOff>95250</xdr:rowOff>
    </xdr:to>
    <xdr:sp macro="" textlink="">
      <xdr:nvSpPr>
        <xdr:cNvPr id="390783" name="Line 384"/>
        <xdr:cNvSpPr>
          <a:spLocks noChangeShapeType="1"/>
        </xdr:cNvSpPr>
      </xdr:nvSpPr>
      <xdr:spPr bwMode="auto">
        <a:xfrm>
          <a:off x="11496675" y="5114925"/>
          <a:ext cx="40005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type="triangle" w="med" len="med"/>
              <a:tailEnd type="triangle" w="med" len="me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14</xdr:col>
      <xdr:colOff>266700</xdr:colOff>
      <xdr:row>24</xdr:row>
      <xdr:rowOff>104775</xdr:rowOff>
    </xdr:from>
    <xdr:to>
      <xdr:col>15</xdr:col>
      <xdr:colOff>0</xdr:colOff>
      <xdr:row>24</xdr:row>
      <xdr:rowOff>104775</xdr:rowOff>
    </xdr:to>
    <xdr:sp macro="" textlink="">
      <xdr:nvSpPr>
        <xdr:cNvPr id="390784" name="Line 385"/>
        <xdr:cNvSpPr>
          <a:spLocks noChangeShapeType="1"/>
        </xdr:cNvSpPr>
      </xdr:nvSpPr>
      <xdr:spPr bwMode="auto">
        <a:xfrm>
          <a:off x="11468100" y="5124450"/>
          <a:ext cx="41910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type="triangle" w="med" len="med"/>
              <a:tailEnd type="triangle" w="med" len="me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14</xdr:col>
      <xdr:colOff>257175</xdr:colOff>
      <xdr:row>24</xdr:row>
      <xdr:rowOff>114300</xdr:rowOff>
    </xdr:from>
    <xdr:to>
      <xdr:col>14</xdr:col>
      <xdr:colOff>666750</xdr:colOff>
      <xdr:row>24</xdr:row>
      <xdr:rowOff>114300</xdr:rowOff>
    </xdr:to>
    <xdr:sp macro="" textlink="">
      <xdr:nvSpPr>
        <xdr:cNvPr id="390785" name="Line 386"/>
        <xdr:cNvSpPr>
          <a:spLocks noChangeShapeType="1"/>
        </xdr:cNvSpPr>
      </xdr:nvSpPr>
      <xdr:spPr bwMode="auto">
        <a:xfrm>
          <a:off x="11458575" y="5133975"/>
          <a:ext cx="409575" cy="0"/>
        </a:xfrm>
        <a:prstGeom prst="line">
          <a:avLst/>
        </a:prstGeom>
        <a:noFill/>
        <a:ln w="3175">
          <a:solidFill>
            <a:srgbClr val="000000"/>
          </a:solidFill>
          <a:round/>
          <a:headEnd type="triangle" w="med" len="med"/>
          <a:tailEnd type="triangle" w="med" len="me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17</xdr:col>
      <xdr:colOff>0</xdr:colOff>
      <xdr:row>24</xdr:row>
      <xdr:rowOff>95250</xdr:rowOff>
    </xdr:from>
    <xdr:to>
      <xdr:col>17</xdr:col>
      <xdr:colOff>0</xdr:colOff>
      <xdr:row>24</xdr:row>
      <xdr:rowOff>95250</xdr:rowOff>
    </xdr:to>
    <xdr:sp macro="" textlink="">
      <xdr:nvSpPr>
        <xdr:cNvPr id="390786" name="Line 387"/>
        <xdr:cNvSpPr>
          <a:spLocks noChangeShapeType="1"/>
        </xdr:cNvSpPr>
      </xdr:nvSpPr>
      <xdr:spPr bwMode="auto">
        <a:xfrm>
          <a:off x="13258800" y="5114925"/>
          <a:ext cx="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type="triangle" w="med" len="med"/>
              <a:tailEnd type="triangle" w="med" len="me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17</xdr:col>
      <xdr:colOff>0</xdr:colOff>
      <xdr:row>23</xdr:row>
      <xdr:rowOff>0</xdr:rowOff>
    </xdr:from>
    <xdr:to>
      <xdr:col>17</xdr:col>
      <xdr:colOff>371475</xdr:colOff>
      <xdr:row>23</xdr:row>
      <xdr:rowOff>0</xdr:rowOff>
    </xdr:to>
    <xdr:sp macro="" textlink="">
      <xdr:nvSpPr>
        <xdr:cNvPr id="390787" name="Line 388"/>
        <xdr:cNvSpPr>
          <a:spLocks noChangeShapeType="1"/>
        </xdr:cNvSpPr>
      </xdr:nvSpPr>
      <xdr:spPr bwMode="auto">
        <a:xfrm>
          <a:off x="13258800" y="4838700"/>
          <a:ext cx="371475"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17</xdr:col>
      <xdr:colOff>209550</xdr:colOff>
      <xdr:row>24</xdr:row>
      <xdr:rowOff>28575</xdr:rowOff>
    </xdr:from>
    <xdr:to>
      <xdr:col>17</xdr:col>
      <xdr:colOff>390525</xdr:colOff>
      <xdr:row>24</xdr:row>
      <xdr:rowOff>28575</xdr:rowOff>
    </xdr:to>
    <xdr:sp macro="" textlink="">
      <xdr:nvSpPr>
        <xdr:cNvPr id="390788" name="Line 389"/>
        <xdr:cNvSpPr>
          <a:spLocks noChangeShapeType="1"/>
        </xdr:cNvSpPr>
      </xdr:nvSpPr>
      <xdr:spPr bwMode="auto">
        <a:xfrm>
          <a:off x="13468350" y="5048250"/>
          <a:ext cx="180975"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17</xdr:col>
      <xdr:colOff>190500</xdr:colOff>
      <xdr:row>24</xdr:row>
      <xdr:rowOff>0</xdr:rowOff>
    </xdr:from>
    <xdr:to>
      <xdr:col>17</xdr:col>
      <xdr:colOff>447675</xdr:colOff>
      <xdr:row>24</xdr:row>
      <xdr:rowOff>0</xdr:rowOff>
    </xdr:to>
    <xdr:sp macro="" textlink="">
      <xdr:nvSpPr>
        <xdr:cNvPr id="390789" name="Line 390"/>
        <xdr:cNvSpPr>
          <a:spLocks noChangeShapeType="1"/>
        </xdr:cNvSpPr>
      </xdr:nvSpPr>
      <xdr:spPr bwMode="auto">
        <a:xfrm>
          <a:off x="13449300" y="5019675"/>
          <a:ext cx="257175"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17</xdr:col>
      <xdr:colOff>190500</xdr:colOff>
      <xdr:row>24</xdr:row>
      <xdr:rowOff>104775</xdr:rowOff>
    </xdr:from>
    <xdr:to>
      <xdr:col>17</xdr:col>
      <xdr:colOff>219075</xdr:colOff>
      <xdr:row>24</xdr:row>
      <xdr:rowOff>104775</xdr:rowOff>
    </xdr:to>
    <xdr:sp macro="" textlink="">
      <xdr:nvSpPr>
        <xdr:cNvPr id="390790" name="Line 391"/>
        <xdr:cNvSpPr>
          <a:spLocks noChangeShapeType="1"/>
        </xdr:cNvSpPr>
      </xdr:nvSpPr>
      <xdr:spPr bwMode="auto">
        <a:xfrm>
          <a:off x="13449300" y="5124450"/>
          <a:ext cx="28575"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17</xdr:col>
      <xdr:colOff>200025</xdr:colOff>
      <xdr:row>24</xdr:row>
      <xdr:rowOff>28575</xdr:rowOff>
    </xdr:from>
    <xdr:to>
      <xdr:col>17</xdr:col>
      <xdr:colOff>409575</xdr:colOff>
      <xdr:row>24</xdr:row>
      <xdr:rowOff>28575</xdr:rowOff>
    </xdr:to>
    <xdr:sp macro="" textlink="">
      <xdr:nvSpPr>
        <xdr:cNvPr id="390791" name="Line 392"/>
        <xdr:cNvSpPr>
          <a:spLocks noChangeShapeType="1"/>
        </xdr:cNvSpPr>
      </xdr:nvSpPr>
      <xdr:spPr bwMode="auto">
        <a:xfrm>
          <a:off x="13458825" y="5048250"/>
          <a:ext cx="20955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17</xdr:col>
      <xdr:colOff>180975</xdr:colOff>
      <xdr:row>24</xdr:row>
      <xdr:rowOff>28575</xdr:rowOff>
    </xdr:from>
    <xdr:to>
      <xdr:col>17</xdr:col>
      <xdr:colOff>333375</xdr:colOff>
      <xdr:row>24</xdr:row>
      <xdr:rowOff>28575</xdr:rowOff>
    </xdr:to>
    <xdr:sp macro="" textlink="">
      <xdr:nvSpPr>
        <xdr:cNvPr id="390792" name="Line 393"/>
        <xdr:cNvSpPr>
          <a:spLocks noChangeShapeType="1"/>
        </xdr:cNvSpPr>
      </xdr:nvSpPr>
      <xdr:spPr bwMode="auto">
        <a:xfrm>
          <a:off x="13439775" y="5048250"/>
          <a:ext cx="15240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17</xdr:col>
      <xdr:colOff>209550</xdr:colOff>
      <xdr:row>24</xdr:row>
      <xdr:rowOff>9525</xdr:rowOff>
    </xdr:from>
    <xdr:to>
      <xdr:col>17</xdr:col>
      <xdr:colOff>419100</xdr:colOff>
      <xdr:row>24</xdr:row>
      <xdr:rowOff>9525</xdr:rowOff>
    </xdr:to>
    <xdr:sp macro="" textlink="">
      <xdr:nvSpPr>
        <xdr:cNvPr id="390793" name="Line 394"/>
        <xdr:cNvSpPr>
          <a:spLocks noChangeShapeType="1"/>
        </xdr:cNvSpPr>
      </xdr:nvSpPr>
      <xdr:spPr bwMode="auto">
        <a:xfrm>
          <a:off x="13468350" y="5029200"/>
          <a:ext cx="20955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17</xdr:col>
      <xdr:colOff>57150</xdr:colOff>
      <xdr:row>24</xdr:row>
      <xdr:rowOff>142875</xdr:rowOff>
    </xdr:from>
    <xdr:to>
      <xdr:col>17</xdr:col>
      <xdr:colOff>466725</xdr:colOff>
      <xdr:row>24</xdr:row>
      <xdr:rowOff>142875</xdr:rowOff>
    </xdr:to>
    <xdr:sp macro="" textlink="">
      <xdr:nvSpPr>
        <xdr:cNvPr id="390794" name="Line 395"/>
        <xdr:cNvSpPr>
          <a:spLocks noChangeShapeType="1"/>
        </xdr:cNvSpPr>
      </xdr:nvSpPr>
      <xdr:spPr bwMode="auto">
        <a:xfrm>
          <a:off x="13315950" y="5162550"/>
          <a:ext cx="409575"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17</xdr:col>
      <xdr:colOff>38100</xdr:colOff>
      <xdr:row>24</xdr:row>
      <xdr:rowOff>152400</xdr:rowOff>
    </xdr:from>
    <xdr:to>
      <xdr:col>17</xdr:col>
      <xdr:colOff>381000</xdr:colOff>
      <xdr:row>24</xdr:row>
      <xdr:rowOff>152400</xdr:rowOff>
    </xdr:to>
    <xdr:sp macro="" textlink="">
      <xdr:nvSpPr>
        <xdr:cNvPr id="390795" name="Line 396"/>
        <xdr:cNvSpPr>
          <a:spLocks noChangeShapeType="1"/>
        </xdr:cNvSpPr>
      </xdr:nvSpPr>
      <xdr:spPr bwMode="auto">
        <a:xfrm>
          <a:off x="13296900" y="5172075"/>
          <a:ext cx="34290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17</xdr:col>
      <xdr:colOff>323850</xdr:colOff>
      <xdr:row>23</xdr:row>
      <xdr:rowOff>9525</xdr:rowOff>
    </xdr:from>
    <xdr:to>
      <xdr:col>18</xdr:col>
      <xdr:colOff>0</xdr:colOff>
      <xdr:row>23</xdr:row>
      <xdr:rowOff>9525</xdr:rowOff>
    </xdr:to>
    <xdr:sp macro="" textlink="">
      <xdr:nvSpPr>
        <xdr:cNvPr id="390796" name="Line 397"/>
        <xdr:cNvSpPr>
          <a:spLocks noChangeShapeType="1"/>
        </xdr:cNvSpPr>
      </xdr:nvSpPr>
      <xdr:spPr bwMode="auto">
        <a:xfrm>
          <a:off x="13582650" y="4848225"/>
          <a:ext cx="36195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17</xdr:col>
      <xdr:colOff>381000</xdr:colOff>
      <xdr:row>23</xdr:row>
      <xdr:rowOff>38100</xdr:rowOff>
    </xdr:from>
    <xdr:to>
      <xdr:col>17</xdr:col>
      <xdr:colOff>381000</xdr:colOff>
      <xdr:row>24</xdr:row>
      <xdr:rowOff>133350</xdr:rowOff>
    </xdr:to>
    <xdr:sp macro="" textlink="">
      <xdr:nvSpPr>
        <xdr:cNvPr id="390797" name="Line 398"/>
        <xdr:cNvSpPr>
          <a:spLocks noChangeShapeType="1"/>
        </xdr:cNvSpPr>
      </xdr:nvSpPr>
      <xdr:spPr bwMode="auto">
        <a:xfrm>
          <a:off x="13639800" y="4876800"/>
          <a:ext cx="0" cy="276225"/>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type="triangle" w="med" len="med"/>
              <a:tailEnd type="triangle" w="med" len="me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12</xdr:col>
      <xdr:colOff>533400</xdr:colOff>
      <xdr:row>18</xdr:row>
      <xdr:rowOff>152400</xdr:rowOff>
    </xdr:from>
    <xdr:to>
      <xdr:col>13</xdr:col>
      <xdr:colOff>76200</xdr:colOff>
      <xdr:row>20</xdr:row>
      <xdr:rowOff>28575</xdr:rowOff>
    </xdr:to>
    <xdr:sp macro="" textlink="">
      <xdr:nvSpPr>
        <xdr:cNvPr id="343" name="Text Box 399"/>
        <xdr:cNvSpPr txBox="1">
          <a:spLocks noChangeArrowheads="1"/>
        </xdr:cNvSpPr>
      </xdr:nvSpPr>
      <xdr:spPr bwMode="auto">
        <a:xfrm>
          <a:off x="10363200" y="4086225"/>
          <a:ext cx="228600" cy="238125"/>
        </a:xfrm>
        <a:prstGeom prst="rect">
          <a:avLst/>
        </a:prstGeom>
        <a:noFill/>
        <a:ln>
          <a:noFill/>
        </a:ln>
        <a:effectLst/>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lgn="ctr">
              <a:solidFill>
                <a:srgbClr val="000000"/>
              </a:solidFill>
              <a:miter lim="800000"/>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txBody>
        <a:bodyPr vertOverflow="clip" wrap="square" lIns="0" tIns="0" rIns="0" bIns="0" anchor="t" upright="1"/>
        <a:lstStyle/>
        <a:p>
          <a:pPr algn="l" rtl="0">
            <a:defRPr sz="1000"/>
          </a:pPr>
          <a:r>
            <a:rPr lang="en-US" altLang="zh-CN" sz="1800" b="0" i="0" u="none" strike="noStrike" baseline="0">
              <a:solidFill>
                <a:srgbClr val="000000"/>
              </a:solidFill>
              <a:latin typeface="宋体"/>
              <a:ea typeface="宋体"/>
            </a:rPr>
            <a:t>.</a:t>
          </a:r>
          <a:r>
            <a:rPr lang="en-US" altLang="zh-CN" sz="1200" b="0" i="0" u="none" strike="noStrike" baseline="0">
              <a:solidFill>
                <a:srgbClr val="000000"/>
              </a:solidFill>
              <a:latin typeface="宋体"/>
              <a:ea typeface="宋体"/>
            </a:rPr>
            <a:t>A</a:t>
          </a:r>
        </a:p>
      </xdr:txBody>
    </xdr:sp>
    <xdr:clientData/>
  </xdr:twoCellAnchor>
  <xdr:twoCellAnchor>
    <xdr:from>
      <xdr:col>14</xdr:col>
      <xdr:colOff>228600</xdr:colOff>
      <xdr:row>18</xdr:row>
      <xdr:rowOff>152400</xdr:rowOff>
    </xdr:from>
    <xdr:to>
      <xdr:col>14</xdr:col>
      <xdr:colOff>457200</xdr:colOff>
      <xdr:row>20</xdr:row>
      <xdr:rowOff>104775</xdr:rowOff>
    </xdr:to>
    <xdr:sp macro="" textlink="">
      <xdr:nvSpPr>
        <xdr:cNvPr id="344" name="Text Box 400"/>
        <xdr:cNvSpPr txBox="1">
          <a:spLocks noChangeArrowheads="1"/>
        </xdr:cNvSpPr>
      </xdr:nvSpPr>
      <xdr:spPr bwMode="auto">
        <a:xfrm>
          <a:off x="11430000" y="4086225"/>
          <a:ext cx="228600" cy="314325"/>
        </a:xfrm>
        <a:prstGeom prst="rect">
          <a:avLst/>
        </a:prstGeom>
        <a:noFill/>
        <a:ln>
          <a:noFill/>
        </a:ln>
        <a:effectLst/>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lgn="ctr">
              <a:solidFill>
                <a:srgbClr val="000000"/>
              </a:solidFill>
              <a:miter lim="800000"/>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txBody>
        <a:bodyPr vertOverflow="clip" wrap="square" lIns="0" tIns="0" rIns="0" bIns="0" anchor="t" upright="1"/>
        <a:lstStyle/>
        <a:p>
          <a:pPr algn="l" rtl="0">
            <a:defRPr sz="1000"/>
          </a:pPr>
          <a:r>
            <a:rPr lang="en-US" altLang="zh-CN" sz="1800" b="0" i="0" u="none" strike="noStrike" baseline="0">
              <a:solidFill>
                <a:srgbClr val="000000"/>
              </a:solidFill>
              <a:latin typeface="宋体"/>
              <a:ea typeface="宋体"/>
            </a:rPr>
            <a:t>.</a:t>
          </a:r>
          <a:r>
            <a:rPr lang="en-US" altLang="zh-CN" sz="1200" b="0" i="0" u="none" strike="noStrike" baseline="0">
              <a:solidFill>
                <a:srgbClr val="000000"/>
              </a:solidFill>
              <a:latin typeface="宋体"/>
              <a:ea typeface="宋体"/>
            </a:rPr>
            <a:t>B</a:t>
          </a:r>
        </a:p>
      </xdr:txBody>
    </xdr:sp>
    <xdr:clientData/>
  </xdr:twoCellAnchor>
  <xdr:twoCellAnchor>
    <xdr:from>
      <xdr:col>14</xdr:col>
      <xdr:colOff>238125</xdr:colOff>
      <xdr:row>22</xdr:row>
      <xdr:rowOff>0</xdr:rowOff>
    </xdr:from>
    <xdr:to>
      <xdr:col>14</xdr:col>
      <xdr:colOff>504825</xdr:colOff>
      <xdr:row>23</xdr:row>
      <xdr:rowOff>57150</xdr:rowOff>
    </xdr:to>
    <xdr:sp macro="" textlink="">
      <xdr:nvSpPr>
        <xdr:cNvPr id="345" name="Text Box 401"/>
        <xdr:cNvSpPr txBox="1">
          <a:spLocks noChangeArrowheads="1"/>
        </xdr:cNvSpPr>
      </xdr:nvSpPr>
      <xdr:spPr bwMode="auto">
        <a:xfrm>
          <a:off x="11439525" y="4657725"/>
          <a:ext cx="266700" cy="238125"/>
        </a:xfrm>
        <a:prstGeom prst="rect">
          <a:avLst/>
        </a:prstGeom>
        <a:noFill/>
        <a:ln>
          <a:noFill/>
        </a:ln>
        <a:effectLst/>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lgn="ctr">
              <a:solidFill>
                <a:srgbClr val="000000"/>
              </a:solidFill>
              <a:miter lim="800000"/>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txBody>
        <a:bodyPr vertOverflow="clip" wrap="square" lIns="0" tIns="0" rIns="0" bIns="0" anchor="t" upright="1"/>
        <a:lstStyle/>
        <a:p>
          <a:pPr algn="l" rtl="0">
            <a:defRPr sz="1000"/>
          </a:pPr>
          <a:r>
            <a:rPr lang="en-US" altLang="zh-CN" sz="1800" b="0" i="0" u="none" strike="noStrike" baseline="0">
              <a:solidFill>
                <a:srgbClr val="000000"/>
              </a:solidFill>
              <a:latin typeface="宋体"/>
              <a:ea typeface="宋体"/>
            </a:rPr>
            <a:t>.</a:t>
          </a:r>
          <a:r>
            <a:rPr lang="en-US" altLang="zh-CN" sz="1200" b="0" i="0" u="none" strike="noStrike" baseline="0">
              <a:solidFill>
                <a:srgbClr val="000000"/>
              </a:solidFill>
              <a:latin typeface="宋体"/>
              <a:ea typeface="宋体"/>
            </a:rPr>
            <a:t>C</a:t>
          </a:r>
        </a:p>
      </xdr:txBody>
    </xdr:sp>
    <xdr:clientData/>
  </xdr:twoCellAnchor>
  <xdr:twoCellAnchor>
    <xdr:from>
      <xdr:col>12</xdr:col>
      <xdr:colOff>533400</xdr:colOff>
      <xdr:row>22</xdr:row>
      <xdr:rowOff>0</xdr:rowOff>
    </xdr:from>
    <xdr:to>
      <xdr:col>13</xdr:col>
      <xdr:colOff>152400</xdr:colOff>
      <xdr:row>23</xdr:row>
      <xdr:rowOff>47625</xdr:rowOff>
    </xdr:to>
    <xdr:sp macro="" textlink="">
      <xdr:nvSpPr>
        <xdr:cNvPr id="346" name="Text Box 402"/>
        <xdr:cNvSpPr txBox="1">
          <a:spLocks noChangeArrowheads="1"/>
        </xdr:cNvSpPr>
      </xdr:nvSpPr>
      <xdr:spPr bwMode="auto">
        <a:xfrm>
          <a:off x="10363200" y="4657725"/>
          <a:ext cx="304800" cy="228600"/>
        </a:xfrm>
        <a:prstGeom prst="rect">
          <a:avLst/>
        </a:prstGeom>
        <a:noFill/>
        <a:ln>
          <a:noFill/>
        </a:ln>
        <a:effectLst/>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lgn="ctr">
              <a:solidFill>
                <a:srgbClr val="000000"/>
              </a:solidFill>
              <a:miter lim="800000"/>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txBody>
        <a:bodyPr vertOverflow="clip" wrap="square" lIns="0" tIns="0" rIns="0" bIns="0" anchor="t" upright="1"/>
        <a:lstStyle/>
        <a:p>
          <a:pPr algn="l" rtl="0">
            <a:defRPr sz="1000"/>
          </a:pPr>
          <a:r>
            <a:rPr lang="en-US" altLang="zh-CN" sz="1800" b="0" i="0" u="none" strike="noStrike" baseline="0">
              <a:solidFill>
                <a:srgbClr val="000000"/>
              </a:solidFill>
              <a:latin typeface="宋体"/>
              <a:ea typeface="宋体"/>
            </a:rPr>
            <a:t>.</a:t>
          </a:r>
          <a:r>
            <a:rPr lang="en-US" altLang="zh-CN" sz="1200" b="0" i="0" u="none" strike="noStrike" baseline="0">
              <a:solidFill>
                <a:srgbClr val="000000"/>
              </a:solidFill>
              <a:latin typeface="宋体"/>
              <a:ea typeface="宋体"/>
            </a:rPr>
            <a:t>D</a:t>
          </a:r>
        </a:p>
      </xdr:txBody>
    </xdr:sp>
    <xdr:clientData/>
  </xdr:twoCellAnchor>
  <xdr:twoCellAnchor>
    <xdr:from>
      <xdr:col>13</xdr:col>
      <xdr:colOff>352425</xdr:colOff>
      <xdr:row>20</xdr:row>
      <xdr:rowOff>38100</xdr:rowOff>
    </xdr:from>
    <xdr:to>
      <xdr:col>14</xdr:col>
      <xdr:colOff>28575</xdr:colOff>
      <xdr:row>21</xdr:row>
      <xdr:rowOff>190500</xdr:rowOff>
    </xdr:to>
    <xdr:sp macro="" textlink="">
      <xdr:nvSpPr>
        <xdr:cNvPr id="347" name="Text Box 403"/>
        <xdr:cNvSpPr txBox="1">
          <a:spLocks noChangeArrowheads="1"/>
        </xdr:cNvSpPr>
      </xdr:nvSpPr>
      <xdr:spPr bwMode="auto">
        <a:xfrm>
          <a:off x="10868025" y="4333875"/>
          <a:ext cx="361950" cy="323850"/>
        </a:xfrm>
        <a:prstGeom prst="rect">
          <a:avLst/>
        </a:prstGeom>
        <a:noFill/>
        <a:ln>
          <a:noFill/>
        </a:ln>
        <a:effectLst/>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lgn="ctr">
              <a:solidFill>
                <a:srgbClr val="000000"/>
              </a:solidFill>
              <a:miter lim="800000"/>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txBody>
        <a:bodyPr vertOverflow="clip" wrap="square" lIns="0" tIns="0" rIns="0" bIns="0" anchor="t" upright="1"/>
        <a:lstStyle/>
        <a:p>
          <a:pPr algn="l" rtl="0">
            <a:defRPr sz="1000"/>
          </a:pPr>
          <a:r>
            <a:rPr lang="en-US" altLang="zh-CN" sz="1200" b="0" i="0" u="none" strike="noStrike" baseline="0">
              <a:solidFill>
                <a:srgbClr val="000000"/>
              </a:solidFill>
              <a:latin typeface="宋体"/>
              <a:ea typeface="宋体"/>
            </a:rPr>
            <a:t> </a:t>
          </a:r>
          <a:r>
            <a:rPr lang="en-US" altLang="zh-CN" sz="1800" b="0" i="0" u="none" strike="noStrike" baseline="0">
              <a:solidFill>
                <a:srgbClr val="000000"/>
              </a:solidFill>
              <a:latin typeface="宋体"/>
              <a:ea typeface="宋体"/>
            </a:rPr>
            <a:t>.</a:t>
          </a:r>
          <a:r>
            <a:rPr lang="en-US" altLang="zh-CN" sz="1200" b="0" i="0" u="none" strike="noStrike" baseline="0">
              <a:solidFill>
                <a:srgbClr val="000000"/>
              </a:solidFill>
              <a:latin typeface="宋体"/>
              <a:ea typeface="宋体"/>
            </a:rPr>
            <a:t>O  </a:t>
          </a:r>
        </a:p>
      </xdr:txBody>
    </xdr:sp>
    <xdr:clientData/>
  </xdr:twoCellAnchor>
  <xdr:twoCellAnchor>
    <xdr:from>
      <xdr:col>14</xdr:col>
      <xdr:colOff>209550</xdr:colOff>
      <xdr:row>23</xdr:row>
      <xdr:rowOff>104775</xdr:rowOff>
    </xdr:from>
    <xdr:to>
      <xdr:col>15</xdr:col>
      <xdr:colOff>209550</xdr:colOff>
      <xdr:row>23</xdr:row>
      <xdr:rowOff>104775</xdr:rowOff>
    </xdr:to>
    <xdr:sp macro="" textlink="">
      <xdr:nvSpPr>
        <xdr:cNvPr id="390803" name="Line 404"/>
        <xdr:cNvSpPr>
          <a:spLocks noChangeShapeType="1"/>
        </xdr:cNvSpPr>
      </xdr:nvSpPr>
      <xdr:spPr bwMode="auto">
        <a:xfrm>
          <a:off x="11410950" y="4943475"/>
          <a:ext cx="685800"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15</xdr:col>
      <xdr:colOff>104775</xdr:colOff>
      <xdr:row>22</xdr:row>
      <xdr:rowOff>133350</xdr:rowOff>
    </xdr:from>
    <xdr:to>
      <xdr:col>15</xdr:col>
      <xdr:colOff>104775</xdr:colOff>
      <xdr:row>23</xdr:row>
      <xdr:rowOff>161925</xdr:rowOff>
    </xdr:to>
    <xdr:sp macro="" textlink="">
      <xdr:nvSpPr>
        <xdr:cNvPr id="390804" name="Line 405"/>
        <xdr:cNvSpPr>
          <a:spLocks noChangeShapeType="1"/>
        </xdr:cNvSpPr>
      </xdr:nvSpPr>
      <xdr:spPr bwMode="auto">
        <a:xfrm>
          <a:off x="11991975" y="4791075"/>
          <a:ext cx="0" cy="20955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type="triangle" w="med" len="med"/>
              <a:tailEnd type="triangle" w="med" len="me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12</xdr:col>
      <xdr:colOff>133350</xdr:colOff>
      <xdr:row>17</xdr:row>
      <xdr:rowOff>76200</xdr:rowOff>
    </xdr:from>
    <xdr:to>
      <xdr:col>12</xdr:col>
      <xdr:colOff>523875</xdr:colOff>
      <xdr:row>17</xdr:row>
      <xdr:rowOff>76200</xdr:rowOff>
    </xdr:to>
    <xdr:sp macro="" textlink="">
      <xdr:nvSpPr>
        <xdr:cNvPr id="390805" name="Line 406"/>
        <xdr:cNvSpPr>
          <a:spLocks noChangeShapeType="1"/>
        </xdr:cNvSpPr>
      </xdr:nvSpPr>
      <xdr:spPr bwMode="auto">
        <a:xfrm>
          <a:off x="9963150" y="3829050"/>
          <a:ext cx="390525" cy="0"/>
        </a:xfrm>
        <a:prstGeom prst="line">
          <a:avLst/>
        </a:prstGeom>
        <a:noFill/>
        <a:ln>
          <a:noFill/>
        </a:ln>
        <a:effectLst/>
        <a:extLst>
          <a:ext uri="{909E8E84-426E-40DD-AFC4-6F175D3DCCD1}">
            <a14:hiddenFill xmlns:a14="http://schemas.microsoft.com/office/drawing/2010/main" xmlns="">
              <a:noFill/>
            </a14:hiddenFill>
          </a:ext>
          <a:ext uri="{91240B29-F687-4F45-9708-019B960494DF}">
            <a14:hiddenLine xmlns:a14="http://schemas.microsoft.com/office/drawing/2010/main" xmlns="" w="9525">
              <a:solidFill>
                <a:srgbClr val="000000"/>
              </a:solidFill>
              <a:round/>
              <a:headEnd type="triangle" w="med" len="med"/>
              <a:tailEnd type="triangle" w="med" len="me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twoCellAnchor>
    <xdr:from>
      <xdr:col>12</xdr:col>
      <xdr:colOff>152400</xdr:colOff>
      <xdr:row>17</xdr:row>
      <xdr:rowOff>76200</xdr:rowOff>
    </xdr:from>
    <xdr:to>
      <xdr:col>12</xdr:col>
      <xdr:colOff>542925</xdr:colOff>
      <xdr:row>17</xdr:row>
      <xdr:rowOff>76200</xdr:rowOff>
    </xdr:to>
    <xdr:sp macro="" textlink="">
      <xdr:nvSpPr>
        <xdr:cNvPr id="390806" name="Line 407"/>
        <xdr:cNvSpPr>
          <a:spLocks noChangeShapeType="1"/>
        </xdr:cNvSpPr>
      </xdr:nvSpPr>
      <xdr:spPr bwMode="auto">
        <a:xfrm>
          <a:off x="9982200" y="3829050"/>
          <a:ext cx="390525" cy="0"/>
        </a:xfrm>
        <a:prstGeom prst="line">
          <a:avLst/>
        </a:prstGeom>
        <a:noFill/>
        <a:ln w="9525">
          <a:solidFill>
            <a:srgbClr val="000000"/>
          </a:solidFill>
          <a:round/>
          <a:headEnd type="triangle" w="med" len="med"/>
          <a:tailEnd type="triangle" w="med" len="med"/>
        </a:ln>
        <a:effectLst/>
        <a:extLst>
          <a:ext uri="{909E8E84-426E-40DD-AFC4-6F175D3DCCD1}">
            <a14:hiddenFill xmlns:a14="http://schemas.microsoft.com/office/drawing/2010/main" xmlns="">
              <a:noFill/>
            </a14:hiddenFill>
          </a:ext>
          <a:ext uri="{AF507438-7753-43E0-B8FC-AC1667EBCBE1}">
            <a14:hiddenEffects xmlns:a14="http://schemas.microsoft.com/office/drawing/2010/main" xmlns="">
              <a:effectLst>
                <a:outerShdw dist="35921" dir="2700000" algn="ctr" rotWithShape="0">
                  <a:srgbClr val="808080"/>
                </a:outerShdw>
              </a:effectLst>
            </a14:hiddenEffects>
          </a:ext>
        </a:extLst>
      </xdr:spPr>
    </xdr:sp>
    <xdr:clientData/>
  </xdr:twoCellAnchor>
</xdr:wsDr>
</file>

<file path=xl/drawings/drawing26.xml><?xml version="1.0" encoding="utf-8"?>
<xdr:wsDr xmlns:xdr="http://schemas.openxmlformats.org/drawingml/2006/spreadsheetDrawing" xmlns:a="http://schemas.openxmlformats.org/drawingml/2006/main">
  <xdr:twoCellAnchor>
    <xdr:from>
      <xdr:col>0</xdr:col>
      <xdr:colOff>142875</xdr:colOff>
      <xdr:row>1</xdr:row>
      <xdr:rowOff>38100</xdr:rowOff>
    </xdr:from>
    <xdr:to>
      <xdr:col>0</xdr:col>
      <xdr:colOff>685800</xdr:colOff>
      <xdr:row>1</xdr:row>
      <xdr:rowOff>323850</xdr:rowOff>
    </xdr:to>
    <xdr:sp macro="" textlink="">
      <xdr:nvSpPr>
        <xdr:cNvPr id="101349" name="Line 2"/>
        <xdr:cNvSpPr>
          <a:spLocks noChangeShapeType="1"/>
        </xdr:cNvSpPr>
      </xdr:nvSpPr>
      <xdr:spPr bwMode="auto">
        <a:xfrm>
          <a:off x="142875" y="219075"/>
          <a:ext cx="542925" cy="200025"/>
        </a:xfrm>
        <a:prstGeom prst="line">
          <a:avLst/>
        </a:prstGeom>
        <a:noFill/>
        <a:ln w="9525">
          <a:solidFill>
            <a:srgbClr val="000000"/>
          </a:solidFill>
          <a:round/>
          <a:headEnd/>
          <a:tailEnd/>
        </a:ln>
        <a:extLst>
          <a:ext uri="{909E8E84-426E-40DD-AFC4-6F175D3DCCD1}">
            <a14:hiddenFill xmlns:a14="http://schemas.microsoft.com/office/drawing/2010/main" xmlns="">
              <a:noFill/>
            </a14:hiddenFill>
          </a:ext>
        </a:extLst>
      </xdr:spPr>
    </xdr:sp>
    <xdr:clientData/>
  </xdr:twoCellAnchor>
</xdr:wsDr>
</file>

<file path=xl/drawings/drawing27.xml><?xml version="1.0" encoding="utf-8"?>
<xdr:wsDr xmlns:xdr="http://schemas.openxmlformats.org/drawingml/2006/spreadsheetDrawing" xmlns:a="http://schemas.openxmlformats.org/drawingml/2006/main">
  <xdr:twoCellAnchor>
    <xdr:from>
      <xdr:col>0</xdr:col>
      <xdr:colOff>0</xdr:colOff>
      <xdr:row>3</xdr:row>
      <xdr:rowOff>9525</xdr:rowOff>
    </xdr:from>
    <xdr:to>
      <xdr:col>0</xdr:col>
      <xdr:colOff>1143000</xdr:colOff>
      <xdr:row>3</xdr:row>
      <xdr:rowOff>304800</xdr:rowOff>
    </xdr:to>
    <xdr:sp macro="" textlink="">
      <xdr:nvSpPr>
        <xdr:cNvPr id="280880" name="Line 1"/>
        <xdr:cNvSpPr>
          <a:spLocks noChangeShapeType="1"/>
        </xdr:cNvSpPr>
      </xdr:nvSpPr>
      <xdr:spPr bwMode="auto">
        <a:xfrm>
          <a:off x="0" y="552450"/>
          <a:ext cx="1143000" cy="228600"/>
        </a:xfrm>
        <a:prstGeom prst="line">
          <a:avLst/>
        </a:prstGeom>
        <a:noFill/>
        <a:ln w="9525">
          <a:solidFill>
            <a:srgbClr val="000000"/>
          </a:solidFill>
          <a:round/>
          <a:headEnd/>
          <a:tailEnd/>
        </a:ln>
        <a:extLst>
          <a:ext uri="{909E8E84-426E-40DD-AFC4-6F175D3DCCD1}">
            <a14:hiddenFill xmlns:a14="http://schemas.microsoft.com/office/drawing/2010/main" xmlns="">
              <a:noFill/>
            </a14:hiddenFill>
          </a:ext>
        </a:extLst>
      </xdr:spPr>
    </xdr:sp>
    <xdr:clientData/>
  </xdr:twoCellAnchor>
</xdr:wsDr>
</file>

<file path=xl/drawings/drawing28.xml><?xml version="1.0" encoding="utf-8"?>
<xdr:wsDr xmlns:xdr="http://schemas.openxmlformats.org/drawingml/2006/spreadsheetDrawing" xmlns:a="http://schemas.openxmlformats.org/drawingml/2006/main">
  <xdr:twoCellAnchor>
    <xdr:from>
      <xdr:col>0</xdr:col>
      <xdr:colOff>0</xdr:colOff>
      <xdr:row>3</xdr:row>
      <xdr:rowOff>19050</xdr:rowOff>
    </xdr:from>
    <xdr:to>
      <xdr:col>1</xdr:col>
      <xdr:colOff>28575</xdr:colOff>
      <xdr:row>3</xdr:row>
      <xdr:rowOff>228600</xdr:rowOff>
    </xdr:to>
    <xdr:sp macro="" textlink="">
      <xdr:nvSpPr>
        <xdr:cNvPr id="302325" name="Line 7"/>
        <xdr:cNvSpPr>
          <a:spLocks noChangeShapeType="1"/>
        </xdr:cNvSpPr>
      </xdr:nvSpPr>
      <xdr:spPr bwMode="auto">
        <a:xfrm>
          <a:off x="0" y="561975"/>
          <a:ext cx="1647825" cy="209550"/>
        </a:xfrm>
        <a:prstGeom prst="line">
          <a:avLst/>
        </a:prstGeom>
        <a:noFill/>
        <a:ln w="9525">
          <a:solidFill>
            <a:srgbClr val="000000"/>
          </a:solidFill>
          <a:round/>
          <a:headEnd/>
          <a:tailEnd/>
        </a:ln>
        <a:extLst>
          <a:ext uri="{909E8E84-426E-40DD-AFC4-6F175D3DCCD1}">
            <a14:hiddenFill xmlns:a14="http://schemas.microsoft.com/office/drawing/2010/main" xmlns="">
              <a:noFill/>
            </a14:hiddenFill>
          </a:ext>
        </a:extLst>
      </xdr:spPr>
    </xdr:sp>
    <xdr:clientData/>
  </xdr:twoCellAnchor>
</xdr:wsDr>
</file>

<file path=xl/drawings/drawing29.xml><?xml version="1.0" encoding="utf-8"?>
<xdr:wsDr xmlns:xdr="http://schemas.openxmlformats.org/drawingml/2006/spreadsheetDrawing" xmlns:a="http://schemas.openxmlformats.org/drawingml/2006/main">
  <xdr:twoCellAnchor>
    <xdr:from>
      <xdr:col>0</xdr:col>
      <xdr:colOff>0</xdr:colOff>
      <xdr:row>3</xdr:row>
      <xdr:rowOff>19050</xdr:rowOff>
    </xdr:from>
    <xdr:to>
      <xdr:col>0</xdr:col>
      <xdr:colOff>1495425</xdr:colOff>
      <xdr:row>3</xdr:row>
      <xdr:rowOff>171450</xdr:rowOff>
    </xdr:to>
    <xdr:sp macro="" textlink="">
      <xdr:nvSpPr>
        <xdr:cNvPr id="299257" name="Line 7"/>
        <xdr:cNvSpPr>
          <a:spLocks noChangeShapeType="1"/>
        </xdr:cNvSpPr>
      </xdr:nvSpPr>
      <xdr:spPr bwMode="auto">
        <a:xfrm>
          <a:off x="0" y="561975"/>
          <a:ext cx="1495425" cy="152400"/>
        </a:xfrm>
        <a:prstGeom prst="line">
          <a:avLst/>
        </a:prstGeom>
        <a:noFill/>
        <a:ln w="9525">
          <a:solidFill>
            <a:srgbClr val="000000"/>
          </a:solidFill>
          <a:round/>
          <a:headEnd/>
          <a:tailEnd/>
        </a:ln>
        <a:extLst>
          <a:ext uri="{909E8E84-426E-40DD-AFC4-6F175D3DCCD1}">
            <a14:hiddenFill xmlns:a14="http://schemas.microsoft.com/office/drawing/2010/main" xmlns="">
              <a:noFill/>
            </a14:hiddenFill>
          </a:ext>
        </a:extLst>
      </xdr:spPr>
    </xdr:sp>
    <xdr:clientData/>
  </xdr:twoCellAnchor>
</xdr:wsDr>
</file>

<file path=xl/drawings/drawing30.xml><?xml version="1.0" encoding="utf-8"?>
<xdr:wsDr xmlns:xdr="http://schemas.openxmlformats.org/drawingml/2006/spreadsheetDrawing" xmlns:a="http://schemas.openxmlformats.org/drawingml/2006/main">
  <xdr:twoCellAnchor>
    <xdr:from>
      <xdr:col>0</xdr:col>
      <xdr:colOff>0</xdr:colOff>
      <xdr:row>2</xdr:row>
      <xdr:rowOff>9525</xdr:rowOff>
    </xdr:from>
    <xdr:to>
      <xdr:col>0</xdr:col>
      <xdr:colOff>685800</xdr:colOff>
      <xdr:row>2</xdr:row>
      <xdr:rowOff>200025</xdr:rowOff>
    </xdr:to>
    <xdr:sp macro="" textlink="">
      <xdr:nvSpPr>
        <xdr:cNvPr id="357599" name="Line 2"/>
        <xdr:cNvSpPr>
          <a:spLocks noChangeShapeType="1"/>
        </xdr:cNvSpPr>
      </xdr:nvSpPr>
      <xdr:spPr bwMode="auto">
        <a:xfrm>
          <a:off x="0" y="361950"/>
          <a:ext cx="685800" cy="171450"/>
        </a:xfrm>
        <a:prstGeom prst="line">
          <a:avLst/>
        </a:prstGeom>
        <a:noFill/>
        <a:ln w="9525">
          <a:solidFill>
            <a:srgbClr val="000000"/>
          </a:solidFill>
          <a:round/>
          <a:headEnd/>
          <a:tailEnd/>
        </a:ln>
        <a:extLst>
          <a:ext uri="{909E8E84-426E-40DD-AFC4-6F175D3DCCD1}">
            <a14:hiddenFill xmlns:a14="http://schemas.microsoft.com/office/drawing/2010/main" xmlns="">
              <a:noFill/>
            </a14:hiddenFill>
          </a:ext>
        </a:extLst>
      </xdr:spPr>
    </xdr:sp>
    <xdr:clientData/>
  </xdr:twoCellAnchor>
  <xdr:twoCellAnchor>
    <xdr:from>
      <xdr:col>0</xdr:col>
      <xdr:colOff>0</xdr:colOff>
      <xdr:row>3</xdr:row>
      <xdr:rowOff>19050</xdr:rowOff>
    </xdr:from>
    <xdr:to>
      <xdr:col>0</xdr:col>
      <xdr:colOff>685800</xdr:colOff>
      <xdr:row>3</xdr:row>
      <xdr:rowOff>171450</xdr:rowOff>
    </xdr:to>
    <xdr:sp macro="" textlink="">
      <xdr:nvSpPr>
        <xdr:cNvPr id="357600" name="Line 7"/>
        <xdr:cNvSpPr>
          <a:spLocks noChangeShapeType="1"/>
        </xdr:cNvSpPr>
      </xdr:nvSpPr>
      <xdr:spPr bwMode="auto">
        <a:xfrm>
          <a:off x="0" y="552450"/>
          <a:ext cx="685800" cy="152400"/>
        </a:xfrm>
        <a:prstGeom prst="line">
          <a:avLst/>
        </a:prstGeom>
        <a:noFill/>
        <a:ln w="9525">
          <a:solidFill>
            <a:srgbClr val="000000"/>
          </a:solidFill>
          <a:round/>
          <a:headEnd/>
          <a:tailEnd/>
        </a:ln>
        <a:extLst>
          <a:ext uri="{909E8E84-426E-40DD-AFC4-6F175D3DCCD1}">
            <a14:hiddenFill xmlns:a14="http://schemas.microsoft.com/office/drawing/2010/main" xmlns="">
              <a:noFill/>
            </a14:hiddenFill>
          </a:ext>
        </a:extLst>
      </xdr:spPr>
    </xdr:sp>
    <xdr:clientData/>
  </xdr:twoCellAnchor>
</xdr:wsDr>
</file>

<file path=xl/drawings/drawing31.xml><?xml version="1.0" encoding="utf-8"?>
<xdr:wsDr xmlns:xdr="http://schemas.openxmlformats.org/drawingml/2006/spreadsheetDrawing" xmlns:a="http://schemas.openxmlformats.org/drawingml/2006/main">
  <xdr:twoCellAnchor>
    <xdr:from>
      <xdr:col>0</xdr:col>
      <xdr:colOff>0</xdr:colOff>
      <xdr:row>3</xdr:row>
      <xdr:rowOff>19050</xdr:rowOff>
    </xdr:from>
    <xdr:to>
      <xdr:col>0</xdr:col>
      <xdr:colOff>685800</xdr:colOff>
      <xdr:row>3</xdr:row>
      <xdr:rowOff>171450</xdr:rowOff>
    </xdr:to>
    <xdr:sp macro="" textlink="">
      <xdr:nvSpPr>
        <xdr:cNvPr id="181143" name="Line 7"/>
        <xdr:cNvSpPr>
          <a:spLocks noChangeShapeType="1"/>
        </xdr:cNvSpPr>
      </xdr:nvSpPr>
      <xdr:spPr bwMode="auto">
        <a:xfrm>
          <a:off x="0" y="561975"/>
          <a:ext cx="685800" cy="152400"/>
        </a:xfrm>
        <a:prstGeom prst="line">
          <a:avLst/>
        </a:prstGeom>
        <a:noFill/>
        <a:ln w="9525">
          <a:solidFill>
            <a:srgbClr val="000000"/>
          </a:solidFill>
          <a:round/>
          <a:headEnd/>
          <a:tailEnd/>
        </a:ln>
        <a:extLst>
          <a:ext uri="{909E8E84-426E-40DD-AFC4-6F175D3DCCD1}">
            <a14:hiddenFill xmlns:a14="http://schemas.microsoft.com/office/drawing/2010/main" xmlns="">
              <a:noFill/>
            </a14:hiddenFill>
          </a:ext>
        </a:extLst>
      </xdr:spPr>
    </xdr:sp>
    <xdr:clientData/>
  </xdr:twoCellAnchor>
</xdr:wsDr>
</file>

<file path=xl/drawings/drawing32.xml><?xml version="1.0" encoding="utf-8"?>
<xdr:wsDr xmlns:xdr="http://schemas.openxmlformats.org/drawingml/2006/spreadsheetDrawing" xmlns:a="http://schemas.openxmlformats.org/drawingml/2006/main">
  <xdr:twoCellAnchor>
    <xdr:from>
      <xdr:col>0</xdr:col>
      <xdr:colOff>0</xdr:colOff>
      <xdr:row>2</xdr:row>
      <xdr:rowOff>38100</xdr:rowOff>
    </xdr:from>
    <xdr:to>
      <xdr:col>0</xdr:col>
      <xdr:colOff>1485900</xdr:colOff>
      <xdr:row>2</xdr:row>
      <xdr:rowOff>323850</xdr:rowOff>
    </xdr:to>
    <xdr:sp macro="" textlink="">
      <xdr:nvSpPr>
        <xdr:cNvPr id="297210" name="Line 2"/>
        <xdr:cNvSpPr>
          <a:spLocks noChangeShapeType="1"/>
        </xdr:cNvSpPr>
      </xdr:nvSpPr>
      <xdr:spPr bwMode="auto">
        <a:xfrm>
          <a:off x="0" y="400050"/>
          <a:ext cx="1485900" cy="200025"/>
        </a:xfrm>
        <a:prstGeom prst="line">
          <a:avLst/>
        </a:prstGeom>
        <a:noFill/>
        <a:ln w="9525">
          <a:solidFill>
            <a:srgbClr val="000000"/>
          </a:solidFill>
          <a:round/>
          <a:headEnd/>
          <a:tailEnd/>
        </a:ln>
        <a:extLst>
          <a:ext uri="{909E8E84-426E-40DD-AFC4-6F175D3DCCD1}">
            <a14:hiddenFill xmlns:a14="http://schemas.microsoft.com/office/drawing/2010/main" xmlns="">
              <a:noFill/>
            </a14:hiddenFill>
          </a:ext>
        </a:extLst>
      </xdr:spPr>
    </xdr:sp>
    <xdr:clientData/>
  </xdr:twoCellAnchor>
</xdr:wsDr>
</file>

<file path=xl/drawings/drawing33.xml><?xml version="1.0" encoding="utf-8"?>
<xdr:wsDr xmlns:xdr="http://schemas.openxmlformats.org/drawingml/2006/spreadsheetDrawing" xmlns:a="http://schemas.openxmlformats.org/drawingml/2006/main">
  <xdr:twoCellAnchor>
    <xdr:from>
      <xdr:col>0</xdr:col>
      <xdr:colOff>0</xdr:colOff>
      <xdr:row>3</xdr:row>
      <xdr:rowOff>19050</xdr:rowOff>
    </xdr:from>
    <xdr:to>
      <xdr:col>1</xdr:col>
      <xdr:colOff>0</xdr:colOff>
      <xdr:row>3</xdr:row>
      <xdr:rowOff>209550</xdr:rowOff>
    </xdr:to>
    <xdr:sp macro="" textlink="">
      <xdr:nvSpPr>
        <xdr:cNvPr id="386218" name="Line 1"/>
        <xdr:cNvSpPr>
          <a:spLocks noChangeShapeType="1"/>
        </xdr:cNvSpPr>
      </xdr:nvSpPr>
      <xdr:spPr bwMode="auto">
        <a:xfrm>
          <a:off x="0" y="561975"/>
          <a:ext cx="1714500" cy="190500"/>
        </a:xfrm>
        <a:prstGeom prst="line">
          <a:avLst/>
        </a:prstGeom>
        <a:noFill/>
        <a:ln w="9525">
          <a:solidFill>
            <a:srgbClr val="000000"/>
          </a:solidFill>
          <a:round/>
          <a:headEnd/>
          <a:tailEnd/>
        </a:ln>
        <a:extLst>
          <a:ext uri="{909E8E84-426E-40DD-AFC4-6F175D3DCCD1}">
            <a14:hiddenFill xmlns:a14="http://schemas.microsoft.com/office/drawing/2010/main" xmlns="">
              <a:noFill/>
            </a14:hiddenFill>
          </a:ext>
        </a:extLst>
      </xdr:spPr>
    </xdr:sp>
    <xdr:clientData/>
  </xdr:twoCellAnchor>
  <xdr:twoCellAnchor editAs="oneCell">
    <xdr:from>
      <xdr:col>5</xdr:col>
      <xdr:colOff>228600</xdr:colOff>
      <xdr:row>176</xdr:row>
      <xdr:rowOff>47625</xdr:rowOff>
    </xdr:from>
    <xdr:to>
      <xdr:col>5</xdr:col>
      <xdr:colOff>695325</xdr:colOff>
      <xdr:row>177</xdr:row>
      <xdr:rowOff>9525</xdr:rowOff>
    </xdr:to>
    <xdr:pic>
      <xdr:nvPicPr>
        <xdr:cNvPr id="386219" name="chk1" hidden="1"/>
        <xdr:cNvPicPr preferRelativeResize="0">
          <a:picLocks noChangeAspect="1" noChangeArrowheads="1" noChangeShapeType="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7591425" y="37071300"/>
          <a:ext cx="466725" cy="161925"/>
        </a:xfrm>
        <a:prstGeom prst="rect">
          <a:avLst/>
        </a:prstGeom>
        <a:noFill/>
        <a:ln>
          <a:noFill/>
        </a:ln>
        <a:effectLst/>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1">
              <a:solidFill>
                <a:srgbClr val="000000"/>
              </a:solidFill>
              <a:miter lim="800000"/>
              <a:headEnd/>
              <a:tailEnd/>
            </a14:hiddenLine>
          </a:ext>
          <a:ext uri="{AF507438-7753-43E0-B8FC-AC1667EBCBE1}">
            <a14:hiddenEffects xmlns:a14="http://schemas.microsoft.com/office/drawing/2010/main" xmlns="">
              <a:effectLst>
                <a:outerShdw dist="35921" dir="2700000" algn="ctr" rotWithShape="0">
                  <a:srgbClr val="000000"/>
                </a:outerShdw>
              </a:effectLst>
            </a14:hiddenEffects>
          </a:ext>
          <a:ext uri="{53640926-AAD7-44D8-BBD7-CCE9431645EC}">
            <a14:shadowObscured xmlns:a14="http://schemas.microsoft.com/office/drawing/2010/main" xmlns="" val="1"/>
          </a:ext>
        </a:extLst>
      </xdr:spPr>
    </xdr:pic>
    <xdr:clientData fPrintsWithSheet="0"/>
  </xdr:twoCellAnchor>
  <xdr:twoCellAnchor editAs="oneCell">
    <xdr:from>
      <xdr:col>12</xdr:col>
      <xdr:colOff>28575</xdr:colOff>
      <xdr:row>176</xdr:row>
      <xdr:rowOff>38100</xdr:rowOff>
    </xdr:from>
    <xdr:to>
      <xdr:col>14</xdr:col>
      <xdr:colOff>104775</xdr:colOff>
      <xdr:row>177</xdr:row>
      <xdr:rowOff>0</xdr:rowOff>
    </xdr:to>
    <xdr:pic>
      <xdr:nvPicPr>
        <xdr:cNvPr id="386220" name="chk2" hidden="1"/>
        <xdr:cNvPicPr preferRelativeResize="0">
          <a:picLocks noChangeArrowheads="1" noChangeShapeType="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9763125" y="37061775"/>
          <a:ext cx="104775" cy="1619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fPrintsWithSheet="0"/>
  </xdr:twoCellAnchor>
  <xdr:twoCellAnchor editAs="oneCell">
    <xdr:from>
      <xdr:col>5</xdr:col>
      <xdr:colOff>228600</xdr:colOff>
      <xdr:row>201</xdr:row>
      <xdr:rowOff>38100</xdr:rowOff>
    </xdr:from>
    <xdr:to>
      <xdr:col>5</xdr:col>
      <xdr:colOff>695325</xdr:colOff>
      <xdr:row>202</xdr:row>
      <xdr:rowOff>0</xdr:rowOff>
    </xdr:to>
    <xdr:pic>
      <xdr:nvPicPr>
        <xdr:cNvPr id="386221" name="chk3" hidden="1"/>
        <xdr:cNvPicPr preferRelativeResize="0">
          <a:picLocks noChangeAspect="1" noChangeArrowheads="1" noChangeShapeType="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7591425" y="42519600"/>
          <a:ext cx="466725" cy="161925"/>
        </a:xfrm>
        <a:prstGeom prst="rect">
          <a:avLst/>
        </a:prstGeom>
        <a:noFill/>
        <a:ln>
          <a:noFill/>
        </a:ln>
        <a:effectLst/>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1">
              <a:solidFill>
                <a:srgbClr val="000000"/>
              </a:solidFill>
              <a:miter lim="800000"/>
              <a:headEnd/>
              <a:tailEnd/>
            </a14:hiddenLine>
          </a:ext>
          <a:ext uri="{AF507438-7753-43E0-B8FC-AC1667EBCBE1}">
            <a14:hiddenEffects xmlns:a14="http://schemas.microsoft.com/office/drawing/2010/main" xmlns="">
              <a:effectLst>
                <a:outerShdw dist="35921" dir="2700000" algn="ctr" rotWithShape="0">
                  <a:srgbClr val="000000"/>
                </a:outerShdw>
              </a:effectLst>
            </a14:hiddenEffects>
          </a:ext>
          <a:ext uri="{53640926-AAD7-44D8-BBD7-CCE9431645EC}">
            <a14:shadowObscured xmlns:a14="http://schemas.microsoft.com/office/drawing/2010/main" xmlns="" val="1"/>
          </a:ext>
        </a:extLst>
      </xdr:spPr>
    </xdr:pic>
    <xdr:clientData fPrintsWithSheet="0"/>
  </xdr:twoCellAnchor>
  <xdr:twoCellAnchor editAs="oneCell">
    <xdr:from>
      <xdr:col>12</xdr:col>
      <xdr:colOff>28575</xdr:colOff>
      <xdr:row>201</xdr:row>
      <xdr:rowOff>38100</xdr:rowOff>
    </xdr:from>
    <xdr:to>
      <xdr:col>14</xdr:col>
      <xdr:colOff>104775</xdr:colOff>
      <xdr:row>202</xdr:row>
      <xdr:rowOff>0</xdr:rowOff>
    </xdr:to>
    <xdr:pic>
      <xdr:nvPicPr>
        <xdr:cNvPr id="386222" name="chk4" hidden="1"/>
        <xdr:cNvPicPr preferRelativeResize="0">
          <a:picLocks noChangeArrowheads="1" noChangeShapeType="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a:stretch>
          <a:fillRect/>
        </a:stretch>
      </xdr:blipFill>
      <xdr:spPr bwMode="auto">
        <a:xfrm>
          <a:off x="9763125" y="42519600"/>
          <a:ext cx="104775" cy="1619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fPrintsWithSheet="0"/>
  </xdr:twoCellAnchor>
  <xdr:twoCellAnchor editAs="oneCell">
    <xdr:from>
      <xdr:col>6</xdr:col>
      <xdr:colOff>28575</xdr:colOff>
      <xdr:row>225</xdr:row>
      <xdr:rowOff>38100</xdr:rowOff>
    </xdr:from>
    <xdr:to>
      <xdr:col>6</xdr:col>
      <xdr:colOff>28575</xdr:colOff>
      <xdr:row>226</xdr:row>
      <xdr:rowOff>0</xdr:rowOff>
    </xdr:to>
    <xdr:pic>
      <xdr:nvPicPr>
        <xdr:cNvPr id="386223" name="chk5"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xmlns="" val="0"/>
            </a:ext>
          </a:extLst>
        </a:blip>
        <a:srcRect/>
        <a:stretch>
          <a:fillRect/>
        </a:stretch>
      </xdr:blipFill>
      <xdr:spPr bwMode="auto">
        <a:xfrm>
          <a:off x="8105775" y="47777400"/>
          <a:ext cx="0" cy="1619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fPrintsWithSheet="0"/>
  </xdr:twoCellAnchor>
  <xdr:twoCellAnchor editAs="oneCell">
    <xdr:from>
      <xdr:col>12</xdr:col>
      <xdr:colOff>28575</xdr:colOff>
      <xdr:row>225</xdr:row>
      <xdr:rowOff>38100</xdr:rowOff>
    </xdr:from>
    <xdr:to>
      <xdr:col>14</xdr:col>
      <xdr:colOff>104775</xdr:colOff>
      <xdr:row>226</xdr:row>
      <xdr:rowOff>0</xdr:rowOff>
    </xdr:to>
    <xdr:pic>
      <xdr:nvPicPr>
        <xdr:cNvPr id="386224" name="chk6" hidden="1"/>
        <xdr:cNvPicPr preferRelativeResize="0">
          <a:picLocks noChangeArrowheads="1" noChangeShapeType="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a:stretch>
          <a:fillRect/>
        </a:stretch>
      </xdr:blipFill>
      <xdr:spPr bwMode="auto">
        <a:xfrm>
          <a:off x="9763125" y="47777400"/>
          <a:ext cx="104775" cy="1619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fPrintsWithSheet="0"/>
  </xdr:twoCellAnchor>
  <xdr:twoCellAnchor editAs="oneCell">
    <xdr:from>
      <xdr:col>6</xdr:col>
      <xdr:colOff>28575</xdr:colOff>
      <xdr:row>257</xdr:row>
      <xdr:rowOff>38100</xdr:rowOff>
    </xdr:from>
    <xdr:to>
      <xdr:col>6</xdr:col>
      <xdr:colOff>28575</xdr:colOff>
      <xdr:row>257</xdr:row>
      <xdr:rowOff>180975</xdr:rowOff>
    </xdr:to>
    <xdr:pic>
      <xdr:nvPicPr>
        <xdr:cNvPr id="386225" name="chk7" hidden="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xmlns="" val="0"/>
            </a:ext>
          </a:extLst>
        </a:blip>
        <a:srcRect/>
        <a:stretch>
          <a:fillRect/>
        </a:stretch>
      </xdr:blipFill>
      <xdr:spPr bwMode="auto">
        <a:xfrm>
          <a:off x="8105775" y="54663975"/>
          <a:ext cx="0" cy="1428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fPrintsWithSheet="0"/>
  </xdr:twoCellAnchor>
  <xdr:twoCellAnchor editAs="oneCell">
    <xdr:from>
      <xdr:col>12</xdr:col>
      <xdr:colOff>28575</xdr:colOff>
      <xdr:row>257</xdr:row>
      <xdr:rowOff>38100</xdr:rowOff>
    </xdr:from>
    <xdr:to>
      <xdr:col>14</xdr:col>
      <xdr:colOff>104775</xdr:colOff>
      <xdr:row>257</xdr:row>
      <xdr:rowOff>180975</xdr:rowOff>
    </xdr:to>
    <xdr:pic>
      <xdr:nvPicPr>
        <xdr:cNvPr id="386226" name="chk8" hidden="1"/>
        <xdr:cNvPicPr preferRelativeResize="0">
          <a:picLocks noChangeArrowheads="1" noChangeShapeType="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a:stretch>
          <a:fillRect/>
        </a:stretch>
      </xdr:blipFill>
      <xdr:spPr bwMode="auto">
        <a:xfrm>
          <a:off x="9763125" y="54663975"/>
          <a:ext cx="104775" cy="1428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fPrintsWithSheet="0"/>
  </xdr:twoCellAnchor>
</xdr:wsDr>
</file>

<file path=xl/drawings/drawing34.xml><?xml version="1.0" encoding="utf-8"?>
<xdr:wsDr xmlns:xdr="http://schemas.openxmlformats.org/drawingml/2006/spreadsheetDrawing" xmlns:a="http://schemas.openxmlformats.org/drawingml/2006/main">
  <xdr:twoCellAnchor>
    <xdr:from>
      <xdr:col>0</xdr:col>
      <xdr:colOff>0</xdr:colOff>
      <xdr:row>3</xdr:row>
      <xdr:rowOff>19050</xdr:rowOff>
    </xdr:from>
    <xdr:to>
      <xdr:col>1</xdr:col>
      <xdr:colOff>9525</xdr:colOff>
      <xdr:row>4</xdr:row>
      <xdr:rowOff>0</xdr:rowOff>
    </xdr:to>
    <xdr:sp macro="" textlink="">
      <xdr:nvSpPr>
        <xdr:cNvPr id="217562" name="Line 1"/>
        <xdr:cNvSpPr>
          <a:spLocks noChangeShapeType="1"/>
        </xdr:cNvSpPr>
      </xdr:nvSpPr>
      <xdr:spPr bwMode="auto">
        <a:xfrm>
          <a:off x="0" y="561975"/>
          <a:ext cx="1771650" cy="219075"/>
        </a:xfrm>
        <a:prstGeom prst="line">
          <a:avLst/>
        </a:prstGeom>
        <a:noFill/>
        <a:ln w="9525">
          <a:solidFill>
            <a:srgbClr val="000000"/>
          </a:solidFill>
          <a:round/>
          <a:headEnd/>
          <a:tailEnd/>
        </a:ln>
        <a:extLst>
          <a:ext uri="{909E8E84-426E-40DD-AFC4-6F175D3DCCD1}">
            <a14:hiddenFill xmlns:a14="http://schemas.microsoft.com/office/drawing/2010/main" xmlns="">
              <a:noFill/>
            </a14:hiddenFill>
          </a:ext>
        </a:extLst>
      </xdr:spPr>
    </xdr:sp>
    <xdr:clientData/>
  </xdr:twoCellAnchor>
</xdr:wsDr>
</file>

<file path=xl/drawings/drawing35.xml><?xml version="1.0" encoding="utf-8"?>
<xdr:wsDr xmlns:xdr="http://schemas.openxmlformats.org/drawingml/2006/spreadsheetDrawing" xmlns:a="http://schemas.openxmlformats.org/drawingml/2006/main">
  <xdr:twoCellAnchor>
    <xdr:from>
      <xdr:col>0</xdr:col>
      <xdr:colOff>0</xdr:colOff>
      <xdr:row>3</xdr:row>
      <xdr:rowOff>38100</xdr:rowOff>
    </xdr:from>
    <xdr:to>
      <xdr:col>0</xdr:col>
      <xdr:colOff>1323975</xdr:colOff>
      <xdr:row>3</xdr:row>
      <xdr:rowOff>323850</xdr:rowOff>
    </xdr:to>
    <xdr:sp macro="" textlink="">
      <xdr:nvSpPr>
        <xdr:cNvPr id="320710" name="Line 2"/>
        <xdr:cNvSpPr>
          <a:spLocks noChangeShapeType="1"/>
        </xdr:cNvSpPr>
      </xdr:nvSpPr>
      <xdr:spPr bwMode="auto">
        <a:xfrm>
          <a:off x="0" y="581025"/>
          <a:ext cx="1323975" cy="200025"/>
        </a:xfrm>
        <a:prstGeom prst="line">
          <a:avLst/>
        </a:prstGeom>
        <a:noFill/>
        <a:ln w="9525">
          <a:solidFill>
            <a:srgbClr val="000000"/>
          </a:solidFill>
          <a:round/>
          <a:headEnd/>
          <a:tailEnd/>
        </a:ln>
        <a:extLst>
          <a:ext uri="{909E8E84-426E-40DD-AFC4-6F175D3DCCD1}">
            <a14:hiddenFill xmlns:a14="http://schemas.microsoft.com/office/drawing/2010/main" xmlns="">
              <a:noFill/>
            </a14:hiddenFill>
          </a:ext>
        </a:extLst>
      </xdr:spPr>
    </xdr:sp>
    <xdr:clientData/>
  </xdr:twoCellAnchor>
</xdr:wsDr>
</file>

<file path=xl/drawings/drawing36.xml><?xml version="1.0" encoding="utf-8"?>
<xdr:wsDr xmlns:xdr="http://schemas.openxmlformats.org/drawingml/2006/spreadsheetDrawing" xmlns:a="http://schemas.openxmlformats.org/drawingml/2006/main">
  <xdr:twoCellAnchor>
    <xdr:from>
      <xdr:col>0</xdr:col>
      <xdr:colOff>0</xdr:colOff>
      <xdr:row>2</xdr:row>
      <xdr:rowOff>19050</xdr:rowOff>
    </xdr:from>
    <xdr:to>
      <xdr:col>2</xdr:col>
      <xdr:colOff>9525</xdr:colOff>
      <xdr:row>2</xdr:row>
      <xdr:rowOff>19050</xdr:rowOff>
    </xdr:to>
    <xdr:sp macro="" textlink="">
      <xdr:nvSpPr>
        <xdr:cNvPr id="359642" name="Line 1"/>
        <xdr:cNvSpPr>
          <a:spLocks noChangeShapeType="1"/>
        </xdr:cNvSpPr>
      </xdr:nvSpPr>
      <xdr:spPr bwMode="auto">
        <a:xfrm>
          <a:off x="0" y="381000"/>
          <a:ext cx="1876425" cy="0"/>
        </a:xfrm>
        <a:prstGeom prst="line">
          <a:avLst/>
        </a:prstGeom>
        <a:noFill/>
        <a:ln w="9525">
          <a:solidFill>
            <a:srgbClr val="000000"/>
          </a:solidFill>
          <a:round/>
          <a:headEnd/>
          <a:tailEnd/>
        </a:ln>
        <a:extLst>
          <a:ext uri="{909E8E84-426E-40DD-AFC4-6F175D3DCCD1}">
            <a14:hiddenFill xmlns:a14="http://schemas.microsoft.com/office/drawing/2010/main" xmlns="">
              <a:noFill/>
            </a14:hiddenFill>
          </a:ext>
        </a:extLst>
      </xdr:spPr>
    </xdr:sp>
    <xdr:clientData/>
  </xdr:twoCellAnchor>
  <xdr:twoCellAnchor>
    <xdr:from>
      <xdr:col>0</xdr:col>
      <xdr:colOff>0</xdr:colOff>
      <xdr:row>2</xdr:row>
      <xdr:rowOff>38100</xdr:rowOff>
    </xdr:from>
    <xdr:to>
      <xdr:col>0</xdr:col>
      <xdr:colOff>1181100</xdr:colOff>
      <xdr:row>2</xdr:row>
      <xdr:rowOff>171450</xdr:rowOff>
    </xdr:to>
    <xdr:sp macro="" textlink="">
      <xdr:nvSpPr>
        <xdr:cNvPr id="359643" name="Line 2"/>
        <xdr:cNvSpPr>
          <a:spLocks noChangeShapeType="1"/>
        </xdr:cNvSpPr>
      </xdr:nvSpPr>
      <xdr:spPr bwMode="auto">
        <a:xfrm>
          <a:off x="0" y="400050"/>
          <a:ext cx="1181100" cy="133350"/>
        </a:xfrm>
        <a:prstGeom prst="line">
          <a:avLst/>
        </a:prstGeom>
        <a:noFill/>
        <a:ln w="9525">
          <a:solidFill>
            <a:srgbClr val="000000"/>
          </a:solidFill>
          <a:round/>
          <a:headEnd/>
          <a:tailEnd/>
        </a:ln>
        <a:extLst>
          <a:ext uri="{909E8E84-426E-40DD-AFC4-6F175D3DCCD1}">
            <a14:hiddenFill xmlns:a14="http://schemas.microsoft.com/office/drawing/2010/main" xmlns="">
              <a:noFill/>
            </a14:hiddenFill>
          </a:ext>
        </a:extLst>
      </xdr:spPr>
    </xdr:sp>
    <xdr:clientData/>
  </xdr:twoCellAnchor>
</xdr:wsDr>
</file>

<file path=xl/drawings/drawing37.xml><?xml version="1.0" encoding="utf-8"?>
<xdr:wsDr xmlns:xdr="http://schemas.openxmlformats.org/drawingml/2006/spreadsheetDrawing" xmlns:a="http://schemas.openxmlformats.org/drawingml/2006/main">
  <xdr:twoCellAnchor>
    <xdr:from>
      <xdr:col>0</xdr:col>
      <xdr:colOff>0</xdr:colOff>
      <xdr:row>3</xdr:row>
      <xdr:rowOff>9525</xdr:rowOff>
    </xdr:from>
    <xdr:to>
      <xdr:col>1</xdr:col>
      <xdr:colOff>0</xdr:colOff>
      <xdr:row>3</xdr:row>
      <xdr:rowOff>238125</xdr:rowOff>
    </xdr:to>
    <xdr:sp macro="" textlink="">
      <xdr:nvSpPr>
        <xdr:cNvPr id="332976" name="Line 1"/>
        <xdr:cNvSpPr>
          <a:spLocks noChangeShapeType="1"/>
        </xdr:cNvSpPr>
      </xdr:nvSpPr>
      <xdr:spPr bwMode="auto">
        <a:xfrm>
          <a:off x="0" y="552450"/>
          <a:ext cx="1200150" cy="228600"/>
        </a:xfrm>
        <a:prstGeom prst="line">
          <a:avLst/>
        </a:prstGeom>
        <a:noFill/>
        <a:ln w="9525">
          <a:solidFill>
            <a:srgbClr val="000000"/>
          </a:solidFill>
          <a:round/>
          <a:headEnd/>
          <a:tailEnd/>
        </a:ln>
        <a:extLst>
          <a:ext uri="{909E8E84-426E-40DD-AFC4-6F175D3DCCD1}">
            <a14:hiddenFill xmlns:a14="http://schemas.microsoft.com/office/drawing/2010/main" xmlns="">
              <a:noFill/>
            </a14:hiddenFill>
          </a:ext>
        </a:extLst>
      </xdr:spPr>
    </xdr:sp>
    <xdr:clientData/>
  </xdr:twoCellAnchor>
</xdr:wsDr>
</file>

<file path=xl/drawings/drawing38.xml><?xml version="1.0" encoding="utf-8"?>
<xdr:wsDr xmlns:xdr="http://schemas.openxmlformats.org/drawingml/2006/spreadsheetDrawing" xmlns:a="http://schemas.openxmlformats.org/drawingml/2006/main">
  <xdr:twoCellAnchor>
    <xdr:from>
      <xdr:col>0</xdr:col>
      <xdr:colOff>0</xdr:colOff>
      <xdr:row>3</xdr:row>
      <xdr:rowOff>9525</xdr:rowOff>
    </xdr:from>
    <xdr:to>
      <xdr:col>1</xdr:col>
      <xdr:colOff>0</xdr:colOff>
      <xdr:row>3</xdr:row>
      <xdr:rowOff>238125</xdr:rowOff>
    </xdr:to>
    <xdr:sp macro="" textlink="">
      <xdr:nvSpPr>
        <xdr:cNvPr id="313551" name="Line 1"/>
        <xdr:cNvSpPr>
          <a:spLocks noChangeShapeType="1"/>
        </xdr:cNvSpPr>
      </xdr:nvSpPr>
      <xdr:spPr bwMode="auto">
        <a:xfrm>
          <a:off x="0" y="552450"/>
          <a:ext cx="2219325" cy="228600"/>
        </a:xfrm>
        <a:prstGeom prst="line">
          <a:avLst/>
        </a:prstGeom>
        <a:noFill/>
        <a:ln w="9525">
          <a:solidFill>
            <a:srgbClr val="000000"/>
          </a:solidFill>
          <a:round/>
          <a:headEnd/>
          <a:tailEnd/>
        </a:ln>
        <a:extLst>
          <a:ext uri="{909E8E84-426E-40DD-AFC4-6F175D3DCCD1}">
            <a14:hiddenFill xmlns:a14="http://schemas.microsoft.com/office/drawing/2010/main" xmlns="">
              <a:noFill/>
            </a14:hiddenFill>
          </a:ext>
        </a:extLst>
      </xdr:spPr>
    </xdr:sp>
    <xdr:clientData/>
  </xdr:twoCellAnchor>
</xdr:wsDr>
</file>

<file path=xl/drawings/drawing39.xml><?xml version="1.0" encoding="utf-8"?>
<xdr:wsDr xmlns:xdr="http://schemas.openxmlformats.org/drawingml/2006/spreadsheetDrawing" xmlns:a="http://schemas.openxmlformats.org/drawingml/2006/main">
  <xdr:twoCellAnchor>
    <xdr:from>
      <xdr:col>0</xdr:col>
      <xdr:colOff>0</xdr:colOff>
      <xdr:row>2</xdr:row>
      <xdr:rowOff>9525</xdr:rowOff>
    </xdr:from>
    <xdr:to>
      <xdr:col>1</xdr:col>
      <xdr:colOff>0</xdr:colOff>
      <xdr:row>2</xdr:row>
      <xdr:rowOff>238125</xdr:rowOff>
    </xdr:to>
    <xdr:sp macro="" textlink="">
      <xdr:nvSpPr>
        <xdr:cNvPr id="321733" name="Line 1"/>
        <xdr:cNvSpPr>
          <a:spLocks noChangeShapeType="1"/>
        </xdr:cNvSpPr>
      </xdr:nvSpPr>
      <xdr:spPr bwMode="auto">
        <a:xfrm>
          <a:off x="0" y="371475"/>
          <a:ext cx="2133600" cy="228600"/>
        </a:xfrm>
        <a:prstGeom prst="line">
          <a:avLst/>
        </a:prstGeom>
        <a:noFill/>
        <a:ln w="9525">
          <a:solidFill>
            <a:srgbClr val="000000"/>
          </a:solidFill>
          <a:round/>
          <a:headEnd/>
          <a:tailEnd/>
        </a:ln>
        <a:extLst>
          <a:ext uri="{909E8E84-426E-40DD-AFC4-6F175D3DCCD1}">
            <a14:hiddenFill xmlns:a14="http://schemas.microsoft.com/office/drawing/2010/main" xmlns="">
              <a:noFill/>
            </a14:hiddenFill>
          </a:ext>
        </a:extLst>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23458;&#25143;&#21453;&#39304;&#30830;&#35748;/&#25351;&#31034;&#20202;&#34920;&#26657;&#20934;&#27169;&#26495;/&#30005;&#27969;&#34920;&#12289;&#30005;&#21387;&#34920;&#12289;&#21151;&#29575;&#34920;&#26657;&#20934;.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5351;&#31034;&#20202;&#34920;&#23454;&#39564;&#23460;-&#21407;&#22987;&#35760;&#24405;&#12289;&#26816;&#23450;&#35777;&#20070;/JJG%20124-100&#20998;&#26684;&#27169;&#26495;-&#30005;&#27969;&#34920;&#12289;&#30005;&#21387;&#34920;&#12289;&#21151;&#29575;&#34920;&#21450;&#30005;&#38459;&#34920;.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23458;&#25143;&#21453;&#39304;&#30830;&#35748;/&#25351;&#31034;&#20202;&#34920;&#26657;&#20934;&#27169;&#26495;/&#39057;&#29575;&#34920;&#26657;&#20934;.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work/&#20864;&#21271;/&#36164;&#26009;/&#20864;&#21271;&#23454;&#39564;&#23460;&#36164;&#26009;/&#25968;&#34920;&#23454;&#39564;&#23460;-&#21333;&#30456;-&#21407;&#22987;&#35760;&#24405;&#12289;&#26657;&#20934;&#35777;&#20070;&#12289;&#35745;&#31639;&#25903;&#25745;&#34920;/&#28304;&#26816;&#23450;-TDA-30D-05131825.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work/&#20864;&#21271;/&#36164;&#26009;/&#20864;&#21271;&#23454;&#39564;&#23460;&#36164;&#26009;/&#25968;&#34920;&#23454;&#39564;&#23460;-&#21333;&#30456;-&#21407;&#22987;&#35760;&#24405;&#12289;&#26657;&#20934;&#35777;&#20070;&#12289;&#35745;&#31639;&#25903;&#25745;&#34920;/&#34920;&#26816;&#23450;-2000-1074374.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work/&#20864;&#21271;/&#36164;&#26009;/&#20864;&#21271;&#23454;&#39564;&#23460;&#36164;&#26009;/&#25968;&#34920;&#23454;&#39564;&#23460;-&#19977;&#30456;&#25968;&#34920;/&#25968;&#34920;/&#25968;&#34920;-&#20004;&#30456;&#30456;&#20301;&#34920;.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work/&#20864;&#21271;/&#36164;&#26009;/&#20864;&#21271;&#23454;&#39564;&#23460;&#36164;&#26009;/&#25968;&#34920;&#23454;&#39564;&#23460;-&#19977;&#30456;&#25968;&#34920;/&#25968;&#34920;/&#25968;&#34920;-&#19977;&#30456;&#22235;.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good/Desktop/&#26032;&#24314;&#25991;&#20214;&#22841;/&#30452;&#27969;&#20202;&#22120;&#25253;&#21578;&#27169;&#26495;/JJG%20315-1983%20&#30452;&#27969;&#25968;&#23383;&#30005;&#21387;&#34920;&#26816;&#23450;&#35268;&#31243;-&#39640;&#21387;&#25968;&#23383;&#34920;-2015.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work/&#20864;&#21271;/&#36164;&#26009;/&#20864;&#21271;&#23454;&#39564;&#23460;&#36164;&#26009;/&#25968;&#34920;&#23454;&#39564;&#23460;-&#19977;&#30456;&#25968;&#34920;/&#25968;&#34920;/DEWE302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34401A-MY41046324&#34920;&#26816;&#23450;&#35777;&#20070;.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Users/good/Desktop/&#26032;&#24314;&#25991;&#20214;&#22841;/&#30452;&#27969;&#20202;&#22120;&#25253;&#21578;&#27169;&#26495;/JJG%201052-2009%20&#22238;&#36335;&#30005;&#38459;&#27979;&#35797;&#20202;&#12289;&#30452;&#38459;&#20202;&#26816;&#23450;-&#30452;&#27969;&#30005;&#38459;&#27979;&#35797;&#20202;-2015.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good/Desktop/&#30452;&#27969;&#20202;&#22120;&#25253;&#21578;&#27169;&#26495;/JJG%201052-2009%20&#22238;&#36335;&#30005;&#38459;&#27979;&#35797;&#20202;&#12289;&#30452;&#38459;&#20202;&#26816;&#23450;-&#22238;&#36335;&#30005;&#38459;&#27979;&#35797;&#20202;-2015.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Users/good/Desktop/&#26032;&#24314;&#25991;&#20214;&#22841;/&#30452;&#27969;&#20202;&#22120;&#25253;&#21578;&#27169;&#26495;/JJG%201052-2009%20&#22238;&#36335;&#30005;&#38459;&#27979;&#35797;&#20202;&#12289;&#30452;&#38459;&#20202;&#26816;&#23450;-&#22238;&#36335;&#30005;&#38459;&#27979;&#35797;&#20202;-2015.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good/Desktop/&#26032;&#24314;&#25991;&#20214;&#22841;/&#30452;&#27969;&#20202;&#22120;&#25253;&#21578;&#27169;&#26495;/JJG%20166-93%20&#30452;&#27969;&#30005;&#38459;&#22120;-&#26631;&#20934;&#30005;&#38459;BZ3(9&#21482;)-2015.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Users/good/Desktop/&#26032;&#24314;&#25991;&#20214;&#22841;/&#30452;&#27969;&#20202;&#22120;&#25253;&#21578;&#27169;&#26495;/&#29305;&#27530;&#25253;&#21578;&#27169;&#26495;/JJG%20166-1993%20&#30452;&#27969;&#30005;&#38459;&#22120;&#26816;&#23450;&#35268;&#31243;-076-&#30005;&#27979;ZGD-4-(980308)-2015.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Users/good/Desktop/&#26032;&#24314;&#25991;&#20214;&#22841;/&#30452;&#27969;&#20202;&#22120;&#25253;&#21578;&#27169;&#26495;/JJG%20166-93%20&#30452;&#27969;&#30005;&#38459;&#22120;-ZY4-2015.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Users/good/Desktop/&#26032;&#24314;&#25991;&#20214;&#22841;/&#30452;&#27969;&#20202;&#22120;&#25253;&#21578;&#27169;&#26495;/&#29305;&#27530;&#25253;&#21578;&#27169;&#26495;/JJG%20166-93%20&#30452;&#27969;&#30005;&#38459;&#22120;&#26816;&#23450;&#35268;&#31243;-006&#30005;&#27979;JH-1&#65288;970216&#65289;-2015.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Users/good/Desktop/&#26032;&#24314;&#25991;&#20214;&#22841;/&#30452;&#27969;&#20202;&#22120;&#25253;&#21578;&#27169;&#26495;/&#29305;&#27530;&#25253;&#21578;&#27169;&#26495;/JJG%20125-2004%20&#30452;&#27969;&#30005;&#26725;&#26816;&#23450;&#35268;&#31243;-057&#22823;&#21776;&#30424;&#30005;&#65288;071010)-QJ83-2015.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Users/good/Desktop/&#26032;&#24314;&#25991;&#20214;&#22841;/&#30452;&#27969;&#20202;&#22120;&#25253;&#21578;&#27169;&#26495;/JJG%20982-2003%20&#30452;&#27969;&#30005;&#38459;&#31665;&#26816;&#23450;&#35268;&#31243;-ZX54-2015--&#21516;HY16505&#26041;&#26696;&#35774;&#35745;&#19968;&#26679;.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Users/good/Desktop/&#26032;&#24314;&#25991;&#20214;&#22841;/&#30452;&#27969;&#20202;&#22120;&#25253;&#21578;&#27169;&#26495;/JJG%20982-2003%20&#30452;&#27969;&#30005;&#38459;&#31665;&#26816;&#23450;&#35268;&#31243;-HY16505-2015.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Users/good/Desktop/&#26032;&#24314;&#25991;&#20214;&#22841;/&#30452;&#27969;&#20202;&#22120;&#25253;&#21578;&#27169;&#26495;/JJG%20982-2003%20&#30452;&#27969;&#30005;&#38459;&#31665;&#26816;&#23450;&#35268;&#31243;-065&#20140;&#33021;36&#65288;015)-2014.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Users/good/Desktop/&#26032;&#24314;&#25991;&#20214;&#22841;/&#30452;&#27969;&#20202;&#22120;&#25253;&#21578;&#27169;&#26495;/JJG%20984-2004%20&#25509;&#22320;&#23548;&#36890;&#30005;&#38459;&#27979;&#35797;&#20202;&#26816;&#23450;&#35268;&#31243;-&#25509;&#22320;&#30005;&#38459;&#27979;&#35797;&#20202;-2015.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Users/good/Desktop/&#26032;&#24314;&#25991;&#20214;&#22841;/&#30452;&#27969;&#20202;&#22120;&#25253;&#21578;&#27169;&#26495;/&#29305;&#27530;&#25253;&#21578;&#27169;&#26495;/JJG%20837-2003%20&#30452;&#27969;&#20302;&#30005;&#38459;&#34920;&#26816;&#23450;&#35268;&#31243;-102&#24800;&#36890;&#30427;JY44&#65288;&#26080;&#65289;-2015.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Users/good/Desktop/&#26032;&#24314;&#25991;&#20214;&#22841;/&#30452;&#27969;&#20202;&#22120;&#25253;&#21578;&#27169;&#26495;/&#29305;&#27530;&#25253;&#21578;&#27169;&#26495;/JJF%201101-2003%20&#29615;&#22659;&#35797;&#39564;&#35774;&#22791;&#28201;&#24230;&#12289;&#28287;&#24230;&#26657;&#20934;&#35268;&#33539;-157&#30005;&#27979;&#25511;&#28201;&#31665;JKX-B(2024)-2015.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Users/good/Desktop/&#26032;&#24314;&#25991;&#20214;&#22841;/&#30452;&#27969;&#20202;&#22120;&#25253;&#21578;&#27169;&#26495;/&#29305;&#27530;&#25253;&#21578;&#27169;&#26495;/SD112-83%20&#30452;&#27969;&#20202;&#34920;&#26816;&#39564;&#35013;&#32622;&#26816;&#23450;&#26041;&#27861;-&#30005;&#27979;JY-10%20-2015.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Users/good/Desktop/&#26032;&#24314;&#25991;&#20214;&#22841;/&#30452;&#27969;&#20202;&#22120;&#25253;&#21578;&#27169;&#26495;/JJG%201072-2011%20&#30452;&#27969;&#39640;&#21387;&#39640;&#20540;&#30005;&#38459;&#22120;&#12289;JJG%20315-1983%20&#30452;&#27969;&#25968;&#23383;&#30005;&#21387;&#34920;&#26816;&#23450;&#35268;&#31243;-&#39640;&#38459;&#31665;GZX92A-2015.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Users/good/Desktop/&#26032;&#24314;&#25991;&#20214;&#22841;/&#26368;&#26032;&#25628;&#38598;&#36164;&#26009;/&#25968;&#34920;&#23454;&#39564;&#23460;-&#19977;&#30456;&#25968;&#34920;/&#26657;&#20934;/&#20132;&#37319;&#65288;&#21516;&#19977;&#30456;&#22235;&#65289;.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30005;&#33021;&#23454;&#39564;&#23460;&#21407;&#22987;&#35760;&#24405;&#21644;&#35777;&#20070;/&#30005;&#31185;&#38498;&#26816;&#23450;/&#26631;&#20934;&#34920;-&#23454;&#39564;&#23460;&#31649;&#29702;&#31995;&#32479;/JJG%201085-2013%20&#26631;&#20934;&#30005;&#33021;&#34920;&#26816;&#23450;&#35268;&#31243;-&#26631;&#34920;-006-2015-&#19977;&#30456;.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30005;&#33021;&#23454;&#39564;&#23460;&#21407;&#22987;&#35760;&#24405;&#21644;&#35777;&#20070;/&#30005;&#31185;&#38498;&#26657;&#20934;/&#26631;&#20934;&#34920;&#26657;&#20934;&#27169;&#26495;2016-03/&#19977;&#30456;&#26657;&#20934;&#26631;&#34920;-0-2015.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30005;&#33021;&#23454;&#39564;&#23460;&#21407;&#22987;&#35760;&#24405;&#21644;&#35777;&#20070;/&#30005;&#31185;&#38498;&#26816;&#23450;/&#26631;&#20934;&#34920;-&#23454;&#39564;&#23460;&#31649;&#29702;&#31995;&#32479;/JJG%201085-2013%20&#26631;&#20934;&#30005;&#33021;&#34920;&#26816;&#23450;&#35268;&#31243;-&#26631;&#34920;-052-2015&#65288;&#21333;&#30456;&#65289;.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30005;&#33021;&#23454;&#39564;&#23460;&#21407;&#22987;&#35760;&#24405;&#21644;&#35777;&#20070;/&#30005;&#31185;&#38498;&#26657;&#20934;/&#26631;&#20934;&#34920;&#26657;&#20934;&#27169;&#26495;2016-03/&#21333;&#30456;&#26657;&#20934;&#26631;&#34920;-0-2015.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Sheet1"/>
      <sheetName val="原始-087-2016"/>
      <sheetName val="不确定度评定附表"/>
      <sheetName val="封皮"/>
      <sheetName val="087-2016"/>
    </sheetNames>
    <sheetDataSet>
      <sheetData sheetId="0"/>
      <sheetData sheetId="1"/>
      <sheetData sheetId="2">
        <row r="3">
          <cell r="B3">
            <v>1E-4</v>
          </cell>
          <cell r="D3">
            <v>5.8E-5</v>
          </cell>
        </row>
      </sheetData>
      <sheetData sheetId="3"/>
      <sheetData sheetId="4"/>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heet1"/>
      <sheetName val="原始-001-2016"/>
      <sheetName val="封皮"/>
      <sheetName val="001-2016"/>
    </sheetNames>
    <sheetDataSet>
      <sheetData sheetId="0"/>
      <sheetData sheetId="1">
        <row r="39">
          <cell r="D39">
            <v>-1.3240000000000406E-3</v>
          </cell>
          <cell r="J39">
            <v>5.6799999999995526E-4</v>
          </cell>
        </row>
      </sheetData>
      <sheetData sheetId="2"/>
      <sheetData sheetId="3"/>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heet1"/>
      <sheetName val="原始-083-2015"/>
      <sheetName val="不确定度评定附表"/>
      <sheetName val="封皮"/>
      <sheetName val="083-2015"/>
    </sheetNames>
    <sheetDataSet>
      <sheetData sheetId="0"/>
      <sheetData sheetId="1"/>
      <sheetData sheetId="2">
        <row r="3">
          <cell r="B3">
            <v>50.000799999999998</v>
          </cell>
          <cell r="D3">
            <v>50.000799999999998</v>
          </cell>
          <cell r="F3">
            <v>50.000799999999998</v>
          </cell>
        </row>
      </sheetData>
      <sheetData sheetId="3"/>
      <sheetData sheetId="4"/>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原始记录"/>
      <sheetName val="封皮（校准证书）XIN"/>
      <sheetName val="证书内页"/>
      <sheetName val="原始记录（直流电压输出）"/>
      <sheetName val="原始记录（直流电流输出）"/>
      <sheetName val="原始记录（交流电压输出）"/>
      <sheetName val="原始记录（交流电流输出）"/>
      <sheetName val="原始记录（电阻输出）"/>
      <sheetName val="DCV,DCI,DCR"/>
      <sheetName val="ACV,ACI"/>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原始记录"/>
      <sheetName val="封皮（检定证书 检定结果通知书）XIN"/>
      <sheetName val="证书内页"/>
      <sheetName val="原始记录（直流电压测量）"/>
      <sheetName val="原始记录（交流电压测量）"/>
      <sheetName val="2000附表（不确定度-直流）"/>
      <sheetName val="2000附表（不确定度-交流）"/>
    </sheetNames>
    <sheetDataSet>
      <sheetData sheetId="0">
        <row r="2">
          <cell r="A2" t="str">
            <v>证书编号：</v>
          </cell>
        </row>
        <row r="4">
          <cell r="C4" t="str">
            <v>DC/数表-</v>
          </cell>
          <cell r="F4" t="str">
            <v>006</v>
          </cell>
          <cell r="I4">
            <v>-2016</v>
          </cell>
        </row>
      </sheetData>
      <sheetData sheetId="1"/>
      <sheetData sheetId="2"/>
      <sheetData sheetId="3"/>
      <sheetData sheetId="4"/>
      <sheetData sheetId="5"/>
      <sheetData sheetId="6"/>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原始记录 封皮"/>
      <sheetName val="校准-原始记录、证书"/>
      <sheetName val="封皮（测试报告 检定证书）"/>
      <sheetName val="测试报告内页"/>
      <sheetName val="检定-原始记录、证书"/>
      <sheetName val="信息页"/>
    </sheetNames>
    <sheetDataSet>
      <sheetData sheetId="0" refreshError="1"/>
      <sheetData sheetId="1">
        <row r="3">
          <cell r="A3" t="str">
            <v>校 准 结 果</v>
          </cell>
        </row>
        <row r="4">
          <cell r="B4" t="str">
            <v>交流电压测量（50Hz）</v>
          </cell>
        </row>
        <row r="5">
          <cell r="A5" t="str">
            <v>量程</v>
          </cell>
          <cell r="C5" t="str">
            <v>显示值</v>
          </cell>
          <cell r="G5" t="str">
            <v>标准值</v>
          </cell>
          <cell r="K5" t="str">
            <v>引用误差</v>
          </cell>
        </row>
        <row r="10">
          <cell r="A10">
            <v>200</v>
          </cell>
          <cell r="C10">
            <v>99.2</v>
          </cell>
          <cell r="E10">
            <v>99.7</v>
          </cell>
          <cell r="G10">
            <v>99.95</v>
          </cell>
          <cell r="I10">
            <v>99.94</v>
          </cell>
          <cell r="K10">
            <v>-0.375</v>
          </cell>
          <cell r="M10">
            <v>-0.11999999999999746</v>
          </cell>
        </row>
        <row r="11">
          <cell r="C11">
            <v>89.1</v>
          </cell>
          <cell r="E11">
            <v>89.8</v>
          </cell>
          <cell r="G11">
            <v>89.96</v>
          </cell>
          <cell r="I11">
            <v>89.93</v>
          </cell>
          <cell r="K11">
            <v>-0.42999999999999972</v>
          </cell>
          <cell r="M11">
            <v>-6.5000000000004832E-2</v>
          </cell>
        </row>
        <row r="12">
          <cell r="C12">
            <v>79.3</v>
          </cell>
          <cell r="E12">
            <v>79.900000000000006</v>
          </cell>
          <cell r="G12">
            <v>80.010000000000005</v>
          </cell>
          <cell r="I12">
            <v>80.02</v>
          </cell>
          <cell r="K12">
            <v>-0.35500000000000398</v>
          </cell>
          <cell r="M12">
            <v>-5.9999999999995168E-2</v>
          </cell>
        </row>
        <row r="13">
          <cell r="C13">
            <v>69.5</v>
          </cell>
          <cell r="E13">
            <v>69.900000000000006</v>
          </cell>
          <cell r="G13">
            <v>70.02</v>
          </cell>
          <cell r="I13">
            <v>70.010000000000005</v>
          </cell>
          <cell r="K13">
            <v>-0.25999999999999801</v>
          </cell>
          <cell r="M13">
            <v>-5.4999999999999709E-2</v>
          </cell>
        </row>
        <row r="14">
          <cell r="C14">
            <v>59.3</v>
          </cell>
          <cell r="E14">
            <v>60</v>
          </cell>
          <cell r="G14">
            <v>60.02</v>
          </cell>
          <cell r="I14">
            <v>60.02</v>
          </cell>
          <cell r="K14">
            <v>-0.36000000000000298</v>
          </cell>
          <cell r="M14">
            <v>-1.0000000000001563E-2</v>
          </cell>
        </row>
        <row r="15">
          <cell r="C15">
            <v>49.7</v>
          </cell>
          <cell r="E15">
            <v>49.9</v>
          </cell>
          <cell r="G15">
            <v>50</v>
          </cell>
          <cell r="I15">
            <v>50</v>
          </cell>
          <cell r="K15">
            <v>-0.14999999999999858</v>
          </cell>
          <cell r="M15">
            <v>-5.0000000000000704E-2</v>
          </cell>
        </row>
        <row r="16">
          <cell r="C16">
            <v>39.299999999999997</v>
          </cell>
          <cell r="E16">
            <v>40</v>
          </cell>
          <cell r="G16">
            <v>40.020000000000003</v>
          </cell>
          <cell r="I16">
            <v>40.020000000000003</v>
          </cell>
          <cell r="K16">
            <v>-0.36000000000000298</v>
          </cell>
          <cell r="M16">
            <v>-1.0000000000001563E-2</v>
          </cell>
        </row>
        <row r="17">
          <cell r="C17">
            <v>29.4</v>
          </cell>
          <cell r="E17">
            <v>30</v>
          </cell>
          <cell r="G17">
            <v>30.01</v>
          </cell>
          <cell r="I17">
            <v>30.04</v>
          </cell>
          <cell r="K17">
            <v>-0.30500000000000149</v>
          </cell>
          <cell r="M17">
            <v>-1.9999999999999574E-2</v>
          </cell>
        </row>
        <row r="18">
          <cell r="C18">
            <v>19.5</v>
          </cell>
          <cell r="E18">
            <v>20</v>
          </cell>
          <cell r="G18">
            <v>20.010000000000002</v>
          </cell>
          <cell r="I18">
            <v>20.03</v>
          </cell>
          <cell r="K18">
            <v>-0.25500000000000078</v>
          </cell>
          <cell r="M18">
            <v>-1.5000000000000568E-2</v>
          </cell>
        </row>
        <row r="19">
          <cell r="C19">
            <v>10</v>
          </cell>
          <cell r="E19">
            <v>10</v>
          </cell>
          <cell r="G19">
            <v>10.029999999999999</v>
          </cell>
          <cell r="I19">
            <v>10.039999999999999</v>
          </cell>
          <cell r="K19">
            <v>-1.4999999999999682E-2</v>
          </cell>
          <cell r="M19">
            <v>-1.9999999999999574E-2</v>
          </cell>
        </row>
        <row r="37">
          <cell r="A37" t="str">
            <v>注：显示值、标准值的单位与量程单位一致。</v>
          </cell>
        </row>
        <row r="38">
          <cell r="A38" t="str">
            <v>结论：</v>
          </cell>
          <cell r="B38" t="str">
            <v>引用误差符合1.0级。</v>
          </cell>
        </row>
      </sheetData>
      <sheetData sheetId="2" refreshError="1"/>
      <sheetData sheetId="3">
        <row r="1">
          <cell r="A1" t="str">
            <v>报告编号：DC/数表-227-2014</v>
          </cell>
        </row>
      </sheetData>
      <sheetData sheetId="4" refreshError="1"/>
      <sheetData sheetId="5"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原始记录 封皮"/>
      <sheetName val="校准-原始记录、证书"/>
      <sheetName val="封皮（测试报告 检定证书）"/>
      <sheetName val="测试报告内页"/>
      <sheetName val="检定-原始记录、证书"/>
      <sheetName val="信息页"/>
    </sheetNames>
    <sheetDataSet>
      <sheetData sheetId="0">
        <row r="1">
          <cell r="A1" t="str">
            <v>原始记录编号：DC/数表原始-246-2015</v>
          </cell>
        </row>
      </sheetData>
      <sheetData sheetId="1"/>
      <sheetData sheetId="2"/>
      <sheetData sheetId="3"/>
      <sheetData sheetId="4"/>
      <sheetData sheetId="5"/>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登记信息页"/>
      <sheetName val="原始记录封皮"/>
      <sheetName val="原始记录（HVM-92）"/>
      <sheetName val="封皮（测试报告 检定证书）"/>
      <sheetName val="测试报告内页"/>
      <sheetName val="证书（HVM-92数据）"/>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原始记录 封皮"/>
      <sheetName val="校准-原始记录、证书"/>
      <sheetName val="直流电压不确定度评定"/>
      <sheetName val="交流电压不确定度评定"/>
      <sheetName val="交流电流不确定度评定"/>
      <sheetName val="不确定度评定过程1"/>
      <sheetName val="不确定度评定过程3 "/>
      <sheetName val="不确定度评定过程3  (2)"/>
      <sheetName val="不确定度评定过程1 "/>
      <sheetName val="不确定度评定过程2"/>
      <sheetName val="报告封面"/>
      <sheetName val="证书内页"/>
      <sheetName val="检定-原始记录、证书"/>
      <sheetName val="信息页"/>
    </sheetNames>
    <sheetDataSet>
      <sheetData sheetId="0">
        <row r="1">
          <cell r="A1" t="str">
            <v>原始记录编号：DC/数表原始-002-2016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原始记录"/>
      <sheetName val="封皮（检定证书 检定结果通知书）XIN"/>
      <sheetName val="证书内页"/>
      <sheetName val="原始记录（直流电压测量）"/>
      <sheetName val="原始记录（交流电压测量）"/>
    </sheetNames>
    <sheetDataSet>
      <sheetData sheetId="0">
        <row r="2">
          <cell r="A2" t="str">
            <v>原始记录编号：</v>
          </cell>
        </row>
        <row r="4">
          <cell r="C4" t="str">
            <v>DC/数表原始-</v>
          </cell>
          <cell r="F4" t="str">
            <v>177</v>
          </cell>
          <cell r="I4">
            <v>-2015</v>
          </cell>
        </row>
      </sheetData>
      <sheetData sheetId="1"/>
      <sheetData sheetId="2"/>
      <sheetData sheetId="3"/>
      <sheetData sheetId="4"/>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登记信息页"/>
      <sheetName val="原始记录封皮"/>
      <sheetName val="原始记录（直阻）"/>
      <sheetName val="不确定度评定过程"/>
      <sheetName val="不确定度评定过程 (2)"/>
      <sheetName val="封皮（测试报告 检定证书）"/>
      <sheetName val="测试报告内页"/>
      <sheetName val="测试报告内页（直阻）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2.xml><?xml version="1.0" encoding="utf-8"?>
<externalLink xmlns="http://schemas.openxmlformats.org/spreadsheetml/2006/main">
  <externalBook xmlns:r="http://schemas.openxmlformats.org/officeDocument/2006/relationships" r:id="rId1">
    <sheetNames>
      <sheetName val="登记信息页"/>
      <sheetName val="原始记录封皮"/>
      <sheetName val="原始记录（回路）"/>
      <sheetName val="不确定度评定过程"/>
      <sheetName val="不确定度评定过程 (2)"/>
      <sheetName val="封皮（测试报告 检定证书）"/>
      <sheetName val="测试报告内页"/>
      <sheetName val="测试报告内页（回路） "/>
    </sheetNames>
    <sheetDataSet>
      <sheetData sheetId="0" refreshError="1"/>
      <sheetData sheetId="1" refreshError="1"/>
      <sheetData sheetId="2" refreshError="1"/>
      <sheetData sheetId="3" refreshError="1"/>
      <sheetData sheetId="4" refreshError="1">
        <row r="26">
          <cell r="M26">
            <v>7.280088524797716E-4</v>
          </cell>
        </row>
      </sheetData>
      <sheetData sheetId="5" refreshError="1"/>
      <sheetData sheetId="6" refreshError="1"/>
      <sheetData sheetId="7" refreshError="1"/>
    </sheetDataSet>
  </externalBook>
</externalLink>
</file>

<file path=xl/externalLinks/externalLink13.xml><?xml version="1.0" encoding="utf-8"?>
<externalLink xmlns="http://schemas.openxmlformats.org/spreadsheetml/2006/main">
  <externalBook xmlns:r="http://schemas.openxmlformats.org/officeDocument/2006/relationships" r:id="rId1">
    <sheetNames>
      <sheetName val="登记信息页"/>
      <sheetName val="原始记录封皮"/>
      <sheetName val="原始记录（回路）"/>
      <sheetName val="不确定度评定过程"/>
      <sheetName val="不确定度评定过程 (2)"/>
      <sheetName val="封皮（测试报告 检定证书）"/>
      <sheetName val="测试报告内页"/>
      <sheetName val="测试报告内页（回路） "/>
    </sheetNames>
    <sheetDataSet>
      <sheetData sheetId="0" refreshError="1"/>
      <sheetData sheetId="1" refreshError="1"/>
      <sheetData sheetId="2" refreshError="1"/>
      <sheetData sheetId="3" refreshError="1"/>
      <sheetData sheetId="4" refreshError="1">
        <row r="26">
          <cell r="M26">
            <v>7.280088524797716E-4</v>
          </cell>
        </row>
      </sheetData>
      <sheetData sheetId="5" refreshError="1"/>
      <sheetData sheetId="6" refreshError="1"/>
      <sheetData sheetId="7" refreshError="1"/>
    </sheetDataSet>
  </externalBook>
</externalLink>
</file>

<file path=xl/externalLinks/externalLink14.xml><?xml version="1.0" encoding="utf-8"?>
<externalLink xmlns="http://schemas.openxmlformats.org/spreadsheetml/2006/main">
  <externalBook xmlns:r="http://schemas.openxmlformats.org/officeDocument/2006/relationships" r:id="rId1">
    <sheetNames>
      <sheetName val="检定信息"/>
      <sheetName val="原始记录封皮"/>
      <sheetName val="原始记录（电阻）"/>
      <sheetName val="封皮（检定证书 检定结果通知书）XIN"/>
      <sheetName val="证书内页"/>
      <sheetName val="证书数据"/>
    </sheetNames>
    <sheetDataSet>
      <sheetData sheetId="0" refreshError="1"/>
      <sheetData sheetId="1" refreshError="1">
        <row r="9">
          <cell r="D9" t="str">
            <v>BZ3</v>
          </cell>
        </row>
      </sheetData>
      <sheetData sheetId="2" refreshError="1"/>
      <sheetData sheetId="3" refreshError="1"/>
      <sheetData sheetId="4" refreshError="1"/>
      <sheetData sheetId="5" refreshError="1"/>
    </sheetDataSet>
  </externalBook>
</externalLink>
</file>

<file path=xl/externalLinks/externalLink15.xml><?xml version="1.0" encoding="utf-8"?>
<externalLink xmlns="http://schemas.openxmlformats.org/spreadsheetml/2006/main">
  <externalBook xmlns:r="http://schemas.openxmlformats.org/officeDocument/2006/relationships" r:id="rId1">
    <sheetNames>
      <sheetName val="登记信息"/>
      <sheetName val="原始记录封皮"/>
      <sheetName val="原始记录（电阻）"/>
      <sheetName val="封皮（检定证书 检定结果通知书）XIN"/>
      <sheetName val="证书内页"/>
      <sheetName val="证书数据"/>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16.xml><?xml version="1.0" encoding="utf-8"?>
<externalLink xmlns="http://schemas.openxmlformats.org/spreadsheetml/2006/main">
  <externalBook xmlns:r="http://schemas.openxmlformats.org/officeDocument/2006/relationships" r:id="rId1">
    <sheetNames>
      <sheetName val="检定信息"/>
      <sheetName val="原始记录封皮"/>
      <sheetName val="原始记录（ZY4）"/>
      <sheetName val="封皮（检定证书 检定结果通知书）XIN"/>
      <sheetName val="证书内页"/>
      <sheetName val="证书数据"/>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17.xml><?xml version="1.0" encoding="utf-8"?>
<externalLink xmlns="http://schemas.openxmlformats.org/spreadsheetml/2006/main">
  <externalBook xmlns:r="http://schemas.openxmlformats.org/officeDocument/2006/relationships" r:id="rId1">
    <sheetNames>
      <sheetName val="检定信息"/>
      <sheetName val="原始记录封皮"/>
      <sheetName val="原始记录（电阻）"/>
      <sheetName val="不确定度评定过程"/>
      <sheetName val="封皮（检定证书 检定结果通知书）XIN"/>
      <sheetName val="证书内页"/>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8.xml><?xml version="1.0" encoding="utf-8"?>
<externalLink xmlns="http://schemas.openxmlformats.org/spreadsheetml/2006/main">
  <externalBook xmlns:r="http://schemas.openxmlformats.org/officeDocument/2006/relationships" r:id="rId1">
    <sheetNames>
      <sheetName val="登记信息页"/>
      <sheetName val="原始记录封皮"/>
      <sheetName val="原始记录（高压表）"/>
      <sheetName val="封皮（测试报告 检定证书）"/>
      <sheetName val="测试报告内页"/>
      <sheetName val="证书（数据）"/>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19.xml><?xml version="1.0" encoding="utf-8"?>
<externalLink xmlns="http://schemas.openxmlformats.org/spreadsheetml/2006/main">
  <externalBook xmlns:r="http://schemas.openxmlformats.org/officeDocument/2006/relationships" r:id="rId1">
    <sheetNames>
      <sheetName val="登记信息"/>
      <sheetName val="原始记录封皮"/>
      <sheetName val="原始记录（电阻箱）"/>
      <sheetName val="封皮（检定证书 检定结果通知书）XIN"/>
      <sheetName val="证书内页"/>
      <sheetName val="证书数据"/>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20.xml><?xml version="1.0" encoding="utf-8"?>
<externalLink xmlns="http://schemas.openxmlformats.org/spreadsheetml/2006/main">
  <externalBook xmlns:r="http://schemas.openxmlformats.org/officeDocument/2006/relationships" r:id="rId1">
    <sheetNames>
      <sheetName val="登记信息"/>
      <sheetName val="原始记录封皮"/>
      <sheetName val="原始记录（电阻箱）"/>
      <sheetName val="封皮（检定证书 检定结果通知书）XIN"/>
      <sheetName val="证书内页"/>
      <sheetName val="证书数据"/>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21.xml><?xml version="1.0" encoding="utf-8"?>
<externalLink xmlns="http://schemas.openxmlformats.org/spreadsheetml/2006/main">
  <externalBook xmlns:r="http://schemas.openxmlformats.org/officeDocument/2006/relationships" r:id="rId1">
    <sheetNames>
      <sheetName val="登记信息"/>
      <sheetName val="原始记录封皮"/>
      <sheetName val="原始记录（电阻箱）"/>
      <sheetName val="封皮（检定证书 检定结果通知书）XIN"/>
      <sheetName val="证书内页"/>
      <sheetName val="证书数据"/>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22.xml><?xml version="1.0" encoding="utf-8"?>
<externalLink xmlns="http://schemas.openxmlformats.org/spreadsheetml/2006/main">
  <externalBook xmlns:r="http://schemas.openxmlformats.org/officeDocument/2006/relationships" r:id="rId1">
    <sheetNames>
      <sheetName val="登记信息页"/>
      <sheetName val="原始记录封皮"/>
      <sheetName val="原始记录（直阻）"/>
      <sheetName val="不确定度评定过程"/>
      <sheetName val="封皮（测试报告 检定证书）"/>
      <sheetName val="测试报告内页"/>
      <sheetName val="测试报告内页（直阻） "/>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23.xml><?xml version="1.0" encoding="utf-8"?>
<externalLink xmlns="http://schemas.openxmlformats.org/spreadsheetml/2006/main">
  <externalBook xmlns:r="http://schemas.openxmlformats.org/officeDocument/2006/relationships" r:id="rId1">
    <sheetNames>
      <sheetName val="登记信息页"/>
      <sheetName val="原始记录封皮"/>
      <sheetName val="原始记录（数字电桥）"/>
      <sheetName val="封皮（测试报告 检定证书）"/>
      <sheetName val="测试报告内页"/>
      <sheetName val="证书（数据）"/>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24.xml><?xml version="1.0" encoding="utf-8"?>
<externalLink xmlns="http://schemas.openxmlformats.org/spreadsheetml/2006/main">
  <externalBook xmlns:r="http://schemas.openxmlformats.org/officeDocument/2006/relationships" r:id="rId1">
    <sheetNames>
      <sheetName val="登记信息页"/>
      <sheetName val="原始记录封皮"/>
      <sheetName val="原始记录"/>
      <sheetName val="封皮（测试报告 检定证书）"/>
      <sheetName val="测试报告内页"/>
      <sheetName val="证书数据"/>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25.xml><?xml version="1.0" encoding="utf-8"?>
<externalLink xmlns="http://schemas.openxmlformats.org/spreadsheetml/2006/main">
  <externalBook xmlns:r="http://schemas.openxmlformats.org/officeDocument/2006/relationships" r:id="rId1">
    <sheetNames>
      <sheetName val="原始记录封皮"/>
      <sheetName val="原始记录数据"/>
      <sheetName val="封皮（检定证书 检定结果通知书）XIN"/>
      <sheetName val="证书内页"/>
      <sheetName val="证书数据"/>
    </sheetNames>
    <sheetDataSet>
      <sheetData sheetId="0" refreshError="1"/>
      <sheetData sheetId="1" refreshError="1"/>
      <sheetData sheetId="2" refreshError="1"/>
      <sheetData sheetId="3" refreshError="1"/>
      <sheetData sheetId="4" refreshError="1"/>
    </sheetDataSet>
  </externalBook>
</externalLink>
</file>

<file path=xl/externalLinks/externalLink26.xml><?xml version="1.0" encoding="utf-8"?>
<externalLink xmlns="http://schemas.openxmlformats.org/spreadsheetml/2006/main">
  <externalBook xmlns:r="http://schemas.openxmlformats.org/officeDocument/2006/relationships" r:id="rId1">
    <sheetNames>
      <sheetName val="检定信息"/>
      <sheetName val="原始记录封皮"/>
      <sheetName val="原始记录（高阻箱）"/>
      <sheetName val="封皮（检定证书 检定结果通知书）XIN"/>
      <sheetName val="证书内页"/>
      <sheetName val="证书数据"/>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27.xml><?xml version="1.0" encoding="utf-8"?>
<externalLink xmlns="http://schemas.openxmlformats.org/spreadsheetml/2006/main">
  <externalBook xmlns:r="http://schemas.openxmlformats.org/officeDocument/2006/relationships" r:id="rId1">
    <sheetNames>
      <sheetName val="原始记录"/>
      <sheetName val="证书"/>
      <sheetName val="信息"/>
      <sheetName val="1"/>
      <sheetName val="2"/>
      <sheetName val="3"/>
      <sheetName val="4"/>
      <sheetName val="5"/>
      <sheetName val="6"/>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8.xml><?xml version="1.0" encoding="utf-8"?>
<externalLink xmlns="http://schemas.openxmlformats.org/spreadsheetml/2006/main">
  <externalBook xmlns:r="http://schemas.openxmlformats.org/officeDocument/2006/relationships" r:id="rId1">
    <sheetNames>
      <sheetName val="信息页"/>
      <sheetName val="原始记录"/>
      <sheetName val="检定证书"/>
    </sheetNames>
    <sheetDataSet>
      <sheetData sheetId="0" refreshError="1"/>
      <sheetData sheetId="1"/>
      <sheetData sheetId="2" refreshError="1"/>
    </sheetDataSet>
  </externalBook>
</externalLink>
</file>

<file path=xl/externalLinks/externalLink29.xml><?xml version="1.0" encoding="utf-8"?>
<externalLink xmlns="http://schemas.openxmlformats.org/spreadsheetml/2006/main">
  <externalBook xmlns:r="http://schemas.openxmlformats.org/officeDocument/2006/relationships" r:id="rId1">
    <sheetNames>
      <sheetName val="信息页"/>
      <sheetName val="原始记录"/>
      <sheetName val="校准证书"/>
    </sheetNames>
    <sheetDataSet>
      <sheetData sheetId="0" refreshError="1"/>
      <sheetData sheetId="1"/>
      <sheetData sheetId="2" refreshError="1"/>
    </sheetDataSet>
  </externalBook>
</externalLink>
</file>

<file path=xl/externalLinks/externalLink30.xml><?xml version="1.0" encoding="utf-8"?>
<externalLink xmlns="http://schemas.openxmlformats.org/spreadsheetml/2006/main">
  <externalBook xmlns:r="http://schemas.openxmlformats.org/officeDocument/2006/relationships" r:id="rId1">
    <sheetNames>
      <sheetName val="信息页"/>
      <sheetName val="原始记录"/>
      <sheetName val="检定证书"/>
      <sheetName val="Sheet1"/>
    </sheetNames>
    <sheetDataSet>
      <sheetData sheetId="0" refreshError="1"/>
      <sheetData sheetId="1"/>
      <sheetData sheetId="2" refreshError="1"/>
      <sheetData sheetId="3" refreshError="1"/>
    </sheetDataSet>
  </externalBook>
</externalLink>
</file>

<file path=xl/externalLinks/externalLink31.xml><?xml version="1.0" encoding="utf-8"?>
<externalLink xmlns="http://schemas.openxmlformats.org/spreadsheetml/2006/main">
  <externalBook xmlns:r="http://schemas.openxmlformats.org/officeDocument/2006/relationships" r:id="rId1">
    <sheetNames>
      <sheetName val="信息页"/>
      <sheetName val="原始记录"/>
      <sheetName val="校准证书"/>
    </sheetNames>
    <sheetDataSet>
      <sheetData sheetId="0"/>
      <sheetData sheetId="1"/>
      <sheetData sheetId="2"/>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hyperlink" Target="&#25968;&#34920;&#23454;&#39564;&#23460;-&#19977;&#30456;&#25968;&#34920;\&#19977;&#30456;&#25968;&#34920;&#19981;&#30830;&#23450;&#24230;&#35780;&#23450;.xlsx" TargetMode="External"/><Relationship Id="rId2" Type="http://schemas.openxmlformats.org/officeDocument/2006/relationships/hyperlink" Target="&#25968;&#34920;&#23454;&#39564;&#23460;-&#21333;&#30456;-&#21407;&#22987;&#35760;&#24405;&#12289;&#26657;&#20934;&#35777;&#20070;&#12289;&#35745;&#31639;&#25903;&#25745;&#34920;\&#34920;&#26816;&#23450;&#19981;&#30830;&#23450;&#24230;5720A&#35745;&#31639;.xls" TargetMode="External"/><Relationship Id="rId1" Type="http://schemas.openxmlformats.org/officeDocument/2006/relationships/hyperlink" Target="&#25968;&#34920;&#23454;&#39564;&#23460;-&#21333;&#30456;-&#21407;&#22987;&#35760;&#24405;&#12289;&#26657;&#20934;&#35777;&#20070;&#12289;&#35745;&#31639;&#25903;&#25745;&#34920;\&#28304;&#26816;&#23450;&#19981;&#30830;&#23450;&#24230;&#21442;&#32771;-8508A(&#26032;)%20&#35745;&#31639;.xls" TargetMode="External"/><Relationship Id="rId4" Type="http://schemas.openxmlformats.org/officeDocument/2006/relationships/hyperlink" Target="http://wenku.baidu.com/link?url=Er2kUIopi2FgC1QLBee5GCXHhzhCfBdT8ZhJn-VuitxmSvPFe1C02ROC1PmeTKOVe7v8NZHquLy-CVPU_QpYD0oEEJDqdnexTUoBZlnOKxG" TargetMode="Externa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oleObject" Target="../embeddings/oleObject1.bin"/><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oleObject" Target="../embeddings/oleObject2.bin"/><Relationship Id="rId1"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8" Type="http://schemas.openxmlformats.org/officeDocument/2006/relationships/oleObject" Target="../embeddings/oleObject8.bin"/><Relationship Id="rId13" Type="http://schemas.openxmlformats.org/officeDocument/2006/relationships/oleObject" Target="../embeddings/oleObject13.bin"/><Relationship Id="rId18" Type="http://schemas.openxmlformats.org/officeDocument/2006/relationships/oleObject" Target="../embeddings/oleObject18.bin"/><Relationship Id="rId3" Type="http://schemas.openxmlformats.org/officeDocument/2006/relationships/oleObject" Target="../embeddings/oleObject3.bin"/><Relationship Id="rId21" Type="http://schemas.openxmlformats.org/officeDocument/2006/relationships/comments" Target="../comments10.xml"/><Relationship Id="rId7" Type="http://schemas.openxmlformats.org/officeDocument/2006/relationships/oleObject" Target="../embeddings/oleObject7.bin"/><Relationship Id="rId12" Type="http://schemas.openxmlformats.org/officeDocument/2006/relationships/oleObject" Target="../embeddings/oleObject12.bin"/><Relationship Id="rId17" Type="http://schemas.openxmlformats.org/officeDocument/2006/relationships/oleObject" Target="../embeddings/oleObject17.bin"/><Relationship Id="rId2" Type="http://schemas.openxmlformats.org/officeDocument/2006/relationships/vmlDrawing" Target="../drawings/vmlDrawing10.vml"/><Relationship Id="rId16" Type="http://schemas.openxmlformats.org/officeDocument/2006/relationships/oleObject" Target="../embeddings/oleObject16.bin"/><Relationship Id="rId20" Type="http://schemas.openxmlformats.org/officeDocument/2006/relationships/oleObject" Target="../embeddings/oleObject20.bin"/><Relationship Id="rId1" Type="http://schemas.openxmlformats.org/officeDocument/2006/relationships/drawing" Target="../drawings/drawing7.xml"/><Relationship Id="rId6" Type="http://schemas.openxmlformats.org/officeDocument/2006/relationships/oleObject" Target="../embeddings/oleObject6.bin"/><Relationship Id="rId11" Type="http://schemas.openxmlformats.org/officeDocument/2006/relationships/oleObject" Target="../embeddings/oleObject11.bin"/><Relationship Id="rId5" Type="http://schemas.openxmlformats.org/officeDocument/2006/relationships/oleObject" Target="../embeddings/oleObject5.bin"/><Relationship Id="rId15" Type="http://schemas.openxmlformats.org/officeDocument/2006/relationships/oleObject" Target="../embeddings/oleObject15.bin"/><Relationship Id="rId10" Type="http://schemas.openxmlformats.org/officeDocument/2006/relationships/oleObject" Target="../embeddings/oleObject10.bin"/><Relationship Id="rId19" Type="http://schemas.openxmlformats.org/officeDocument/2006/relationships/oleObject" Target="../embeddings/oleObject19.bin"/><Relationship Id="rId4" Type="http://schemas.openxmlformats.org/officeDocument/2006/relationships/oleObject" Target="../embeddings/oleObject4.bin"/><Relationship Id="rId9" Type="http://schemas.openxmlformats.org/officeDocument/2006/relationships/oleObject" Target="../embeddings/oleObject9.bin"/><Relationship Id="rId14" Type="http://schemas.openxmlformats.org/officeDocument/2006/relationships/oleObject" Target="../embeddings/oleObject14.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8" Type="http://schemas.openxmlformats.org/officeDocument/2006/relationships/oleObject" Target="../embeddings/oleObject26.bin"/><Relationship Id="rId13" Type="http://schemas.openxmlformats.org/officeDocument/2006/relationships/oleObject" Target="../embeddings/oleObject31.bin"/><Relationship Id="rId18" Type="http://schemas.openxmlformats.org/officeDocument/2006/relationships/oleObject" Target="../embeddings/oleObject36.bin"/><Relationship Id="rId3" Type="http://schemas.openxmlformats.org/officeDocument/2006/relationships/oleObject" Target="../embeddings/oleObject21.bin"/><Relationship Id="rId21" Type="http://schemas.openxmlformats.org/officeDocument/2006/relationships/comments" Target="../comments12.xml"/><Relationship Id="rId7" Type="http://schemas.openxmlformats.org/officeDocument/2006/relationships/oleObject" Target="../embeddings/oleObject25.bin"/><Relationship Id="rId12" Type="http://schemas.openxmlformats.org/officeDocument/2006/relationships/oleObject" Target="../embeddings/oleObject30.bin"/><Relationship Id="rId17" Type="http://schemas.openxmlformats.org/officeDocument/2006/relationships/oleObject" Target="../embeddings/oleObject35.bin"/><Relationship Id="rId2" Type="http://schemas.openxmlformats.org/officeDocument/2006/relationships/vmlDrawing" Target="../drawings/vmlDrawing12.vml"/><Relationship Id="rId16" Type="http://schemas.openxmlformats.org/officeDocument/2006/relationships/oleObject" Target="../embeddings/oleObject34.bin"/><Relationship Id="rId20" Type="http://schemas.openxmlformats.org/officeDocument/2006/relationships/oleObject" Target="../embeddings/oleObject38.bin"/><Relationship Id="rId1" Type="http://schemas.openxmlformats.org/officeDocument/2006/relationships/drawing" Target="../drawings/drawing9.xml"/><Relationship Id="rId6" Type="http://schemas.openxmlformats.org/officeDocument/2006/relationships/oleObject" Target="../embeddings/oleObject24.bin"/><Relationship Id="rId11" Type="http://schemas.openxmlformats.org/officeDocument/2006/relationships/oleObject" Target="../embeddings/oleObject29.bin"/><Relationship Id="rId5" Type="http://schemas.openxmlformats.org/officeDocument/2006/relationships/oleObject" Target="../embeddings/oleObject23.bin"/><Relationship Id="rId15" Type="http://schemas.openxmlformats.org/officeDocument/2006/relationships/oleObject" Target="../embeddings/oleObject33.bin"/><Relationship Id="rId10" Type="http://schemas.openxmlformats.org/officeDocument/2006/relationships/oleObject" Target="../embeddings/oleObject28.bin"/><Relationship Id="rId19" Type="http://schemas.openxmlformats.org/officeDocument/2006/relationships/oleObject" Target="../embeddings/oleObject37.bin"/><Relationship Id="rId4" Type="http://schemas.openxmlformats.org/officeDocument/2006/relationships/oleObject" Target="../embeddings/oleObject22.bin"/><Relationship Id="rId9" Type="http://schemas.openxmlformats.org/officeDocument/2006/relationships/oleObject" Target="../embeddings/oleObject27.bin"/><Relationship Id="rId14" Type="http://schemas.openxmlformats.org/officeDocument/2006/relationships/oleObject" Target="../embeddings/oleObject3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2.x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oleObject" Target="../embeddings/oleObject39.bin"/><Relationship Id="rId1" Type="http://schemas.openxmlformats.org/officeDocument/2006/relationships/vmlDrawing" Target="../drawings/vmlDrawing17.v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drawing" Target="../drawings/drawing13.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drawing" Target="../drawings/drawing14.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oleObject" Target="../embeddings/oleObject40.bin"/><Relationship Id="rId1" Type="http://schemas.openxmlformats.org/officeDocument/2006/relationships/vmlDrawing" Target="../drawings/vmlDrawing20.vml"/></Relationships>
</file>

<file path=xl/worksheets/_rels/sheet25.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drawing" Target="../drawings/drawing15.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1.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drawing" Target="../drawings/drawing16.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3.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17.xml"/><Relationship Id="rId1" Type="http://schemas.openxmlformats.org/officeDocument/2006/relationships/printerSettings" Target="../printerSettings/printerSettings5.bin"/><Relationship Id="rId4" Type="http://schemas.openxmlformats.org/officeDocument/2006/relationships/comments" Target="../comments24.xml"/></Relationships>
</file>

<file path=xl/worksheets/_rels/sheet34.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6.bin"/></Relationships>
</file>

<file path=xl/worksheets/_rels/sheet37.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oleObject" Target="../embeddings/oleObject41.bin"/><Relationship Id="rId1" Type="http://schemas.openxmlformats.org/officeDocument/2006/relationships/vmlDrawing" Target="../drawings/vmlDrawing26.vml"/></Relationships>
</file>

<file path=xl/worksheets/_rels/sheet38.xml.rels><?xml version="1.0" encoding="UTF-8" standalone="yes"?>
<Relationships xmlns="http://schemas.openxmlformats.org/package/2006/relationships"><Relationship Id="rId3" Type="http://schemas.openxmlformats.org/officeDocument/2006/relationships/comments" Target="../comments27.xml"/><Relationship Id="rId2" Type="http://schemas.openxmlformats.org/officeDocument/2006/relationships/vmlDrawing" Target="../drawings/vmlDrawing27.vml"/><Relationship Id="rId1" Type="http://schemas.openxmlformats.org/officeDocument/2006/relationships/drawing" Target="../drawings/drawing18.xml"/></Relationships>
</file>

<file path=xl/worksheets/_rels/sheet39.xml.rels><?xml version="1.0" encoding="UTF-8" standalone="yes"?>
<Relationships xmlns="http://schemas.openxmlformats.org/package/2006/relationships"><Relationship Id="rId3" Type="http://schemas.openxmlformats.org/officeDocument/2006/relationships/comments" Target="../comments28.xml"/><Relationship Id="rId2" Type="http://schemas.openxmlformats.org/officeDocument/2006/relationships/vmlDrawing" Target="../drawings/vmlDrawing28.vml"/><Relationship Id="rId1" Type="http://schemas.openxmlformats.org/officeDocument/2006/relationships/drawing" Target="../drawings/drawing19.xml"/></Relationships>
</file>

<file path=xl/worksheets/_rels/sheet40.xml.rels><?xml version="1.0" encoding="UTF-8" standalone="yes"?>
<Relationships xmlns="http://schemas.openxmlformats.org/package/2006/relationships"><Relationship Id="rId3" Type="http://schemas.openxmlformats.org/officeDocument/2006/relationships/oleObject" Target="../embeddings/oleObject43.bin"/><Relationship Id="rId2" Type="http://schemas.openxmlformats.org/officeDocument/2006/relationships/oleObject" Target="../embeddings/oleObject42.bin"/><Relationship Id="rId1" Type="http://schemas.openxmlformats.org/officeDocument/2006/relationships/vmlDrawing" Target="../drawings/vmlDrawing29.vml"/><Relationship Id="rId4" Type="http://schemas.openxmlformats.org/officeDocument/2006/relationships/comments" Target="../comments29.xml"/></Relationships>
</file>

<file path=xl/worksheets/_rels/sheet41.xml.rels><?xml version="1.0" encoding="UTF-8" standalone="yes"?>
<Relationships xmlns="http://schemas.openxmlformats.org/package/2006/relationships"><Relationship Id="rId3" Type="http://schemas.openxmlformats.org/officeDocument/2006/relationships/oleObject" Target="../embeddings/oleObject45.bin"/><Relationship Id="rId2" Type="http://schemas.openxmlformats.org/officeDocument/2006/relationships/oleObject" Target="../embeddings/oleObject44.bin"/><Relationship Id="rId1" Type="http://schemas.openxmlformats.org/officeDocument/2006/relationships/vmlDrawing" Target="../drawings/vmlDrawing30.vml"/><Relationship Id="rId4" Type="http://schemas.openxmlformats.org/officeDocument/2006/relationships/comments" Target="../comments30.xml"/></Relationships>
</file>

<file path=xl/worksheets/_rels/sheet42.xml.rels><?xml version="1.0" encoding="UTF-8" standalone="yes"?>
<Relationships xmlns="http://schemas.openxmlformats.org/package/2006/relationships"><Relationship Id="rId8" Type="http://schemas.openxmlformats.org/officeDocument/2006/relationships/oleObject" Target="../embeddings/oleObject51.bin"/><Relationship Id="rId13" Type="http://schemas.openxmlformats.org/officeDocument/2006/relationships/oleObject" Target="../embeddings/oleObject56.bin"/><Relationship Id="rId18" Type="http://schemas.openxmlformats.org/officeDocument/2006/relationships/oleObject" Target="../embeddings/oleObject61.bin"/><Relationship Id="rId26" Type="http://schemas.openxmlformats.org/officeDocument/2006/relationships/oleObject" Target="../embeddings/oleObject69.bin"/><Relationship Id="rId3" Type="http://schemas.openxmlformats.org/officeDocument/2006/relationships/oleObject" Target="../embeddings/oleObject46.bin"/><Relationship Id="rId21" Type="http://schemas.openxmlformats.org/officeDocument/2006/relationships/oleObject" Target="../embeddings/oleObject64.bin"/><Relationship Id="rId34" Type="http://schemas.openxmlformats.org/officeDocument/2006/relationships/oleObject" Target="../embeddings/oleObject77.bin"/><Relationship Id="rId7" Type="http://schemas.openxmlformats.org/officeDocument/2006/relationships/oleObject" Target="../embeddings/oleObject50.bin"/><Relationship Id="rId12" Type="http://schemas.openxmlformats.org/officeDocument/2006/relationships/oleObject" Target="../embeddings/oleObject55.bin"/><Relationship Id="rId17" Type="http://schemas.openxmlformats.org/officeDocument/2006/relationships/oleObject" Target="../embeddings/oleObject60.bin"/><Relationship Id="rId25" Type="http://schemas.openxmlformats.org/officeDocument/2006/relationships/oleObject" Target="../embeddings/oleObject68.bin"/><Relationship Id="rId33" Type="http://schemas.openxmlformats.org/officeDocument/2006/relationships/oleObject" Target="../embeddings/oleObject76.bin"/><Relationship Id="rId2" Type="http://schemas.openxmlformats.org/officeDocument/2006/relationships/vmlDrawing" Target="../drawings/vmlDrawing31.vml"/><Relationship Id="rId16" Type="http://schemas.openxmlformats.org/officeDocument/2006/relationships/oleObject" Target="../embeddings/oleObject59.bin"/><Relationship Id="rId20" Type="http://schemas.openxmlformats.org/officeDocument/2006/relationships/oleObject" Target="../embeddings/oleObject63.bin"/><Relationship Id="rId29" Type="http://schemas.openxmlformats.org/officeDocument/2006/relationships/oleObject" Target="../embeddings/oleObject72.bin"/><Relationship Id="rId1" Type="http://schemas.openxmlformats.org/officeDocument/2006/relationships/drawing" Target="../drawings/drawing20.xml"/><Relationship Id="rId6" Type="http://schemas.openxmlformats.org/officeDocument/2006/relationships/oleObject" Target="../embeddings/oleObject49.bin"/><Relationship Id="rId11" Type="http://schemas.openxmlformats.org/officeDocument/2006/relationships/oleObject" Target="../embeddings/oleObject54.bin"/><Relationship Id="rId24" Type="http://schemas.openxmlformats.org/officeDocument/2006/relationships/oleObject" Target="../embeddings/oleObject67.bin"/><Relationship Id="rId32" Type="http://schemas.openxmlformats.org/officeDocument/2006/relationships/oleObject" Target="../embeddings/oleObject75.bin"/><Relationship Id="rId5" Type="http://schemas.openxmlformats.org/officeDocument/2006/relationships/oleObject" Target="../embeddings/oleObject48.bin"/><Relationship Id="rId15" Type="http://schemas.openxmlformats.org/officeDocument/2006/relationships/oleObject" Target="../embeddings/oleObject58.bin"/><Relationship Id="rId23" Type="http://schemas.openxmlformats.org/officeDocument/2006/relationships/oleObject" Target="../embeddings/oleObject66.bin"/><Relationship Id="rId28" Type="http://schemas.openxmlformats.org/officeDocument/2006/relationships/oleObject" Target="../embeddings/oleObject71.bin"/><Relationship Id="rId10" Type="http://schemas.openxmlformats.org/officeDocument/2006/relationships/oleObject" Target="../embeddings/oleObject53.bin"/><Relationship Id="rId19" Type="http://schemas.openxmlformats.org/officeDocument/2006/relationships/oleObject" Target="../embeddings/oleObject62.bin"/><Relationship Id="rId31" Type="http://schemas.openxmlformats.org/officeDocument/2006/relationships/oleObject" Target="../embeddings/oleObject74.bin"/><Relationship Id="rId4" Type="http://schemas.openxmlformats.org/officeDocument/2006/relationships/oleObject" Target="../embeddings/oleObject47.bin"/><Relationship Id="rId9" Type="http://schemas.openxmlformats.org/officeDocument/2006/relationships/oleObject" Target="../embeddings/oleObject52.bin"/><Relationship Id="rId14" Type="http://schemas.openxmlformats.org/officeDocument/2006/relationships/oleObject" Target="../embeddings/oleObject57.bin"/><Relationship Id="rId22" Type="http://schemas.openxmlformats.org/officeDocument/2006/relationships/oleObject" Target="../embeddings/oleObject65.bin"/><Relationship Id="rId27" Type="http://schemas.openxmlformats.org/officeDocument/2006/relationships/oleObject" Target="../embeddings/oleObject70.bin"/><Relationship Id="rId30" Type="http://schemas.openxmlformats.org/officeDocument/2006/relationships/oleObject" Target="../embeddings/oleObject73.bin"/><Relationship Id="rId35" Type="http://schemas.openxmlformats.org/officeDocument/2006/relationships/comments" Target="../comments31.xml"/></Relationships>
</file>

<file path=xl/worksheets/_rels/sheet43.xml.rels><?xml version="1.0" encoding="UTF-8" standalone="yes"?>
<Relationships xmlns="http://schemas.openxmlformats.org/package/2006/relationships"><Relationship Id="rId8" Type="http://schemas.openxmlformats.org/officeDocument/2006/relationships/oleObject" Target="../embeddings/oleObject84.bin"/><Relationship Id="rId3" Type="http://schemas.openxmlformats.org/officeDocument/2006/relationships/oleObject" Target="../embeddings/oleObject79.bin"/><Relationship Id="rId7" Type="http://schemas.openxmlformats.org/officeDocument/2006/relationships/oleObject" Target="../embeddings/oleObject83.bin"/><Relationship Id="rId2" Type="http://schemas.openxmlformats.org/officeDocument/2006/relationships/oleObject" Target="../embeddings/oleObject78.bin"/><Relationship Id="rId1" Type="http://schemas.openxmlformats.org/officeDocument/2006/relationships/vmlDrawing" Target="../drawings/vmlDrawing32.vml"/><Relationship Id="rId6" Type="http://schemas.openxmlformats.org/officeDocument/2006/relationships/oleObject" Target="../embeddings/oleObject82.bin"/><Relationship Id="rId11" Type="http://schemas.openxmlformats.org/officeDocument/2006/relationships/comments" Target="../comments32.xml"/><Relationship Id="rId5" Type="http://schemas.openxmlformats.org/officeDocument/2006/relationships/oleObject" Target="../embeddings/oleObject81.bin"/><Relationship Id="rId10" Type="http://schemas.openxmlformats.org/officeDocument/2006/relationships/oleObject" Target="../embeddings/oleObject86.bin"/><Relationship Id="rId4" Type="http://schemas.openxmlformats.org/officeDocument/2006/relationships/oleObject" Target="../embeddings/oleObject80.bin"/><Relationship Id="rId9" Type="http://schemas.openxmlformats.org/officeDocument/2006/relationships/oleObject" Target="../embeddings/oleObject85.bin"/></Relationships>
</file>

<file path=xl/worksheets/_rels/sheet44.xml.rels><?xml version="1.0" encoding="UTF-8" standalone="yes"?>
<Relationships xmlns="http://schemas.openxmlformats.org/package/2006/relationships"><Relationship Id="rId3" Type="http://schemas.openxmlformats.org/officeDocument/2006/relationships/oleObject" Target="../embeddings/oleObject87.bin"/><Relationship Id="rId2" Type="http://schemas.openxmlformats.org/officeDocument/2006/relationships/vmlDrawing" Target="../drawings/vmlDrawing33.vml"/><Relationship Id="rId1" Type="http://schemas.openxmlformats.org/officeDocument/2006/relationships/drawing" Target="../drawings/drawing21.xml"/><Relationship Id="rId4" Type="http://schemas.openxmlformats.org/officeDocument/2006/relationships/comments" Target="../comments33.xml"/></Relationships>
</file>

<file path=xl/worksheets/_rels/sheet45.xml.rels><?xml version="1.0" encoding="UTF-8" standalone="yes"?>
<Relationships xmlns="http://schemas.openxmlformats.org/package/2006/relationships"><Relationship Id="rId3" Type="http://schemas.openxmlformats.org/officeDocument/2006/relationships/comments" Target="../comments34.xml"/><Relationship Id="rId2" Type="http://schemas.openxmlformats.org/officeDocument/2006/relationships/oleObject" Target="../embeddings/oleObject88.bin"/><Relationship Id="rId1" Type="http://schemas.openxmlformats.org/officeDocument/2006/relationships/vmlDrawing" Target="../drawings/vmlDrawing34.vml"/></Relationships>
</file>

<file path=xl/worksheets/_rels/sheet46.xml.rels><?xml version="1.0" encoding="UTF-8" standalone="yes"?>
<Relationships xmlns="http://schemas.openxmlformats.org/package/2006/relationships"><Relationship Id="rId3" Type="http://schemas.openxmlformats.org/officeDocument/2006/relationships/oleObject" Target="../embeddings/oleObject89.bin"/><Relationship Id="rId2" Type="http://schemas.openxmlformats.org/officeDocument/2006/relationships/vmlDrawing" Target="../drawings/vmlDrawing35.vml"/><Relationship Id="rId1" Type="http://schemas.openxmlformats.org/officeDocument/2006/relationships/drawing" Target="../drawings/drawing22.xml"/><Relationship Id="rId6" Type="http://schemas.openxmlformats.org/officeDocument/2006/relationships/comments" Target="../comments35.xml"/><Relationship Id="rId5" Type="http://schemas.openxmlformats.org/officeDocument/2006/relationships/oleObject" Target="../embeddings/oleObject91.bin"/><Relationship Id="rId4" Type="http://schemas.openxmlformats.org/officeDocument/2006/relationships/oleObject" Target="../embeddings/oleObject90.bin"/></Relationships>
</file>

<file path=xl/worksheets/_rels/sheet47.xml.rels><?xml version="1.0" encoding="UTF-8" standalone="yes"?>
<Relationships xmlns="http://schemas.openxmlformats.org/package/2006/relationships"><Relationship Id="rId8" Type="http://schemas.openxmlformats.org/officeDocument/2006/relationships/oleObject" Target="../embeddings/oleObject98.bin"/><Relationship Id="rId13" Type="http://schemas.openxmlformats.org/officeDocument/2006/relationships/oleObject" Target="../embeddings/oleObject103.bin"/><Relationship Id="rId3" Type="http://schemas.openxmlformats.org/officeDocument/2006/relationships/oleObject" Target="../embeddings/oleObject93.bin"/><Relationship Id="rId7" Type="http://schemas.openxmlformats.org/officeDocument/2006/relationships/oleObject" Target="../embeddings/oleObject97.bin"/><Relationship Id="rId12" Type="http://schemas.openxmlformats.org/officeDocument/2006/relationships/oleObject" Target="../embeddings/oleObject102.bin"/><Relationship Id="rId2" Type="http://schemas.openxmlformats.org/officeDocument/2006/relationships/oleObject" Target="../embeddings/oleObject92.bin"/><Relationship Id="rId1" Type="http://schemas.openxmlformats.org/officeDocument/2006/relationships/vmlDrawing" Target="../drawings/vmlDrawing36.vml"/><Relationship Id="rId6" Type="http://schemas.openxmlformats.org/officeDocument/2006/relationships/oleObject" Target="../embeddings/oleObject96.bin"/><Relationship Id="rId11" Type="http://schemas.openxmlformats.org/officeDocument/2006/relationships/oleObject" Target="../embeddings/oleObject101.bin"/><Relationship Id="rId5" Type="http://schemas.openxmlformats.org/officeDocument/2006/relationships/oleObject" Target="../embeddings/oleObject95.bin"/><Relationship Id="rId10" Type="http://schemas.openxmlformats.org/officeDocument/2006/relationships/oleObject" Target="../embeddings/oleObject100.bin"/><Relationship Id="rId4" Type="http://schemas.openxmlformats.org/officeDocument/2006/relationships/oleObject" Target="../embeddings/oleObject94.bin"/><Relationship Id="rId9" Type="http://schemas.openxmlformats.org/officeDocument/2006/relationships/oleObject" Target="../embeddings/oleObject99.bin"/><Relationship Id="rId14" Type="http://schemas.openxmlformats.org/officeDocument/2006/relationships/comments" Target="../comments36.xml"/></Relationships>
</file>

<file path=xl/worksheets/_rels/sheet48.xml.rels><?xml version="1.0" encoding="UTF-8" standalone="yes"?>
<Relationships xmlns="http://schemas.openxmlformats.org/package/2006/relationships"><Relationship Id="rId3" Type="http://schemas.openxmlformats.org/officeDocument/2006/relationships/comments" Target="../comments37.xml"/><Relationship Id="rId2" Type="http://schemas.openxmlformats.org/officeDocument/2006/relationships/vmlDrawing" Target="../drawings/vmlDrawing37.vml"/><Relationship Id="rId1" Type="http://schemas.openxmlformats.org/officeDocument/2006/relationships/drawing" Target="../drawings/drawing23.xml"/></Relationships>
</file>

<file path=xl/worksheets/_rels/sheet49.xml.rels><?xml version="1.0" encoding="UTF-8" standalone="yes"?>
<Relationships xmlns="http://schemas.openxmlformats.org/package/2006/relationships"><Relationship Id="rId3" Type="http://schemas.openxmlformats.org/officeDocument/2006/relationships/comments" Target="../comments38.xml"/><Relationship Id="rId2" Type="http://schemas.openxmlformats.org/officeDocument/2006/relationships/oleObject" Target="../embeddings/oleObject104.bin"/><Relationship Id="rId1" Type="http://schemas.openxmlformats.org/officeDocument/2006/relationships/vmlDrawing" Target="../drawings/vmlDrawing38.vml"/></Relationships>
</file>

<file path=xl/worksheets/_rels/sheet50.xml.rels><?xml version="1.0" encoding="UTF-8" standalone="yes"?>
<Relationships xmlns="http://schemas.openxmlformats.org/package/2006/relationships"><Relationship Id="rId3" Type="http://schemas.openxmlformats.org/officeDocument/2006/relationships/comments" Target="../comments39.xml"/><Relationship Id="rId2" Type="http://schemas.openxmlformats.org/officeDocument/2006/relationships/vmlDrawing" Target="../drawings/vmlDrawing39.vml"/><Relationship Id="rId1" Type="http://schemas.openxmlformats.org/officeDocument/2006/relationships/drawing" Target="../drawings/drawing24.xml"/></Relationships>
</file>

<file path=xl/worksheets/_rels/sheet51.xml.rels><?xml version="1.0" encoding="UTF-8" standalone="yes"?>
<Relationships xmlns="http://schemas.openxmlformats.org/package/2006/relationships"><Relationship Id="rId3" Type="http://schemas.openxmlformats.org/officeDocument/2006/relationships/comments" Target="../comments40.xml"/><Relationship Id="rId2" Type="http://schemas.openxmlformats.org/officeDocument/2006/relationships/oleObject" Target="../embeddings/oleObject105.bin"/><Relationship Id="rId1" Type="http://schemas.openxmlformats.org/officeDocument/2006/relationships/vmlDrawing" Target="../drawings/vmlDrawing40.vml"/></Relationships>
</file>

<file path=xl/worksheets/_rels/sheet52.xml.rels><?xml version="1.0" encoding="UTF-8" standalone="yes"?>
<Relationships xmlns="http://schemas.openxmlformats.org/package/2006/relationships"><Relationship Id="rId3" Type="http://schemas.openxmlformats.org/officeDocument/2006/relationships/oleObject" Target="../embeddings/oleObject106.bin"/><Relationship Id="rId2" Type="http://schemas.openxmlformats.org/officeDocument/2006/relationships/vmlDrawing" Target="../drawings/vmlDrawing41.vml"/><Relationship Id="rId1" Type="http://schemas.openxmlformats.org/officeDocument/2006/relationships/drawing" Target="../drawings/drawing25.xml"/><Relationship Id="rId6" Type="http://schemas.openxmlformats.org/officeDocument/2006/relationships/comments" Target="../comments41.xml"/><Relationship Id="rId5" Type="http://schemas.openxmlformats.org/officeDocument/2006/relationships/oleObject" Target="../embeddings/oleObject108.bin"/><Relationship Id="rId4" Type="http://schemas.openxmlformats.org/officeDocument/2006/relationships/oleObject" Target="../embeddings/oleObject107.bin"/></Relationships>
</file>

<file path=xl/worksheets/_rels/sheet53.xml.rels><?xml version="1.0" encoding="UTF-8" standalone="yes"?>
<Relationships xmlns="http://schemas.openxmlformats.org/package/2006/relationships"><Relationship Id="rId3" Type="http://schemas.openxmlformats.org/officeDocument/2006/relationships/comments" Target="../comments42.xml"/><Relationship Id="rId2" Type="http://schemas.openxmlformats.org/officeDocument/2006/relationships/vmlDrawing" Target="../drawings/vmlDrawing42.vml"/><Relationship Id="rId1" Type="http://schemas.openxmlformats.org/officeDocument/2006/relationships/drawing" Target="../drawings/drawing26.xml"/></Relationships>
</file>

<file path=xl/worksheets/_rels/sheet54.xml.rels><?xml version="1.0" encoding="UTF-8" standalone="yes"?>
<Relationships xmlns="http://schemas.openxmlformats.org/package/2006/relationships"><Relationship Id="rId3" Type="http://schemas.openxmlformats.org/officeDocument/2006/relationships/oleObject" Target="../embeddings/oleObject110.bin"/><Relationship Id="rId2" Type="http://schemas.openxmlformats.org/officeDocument/2006/relationships/oleObject" Target="../embeddings/oleObject109.bin"/><Relationship Id="rId1" Type="http://schemas.openxmlformats.org/officeDocument/2006/relationships/vmlDrawing" Target="../drawings/vmlDrawing43.vml"/><Relationship Id="rId4" Type="http://schemas.openxmlformats.org/officeDocument/2006/relationships/comments" Target="../comments43.xml"/></Relationships>
</file>

<file path=xl/worksheets/_rels/sheet55.xml.rels><?xml version="1.0" encoding="UTF-8" standalone="yes"?>
<Relationships xmlns="http://schemas.openxmlformats.org/package/2006/relationships"><Relationship Id="rId8" Type="http://schemas.openxmlformats.org/officeDocument/2006/relationships/oleObject" Target="../embeddings/oleObject116.bin"/><Relationship Id="rId3" Type="http://schemas.openxmlformats.org/officeDocument/2006/relationships/oleObject" Target="../embeddings/oleObject111.bin"/><Relationship Id="rId7" Type="http://schemas.openxmlformats.org/officeDocument/2006/relationships/oleObject" Target="../embeddings/oleObject115.bin"/><Relationship Id="rId2" Type="http://schemas.openxmlformats.org/officeDocument/2006/relationships/vmlDrawing" Target="../drawings/vmlDrawing44.vml"/><Relationship Id="rId1" Type="http://schemas.openxmlformats.org/officeDocument/2006/relationships/drawing" Target="../drawings/drawing27.xml"/><Relationship Id="rId6" Type="http://schemas.openxmlformats.org/officeDocument/2006/relationships/oleObject" Target="../embeddings/oleObject114.bin"/><Relationship Id="rId11" Type="http://schemas.openxmlformats.org/officeDocument/2006/relationships/comments" Target="../comments44.xml"/><Relationship Id="rId5" Type="http://schemas.openxmlformats.org/officeDocument/2006/relationships/oleObject" Target="../embeddings/oleObject113.bin"/><Relationship Id="rId10" Type="http://schemas.openxmlformats.org/officeDocument/2006/relationships/oleObject" Target="../embeddings/oleObject118.bin"/><Relationship Id="rId4" Type="http://schemas.openxmlformats.org/officeDocument/2006/relationships/oleObject" Target="../embeddings/oleObject112.bin"/><Relationship Id="rId9" Type="http://schemas.openxmlformats.org/officeDocument/2006/relationships/oleObject" Target="../embeddings/oleObject117.bin"/></Relationships>
</file>

<file path=xl/worksheets/_rels/sheet56.xml.rels><?xml version="1.0" encoding="UTF-8" standalone="yes"?>
<Relationships xmlns="http://schemas.openxmlformats.org/package/2006/relationships"><Relationship Id="rId8" Type="http://schemas.openxmlformats.org/officeDocument/2006/relationships/oleObject" Target="../embeddings/oleObject125.bin"/><Relationship Id="rId13" Type="http://schemas.openxmlformats.org/officeDocument/2006/relationships/oleObject" Target="../embeddings/oleObject130.bin"/><Relationship Id="rId18" Type="http://schemas.openxmlformats.org/officeDocument/2006/relationships/comments" Target="../comments45.xml"/><Relationship Id="rId3" Type="http://schemas.openxmlformats.org/officeDocument/2006/relationships/oleObject" Target="../embeddings/oleObject120.bin"/><Relationship Id="rId7" Type="http://schemas.openxmlformats.org/officeDocument/2006/relationships/oleObject" Target="../embeddings/oleObject124.bin"/><Relationship Id="rId12" Type="http://schemas.openxmlformats.org/officeDocument/2006/relationships/oleObject" Target="../embeddings/oleObject129.bin"/><Relationship Id="rId17" Type="http://schemas.openxmlformats.org/officeDocument/2006/relationships/oleObject" Target="../embeddings/oleObject134.bin"/><Relationship Id="rId2" Type="http://schemas.openxmlformats.org/officeDocument/2006/relationships/oleObject" Target="../embeddings/oleObject119.bin"/><Relationship Id="rId16" Type="http://schemas.openxmlformats.org/officeDocument/2006/relationships/oleObject" Target="../embeddings/oleObject133.bin"/><Relationship Id="rId1" Type="http://schemas.openxmlformats.org/officeDocument/2006/relationships/vmlDrawing" Target="../drawings/vmlDrawing45.vml"/><Relationship Id="rId6" Type="http://schemas.openxmlformats.org/officeDocument/2006/relationships/oleObject" Target="../embeddings/oleObject123.bin"/><Relationship Id="rId11" Type="http://schemas.openxmlformats.org/officeDocument/2006/relationships/oleObject" Target="../embeddings/oleObject128.bin"/><Relationship Id="rId5" Type="http://schemas.openxmlformats.org/officeDocument/2006/relationships/oleObject" Target="../embeddings/oleObject122.bin"/><Relationship Id="rId15" Type="http://schemas.openxmlformats.org/officeDocument/2006/relationships/oleObject" Target="../embeddings/oleObject132.bin"/><Relationship Id="rId10" Type="http://schemas.openxmlformats.org/officeDocument/2006/relationships/oleObject" Target="../embeddings/oleObject127.bin"/><Relationship Id="rId4" Type="http://schemas.openxmlformats.org/officeDocument/2006/relationships/oleObject" Target="../embeddings/oleObject121.bin"/><Relationship Id="rId9" Type="http://schemas.openxmlformats.org/officeDocument/2006/relationships/oleObject" Target="../embeddings/oleObject126.bin"/><Relationship Id="rId14" Type="http://schemas.openxmlformats.org/officeDocument/2006/relationships/oleObject" Target="../embeddings/oleObject131.bin"/></Relationships>
</file>

<file path=xl/worksheets/_rels/sheet57.xml.rels><?xml version="1.0" encoding="UTF-8" standalone="yes"?>
<Relationships xmlns="http://schemas.openxmlformats.org/package/2006/relationships"><Relationship Id="rId3" Type="http://schemas.openxmlformats.org/officeDocument/2006/relationships/comments" Target="../comments46.xml"/><Relationship Id="rId2" Type="http://schemas.openxmlformats.org/officeDocument/2006/relationships/vmlDrawing" Target="../drawings/vmlDrawing46.vml"/><Relationship Id="rId1" Type="http://schemas.openxmlformats.org/officeDocument/2006/relationships/drawing" Target="../drawings/drawing28.xml"/></Relationships>
</file>

<file path=xl/worksheets/_rels/sheet58.xml.rels><?xml version="1.0" encoding="UTF-8" standalone="yes"?>
<Relationships xmlns="http://schemas.openxmlformats.org/package/2006/relationships"><Relationship Id="rId3" Type="http://schemas.openxmlformats.org/officeDocument/2006/relationships/comments" Target="../comments47.xml"/><Relationship Id="rId2" Type="http://schemas.openxmlformats.org/officeDocument/2006/relationships/oleObject" Target="../embeddings/oleObject135.bin"/><Relationship Id="rId1" Type="http://schemas.openxmlformats.org/officeDocument/2006/relationships/vmlDrawing" Target="../drawings/vmlDrawing47.vml"/></Relationships>
</file>

<file path=xl/worksheets/_rels/sheet59.xml.rels><?xml version="1.0" encoding="UTF-8" standalone="yes"?>
<Relationships xmlns="http://schemas.openxmlformats.org/package/2006/relationships"><Relationship Id="rId3" Type="http://schemas.openxmlformats.org/officeDocument/2006/relationships/comments" Target="../comments48.xml"/><Relationship Id="rId2" Type="http://schemas.openxmlformats.org/officeDocument/2006/relationships/vmlDrawing" Target="../drawings/vmlDrawing48.vml"/><Relationship Id="rId1" Type="http://schemas.openxmlformats.org/officeDocument/2006/relationships/drawing" Target="../drawings/drawing29.xml"/></Relationships>
</file>

<file path=xl/worksheets/_rels/sheet60.xml.rels><?xml version="1.0" encoding="UTF-8" standalone="yes"?>
<Relationships xmlns="http://schemas.openxmlformats.org/package/2006/relationships"><Relationship Id="rId3" Type="http://schemas.openxmlformats.org/officeDocument/2006/relationships/oleObject" Target="../embeddings/oleObject137.bin"/><Relationship Id="rId2" Type="http://schemas.openxmlformats.org/officeDocument/2006/relationships/oleObject" Target="../embeddings/oleObject136.bin"/><Relationship Id="rId1" Type="http://schemas.openxmlformats.org/officeDocument/2006/relationships/vmlDrawing" Target="../drawings/vmlDrawing49.vml"/><Relationship Id="rId4" Type="http://schemas.openxmlformats.org/officeDocument/2006/relationships/comments" Target="../comments49.xml"/></Relationships>
</file>

<file path=xl/worksheets/_rels/sheet61.xml.rels><?xml version="1.0" encoding="UTF-8" standalone="yes"?>
<Relationships xmlns="http://schemas.openxmlformats.org/package/2006/relationships"><Relationship Id="rId3" Type="http://schemas.openxmlformats.org/officeDocument/2006/relationships/comments" Target="../comments50.xml"/><Relationship Id="rId2" Type="http://schemas.openxmlformats.org/officeDocument/2006/relationships/vmlDrawing" Target="../drawings/vmlDrawing50.vml"/><Relationship Id="rId1" Type="http://schemas.openxmlformats.org/officeDocument/2006/relationships/drawing" Target="../drawings/drawing30.xml"/></Relationships>
</file>

<file path=xl/worksheets/_rels/sheet62.xml.rels><?xml version="1.0" encoding="UTF-8" standalone="yes"?>
<Relationships xmlns="http://schemas.openxmlformats.org/package/2006/relationships"><Relationship Id="rId3" Type="http://schemas.openxmlformats.org/officeDocument/2006/relationships/comments" Target="../comments51.xml"/><Relationship Id="rId2" Type="http://schemas.openxmlformats.org/officeDocument/2006/relationships/oleObject" Target="../embeddings/oleObject138.bin"/><Relationship Id="rId1" Type="http://schemas.openxmlformats.org/officeDocument/2006/relationships/vmlDrawing" Target="../drawings/vmlDrawing51.vml"/></Relationships>
</file>

<file path=xl/worksheets/_rels/sheet63.xml.rels><?xml version="1.0" encoding="UTF-8" standalone="yes"?>
<Relationships xmlns="http://schemas.openxmlformats.org/package/2006/relationships"><Relationship Id="rId3" Type="http://schemas.openxmlformats.org/officeDocument/2006/relationships/comments" Target="../comments52.xml"/><Relationship Id="rId2" Type="http://schemas.openxmlformats.org/officeDocument/2006/relationships/vmlDrawing" Target="../drawings/vmlDrawing52.vml"/><Relationship Id="rId1" Type="http://schemas.openxmlformats.org/officeDocument/2006/relationships/drawing" Target="../drawings/drawing31.xml"/></Relationships>
</file>

<file path=xl/worksheets/_rels/sheet64.xml.rels><?xml version="1.0" encoding="UTF-8" standalone="yes"?>
<Relationships xmlns="http://schemas.openxmlformats.org/package/2006/relationships"><Relationship Id="rId2" Type="http://schemas.openxmlformats.org/officeDocument/2006/relationships/comments" Target="../comments53.xml"/><Relationship Id="rId1" Type="http://schemas.openxmlformats.org/officeDocument/2006/relationships/vmlDrawing" Target="../drawings/vmlDrawing53.vml"/></Relationships>
</file>

<file path=xl/worksheets/_rels/sheet65.xml.rels><?xml version="1.0" encoding="UTF-8" standalone="yes"?>
<Relationships xmlns="http://schemas.openxmlformats.org/package/2006/relationships"><Relationship Id="rId8" Type="http://schemas.openxmlformats.org/officeDocument/2006/relationships/oleObject" Target="../embeddings/oleObject144.bin"/><Relationship Id="rId13" Type="http://schemas.openxmlformats.org/officeDocument/2006/relationships/oleObject" Target="../embeddings/oleObject149.bin"/><Relationship Id="rId18" Type="http://schemas.openxmlformats.org/officeDocument/2006/relationships/oleObject" Target="../embeddings/oleObject154.bin"/><Relationship Id="rId3" Type="http://schemas.openxmlformats.org/officeDocument/2006/relationships/oleObject" Target="../embeddings/oleObject139.bin"/><Relationship Id="rId21" Type="http://schemas.openxmlformats.org/officeDocument/2006/relationships/comments" Target="../comments54.xml"/><Relationship Id="rId7" Type="http://schemas.openxmlformats.org/officeDocument/2006/relationships/oleObject" Target="../embeddings/oleObject143.bin"/><Relationship Id="rId12" Type="http://schemas.openxmlformats.org/officeDocument/2006/relationships/oleObject" Target="../embeddings/oleObject148.bin"/><Relationship Id="rId17" Type="http://schemas.openxmlformats.org/officeDocument/2006/relationships/oleObject" Target="../embeddings/oleObject153.bin"/><Relationship Id="rId2" Type="http://schemas.openxmlformats.org/officeDocument/2006/relationships/vmlDrawing" Target="../drawings/vmlDrawing54.vml"/><Relationship Id="rId16" Type="http://schemas.openxmlformats.org/officeDocument/2006/relationships/oleObject" Target="../embeddings/oleObject152.bin"/><Relationship Id="rId20" Type="http://schemas.openxmlformats.org/officeDocument/2006/relationships/oleObject" Target="../embeddings/oleObject156.bin"/><Relationship Id="rId1" Type="http://schemas.openxmlformats.org/officeDocument/2006/relationships/drawing" Target="../drawings/drawing32.xml"/><Relationship Id="rId6" Type="http://schemas.openxmlformats.org/officeDocument/2006/relationships/oleObject" Target="../embeddings/oleObject142.bin"/><Relationship Id="rId11" Type="http://schemas.openxmlformats.org/officeDocument/2006/relationships/oleObject" Target="../embeddings/oleObject147.bin"/><Relationship Id="rId5" Type="http://schemas.openxmlformats.org/officeDocument/2006/relationships/oleObject" Target="../embeddings/oleObject141.bin"/><Relationship Id="rId15" Type="http://schemas.openxmlformats.org/officeDocument/2006/relationships/oleObject" Target="../embeddings/oleObject151.bin"/><Relationship Id="rId10" Type="http://schemas.openxmlformats.org/officeDocument/2006/relationships/oleObject" Target="../embeddings/oleObject146.bin"/><Relationship Id="rId19" Type="http://schemas.openxmlformats.org/officeDocument/2006/relationships/oleObject" Target="../embeddings/oleObject155.bin"/><Relationship Id="rId4" Type="http://schemas.openxmlformats.org/officeDocument/2006/relationships/oleObject" Target="../embeddings/oleObject140.bin"/><Relationship Id="rId9" Type="http://schemas.openxmlformats.org/officeDocument/2006/relationships/oleObject" Target="../embeddings/oleObject145.bin"/><Relationship Id="rId14" Type="http://schemas.openxmlformats.org/officeDocument/2006/relationships/oleObject" Target="../embeddings/oleObject150.bin"/></Relationships>
</file>

<file path=xl/worksheets/_rels/sheet66.xml.rels><?xml version="1.0" encoding="UTF-8" standalone="yes"?>
<Relationships xmlns="http://schemas.openxmlformats.org/package/2006/relationships"><Relationship Id="rId3" Type="http://schemas.openxmlformats.org/officeDocument/2006/relationships/comments" Target="../comments55.xml"/><Relationship Id="rId2" Type="http://schemas.openxmlformats.org/officeDocument/2006/relationships/vmlDrawing" Target="../drawings/vmlDrawing55.vml"/><Relationship Id="rId1" Type="http://schemas.openxmlformats.org/officeDocument/2006/relationships/drawing" Target="../drawings/drawing33.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68.xml.rels><?xml version="1.0" encoding="UTF-8" standalone="yes"?>
<Relationships xmlns="http://schemas.openxmlformats.org/package/2006/relationships"><Relationship Id="rId3" Type="http://schemas.openxmlformats.org/officeDocument/2006/relationships/comments" Target="../comments56.xml"/><Relationship Id="rId2" Type="http://schemas.openxmlformats.org/officeDocument/2006/relationships/vmlDrawing" Target="../drawings/vmlDrawing56.vml"/><Relationship Id="rId1" Type="http://schemas.openxmlformats.org/officeDocument/2006/relationships/drawing" Target="../drawings/drawing35.xml"/></Relationships>
</file>

<file path=xl/worksheets/_rels/sheet69.xml.rels><?xml version="1.0" encoding="UTF-8" standalone="yes"?>
<Relationships xmlns="http://schemas.openxmlformats.org/package/2006/relationships"><Relationship Id="rId3" Type="http://schemas.openxmlformats.org/officeDocument/2006/relationships/comments" Target="../comments57.xml"/><Relationship Id="rId2" Type="http://schemas.openxmlformats.org/officeDocument/2006/relationships/vmlDrawing" Target="../drawings/vmlDrawing57.vml"/><Relationship Id="rId1" Type="http://schemas.openxmlformats.org/officeDocument/2006/relationships/drawing" Target="../drawings/drawing36.xml"/></Relationships>
</file>

<file path=xl/worksheets/_rels/sheet70.xml.rels><?xml version="1.0" encoding="UTF-8" standalone="yes"?>
<Relationships xmlns="http://schemas.openxmlformats.org/package/2006/relationships"><Relationship Id="rId8" Type="http://schemas.openxmlformats.org/officeDocument/2006/relationships/comments" Target="../comments58.xml"/><Relationship Id="rId3" Type="http://schemas.openxmlformats.org/officeDocument/2006/relationships/oleObject" Target="../embeddings/oleObject158.bin"/><Relationship Id="rId7" Type="http://schemas.openxmlformats.org/officeDocument/2006/relationships/oleObject" Target="../embeddings/oleObject162.bin"/><Relationship Id="rId2" Type="http://schemas.openxmlformats.org/officeDocument/2006/relationships/oleObject" Target="../embeddings/oleObject157.bin"/><Relationship Id="rId1" Type="http://schemas.openxmlformats.org/officeDocument/2006/relationships/vmlDrawing" Target="../drawings/vmlDrawing58.vml"/><Relationship Id="rId6" Type="http://schemas.openxmlformats.org/officeDocument/2006/relationships/oleObject" Target="../embeddings/oleObject161.bin"/><Relationship Id="rId5" Type="http://schemas.openxmlformats.org/officeDocument/2006/relationships/oleObject" Target="../embeddings/oleObject160.bin"/><Relationship Id="rId4" Type="http://schemas.openxmlformats.org/officeDocument/2006/relationships/oleObject" Target="../embeddings/oleObject159.bin"/></Relationships>
</file>

<file path=xl/worksheets/_rels/sheet71.xml.rels><?xml version="1.0" encoding="UTF-8" standalone="yes"?>
<Relationships xmlns="http://schemas.openxmlformats.org/package/2006/relationships"><Relationship Id="rId3" Type="http://schemas.openxmlformats.org/officeDocument/2006/relationships/comments" Target="../comments59.xml"/><Relationship Id="rId2" Type="http://schemas.openxmlformats.org/officeDocument/2006/relationships/vmlDrawing" Target="../drawings/vmlDrawing59.vml"/><Relationship Id="rId1" Type="http://schemas.openxmlformats.org/officeDocument/2006/relationships/drawing" Target="../drawings/drawing37.xml"/></Relationships>
</file>

<file path=xl/worksheets/_rels/sheet72.xml.rels><?xml version="1.0" encoding="UTF-8" standalone="yes"?>
<Relationships xmlns="http://schemas.openxmlformats.org/package/2006/relationships"><Relationship Id="rId3" Type="http://schemas.openxmlformats.org/officeDocument/2006/relationships/oleObject" Target="../embeddings/oleObject164.bin"/><Relationship Id="rId2" Type="http://schemas.openxmlformats.org/officeDocument/2006/relationships/oleObject" Target="../embeddings/oleObject163.bin"/><Relationship Id="rId1" Type="http://schemas.openxmlformats.org/officeDocument/2006/relationships/vmlDrawing" Target="../drawings/vmlDrawing60.vml"/><Relationship Id="rId5" Type="http://schemas.openxmlformats.org/officeDocument/2006/relationships/comments" Target="../comments60.xml"/><Relationship Id="rId4" Type="http://schemas.openxmlformats.org/officeDocument/2006/relationships/oleObject" Target="../embeddings/oleObject165.bin"/></Relationships>
</file>

<file path=xl/worksheets/_rels/sheet73.xml.rels><?xml version="1.0" encoding="UTF-8" standalone="yes"?>
<Relationships xmlns="http://schemas.openxmlformats.org/package/2006/relationships"><Relationship Id="rId3" Type="http://schemas.openxmlformats.org/officeDocument/2006/relationships/oleObject" Target="../embeddings/oleObject166.bin"/><Relationship Id="rId2" Type="http://schemas.openxmlformats.org/officeDocument/2006/relationships/vmlDrawing" Target="../drawings/vmlDrawing61.vml"/><Relationship Id="rId1" Type="http://schemas.openxmlformats.org/officeDocument/2006/relationships/drawing" Target="../drawings/drawing38.xml"/><Relationship Id="rId6" Type="http://schemas.openxmlformats.org/officeDocument/2006/relationships/comments" Target="../comments61.xml"/><Relationship Id="rId5" Type="http://schemas.openxmlformats.org/officeDocument/2006/relationships/oleObject" Target="../embeddings/oleObject168.bin"/><Relationship Id="rId4" Type="http://schemas.openxmlformats.org/officeDocument/2006/relationships/oleObject" Target="../embeddings/oleObject167.bin"/></Relationships>
</file>

<file path=xl/worksheets/_rels/sheet74.xml.rels><?xml version="1.0" encoding="UTF-8" standalone="yes"?>
<Relationships xmlns="http://schemas.openxmlformats.org/package/2006/relationships"><Relationship Id="rId8" Type="http://schemas.openxmlformats.org/officeDocument/2006/relationships/comments" Target="../comments62.xml"/><Relationship Id="rId3" Type="http://schemas.openxmlformats.org/officeDocument/2006/relationships/oleObject" Target="../embeddings/oleObject170.bin"/><Relationship Id="rId7" Type="http://schemas.openxmlformats.org/officeDocument/2006/relationships/oleObject" Target="../embeddings/oleObject174.bin"/><Relationship Id="rId2" Type="http://schemas.openxmlformats.org/officeDocument/2006/relationships/oleObject" Target="../embeddings/oleObject169.bin"/><Relationship Id="rId1" Type="http://schemas.openxmlformats.org/officeDocument/2006/relationships/vmlDrawing" Target="../drawings/vmlDrawing62.vml"/><Relationship Id="rId6" Type="http://schemas.openxmlformats.org/officeDocument/2006/relationships/oleObject" Target="../embeddings/oleObject173.bin"/><Relationship Id="rId5" Type="http://schemas.openxmlformats.org/officeDocument/2006/relationships/oleObject" Target="../embeddings/oleObject172.bin"/><Relationship Id="rId4" Type="http://schemas.openxmlformats.org/officeDocument/2006/relationships/oleObject" Target="../embeddings/oleObject171.bin"/></Relationships>
</file>

<file path=xl/worksheets/_rels/sheet75.xml.rels><?xml version="1.0" encoding="UTF-8" standalone="yes"?>
<Relationships xmlns="http://schemas.openxmlformats.org/package/2006/relationships"><Relationship Id="rId8" Type="http://schemas.openxmlformats.org/officeDocument/2006/relationships/oleObject" Target="../embeddings/oleObject180.bin"/><Relationship Id="rId3" Type="http://schemas.openxmlformats.org/officeDocument/2006/relationships/oleObject" Target="../embeddings/oleObject175.bin"/><Relationship Id="rId7" Type="http://schemas.openxmlformats.org/officeDocument/2006/relationships/oleObject" Target="../embeddings/oleObject179.bin"/><Relationship Id="rId12" Type="http://schemas.openxmlformats.org/officeDocument/2006/relationships/comments" Target="../comments63.xml"/><Relationship Id="rId2" Type="http://schemas.openxmlformats.org/officeDocument/2006/relationships/vmlDrawing" Target="../drawings/vmlDrawing63.vml"/><Relationship Id="rId1" Type="http://schemas.openxmlformats.org/officeDocument/2006/relationships/drawing" Target="../drawings/drawing39.xml"/><Relationship Id="rId6" Type="http://schemas.openxmlformats.org/officeDocument/2006/relationships/oleObject" Target="../embeddings/oleObject178.bin"/><Relationship Id="rId11" Type="http://schemas.openxmlformats.org/officeDocument/2006/relationships/oleObject" Target="../embeddings/oleObject183.bin"/><Relationship Id="rId5" Type="http://schemas.openxmlformats.org/officeDocument/2006/relationships/oleObject" Target="../embeddings/oleObject177.bin"/><Relationship Id="rId10" Type="http://schemas.openxmlformats.org/officeDocument/2006/relationships/oleObject" Target="../embeddings/oleObject182.bin"/><Relationship Id="rId4" Type="http://schemas.openxmlformats.org/officeDocument/2006/relationships/oleObject" Target="../embeddings/oleObject176.bin"/><Relationship Id="rId9" Type="http://schemas.openxmlformats.org/officeDocument/2006/relationships/oleObject" Target="../embeddings/oleObject181.bin"/></Relationships>
</file>

<file path=xl/worksheets/_rels/sheet76.xml.rels><?xml version="1.0" encoding="UTF-8" standalone="yes"?>
<Relationships xmlns="http://schemas.openxmlformats.org/package/2006/relationships"><Relationship Id="rId8" Type="http://schemas.openxmlformats.org/officeDocument/2006/relationships/oleObject" Target="../embeddings/oleObject190.bin"/><Relationship Id="rId13" Type="http://schemas.openxmlformats.org/officeDocument/2006/relationships/oleObject" Target="../embeddings/oleObject195.bin"/><Relationship Id="rId18" Type="http://schemas.openxmlformats.org/officeDocument/2006/relationships/oleObject" Target="../embeddings/oleObject200.bin"/><Relationship Id="rId26" Type="http://schemas.openxmlformats.org/officeDocument/2006/relationships/oleObject" Target="../embeddings/oleObject208.bin"/><Relationship Id="rId3" Type="http://schemas.openxmlformats.org/officeDocument/2006/relationships/oleObject" Target="../embeddings/oleObject185.bin"/><Relationship Id="rId21" Type="http://schemas.openxmlformats.org/officeDocument/2006/relationships/oleObject" Target="../embeddings/oleObject203.bin"/><Relationship Id="rId34" Type="http://schemas.openxmlformats.org/officeDocument/2006/relationships/oleObject" Target="../embeddings/oleObject216.bin"/><Relationship Id="rId7" Type="http://schemas.openxmlformats.org/officeDocument/2006/relationships/oleObject" Target="../embeddings/oleObject189.bin"/><Relationship Id="rId12" Type="http://schemas.openxmlformats.org/officeDocument/2006/relationships/oleObject" Target="../embeddings/oleObject194.bin"/><Relationship Id="rId17" Type="http://schemas.openxmlformats.org/officeDocument/2006/relationships/oleObject" Target="../embeddings/oleObject199.bin"/><Relationship Id="rId25" Type="http://schemas.openxmlformats.org/officeDocument/2006/relationships/oleObject" Target="../embeddings/oleObject207.bin"/><Relationship Id="rId33" Type="http://schemas.openxmlformats.org/officeDocument/2006/relationships/oleObject" Target="../embeddings/oleObject215.bin"/><Relationship Id="rId2" Type="http://schemas.openxmlformats.org/officeDocument/2006/relationships/oleObject" Target="../embeddings/oleObject184.bin"/><Relationship Id="rId16" Type="http://schemas.openxmlformats.org/officeDocument/2006/relationships/oleObject" Target="../embeddings/oleObject198.bin"/><Relationship Id="rId20" Type="http://schemas.openxmlformats.org/officeDocument/2006/relationships/oleObject" Target="../embeddings/oleObject202.bin"/><Relationship Id="rId29" Type="http://schemas.openxmlformats.org/officeDocument/2006/relationships/oleObject" Target="../embeddings/oleObject211.bin"/><Relationship Id="rId1" Type="http://schemas.openxmlformats.org/officeDocument/2006/relationships/vmlDrawing" Target="../drawings/vmlDrawing64.vml"/><Relationship Id="rId6" Type="http://schemas.openxmlformats.org/officeDocument/2006/relationships/oleObject" Target="../embeddings/oleObject188.bin"/><Relationship Id="rId11" Type="http://schemas.openxmlformats.org/officeDocument/2006/relationships/oleObject" Target="../embeddings/oleObject193.bin"/><Relationship Id="rId24" Type="http://schemas.openxmlformats.org/officeDocument/2006/relationships/oleObject" Target="../embeddings/oleObject206.bin"/><Relationship Id="rId32" Type="http://schemas.openxmlformats.org/officeDocument/2006/relationships/oleObject" Target="../embeddings/oleObject214.bin"/><Relationship Id="rId37" Type="http://schemas.openxmlformats.org/officeDocument/2006/relationships/comments" Target="../comments64.xml"/><Relationship Id="rId5" Type="http://schemas.openxmlformats.org/officeDocument/2006/relationships/oleObject" Target="../embeddings/oleObject187.bin"/><Relationship Id="rId15" Type="http://schemas.openxmlformats.org/officeDocument/2006/relationships/oleObject" Target="../embeddings/oleObject197.bin"/><Relationship Id="rId23" Type="http://schemas.openxmlformats.org/officeDocument/2006/relationships/oleObject" Target="../embeddings/oleObject205.bin"/><Relationship Id="rId28" Type="http://schemas.openxmlformats.org/officeDocument/2006/relationships/oleObject" Target="../embeddings/oleObject210.bin"/><Relationship Id="rId36" Type="http://schemas.openxmlformats.org/officeDocument/2006/relationships/oleObject" Target="../embeddings/oleObject218.bin"/><Relationship Id="rId10" Type="http://schemas.openxmlformats.org/officeDocument/2006/relationships/oleObject" Target="../embeddings/oleObject192.bin"/><Relationship Id="rId19" Type="http://schemas.openxmlformats.org/officeDocument/2006/relationships/oleObject" Target="../embeddings/oleObject201.bin"/><Relationship Id="rId31" Type="http://schemas.openxmlformats.org/officeDocument/2006/relationships/oleObject" Target="../embeddings/oleObject213.bin"/><Relationship Id="rId4" Type="http://schemas.openxmlformats.org/officeDocument/2006/relationships/oleObject" Target="../embeddings/oleObject186.bin"/><Relationship Id="rId9" Type="http://schemas.openxmlformats.org/officeDocument/2006/relationships/oleObject" Target="../embeddings/oleObject191.bin"/><Relationship Id="rId14" Type="http://schemas.openxmlformats.org/officeDocument/2006/relationships/oleObject" Target="../embeddings/oleObject196.bin"/><Relationship Id="rId22" Type="http://schemas.openxmlformats.org/officeDocument/2006/relationships/oleObject" Target="../embeddings/oleObject204.bin"/><Relationship Id="rId27" Type="http://schemas.openxmlformats.org/officeDocument/2006/relationships/oleObject" Target="../embeddings/oleObject209.bin"/><Relationship Id="rId30" Type="http://schemas.openxmlformats.org/officeDocument/2006/relationships/oleObject" Target="../embeddings/oleObject212.bin"/><Relationship Id="rId35" Type="http://schemas.openxmlformats.org/officeDocument/2006/relationships/oleObject" Target="../embeddings/oleObject217.bin"/></Relationships>
</file>

<file path=xl/worksheets/_rels/sheet77.xml.rels><?xml version="1.0" encoding="UTF-8" standalone="yes"?>
<Relationships xmlns="http://schemas.openxmlformats.org/package/2006/relationships"><Relationship Id="rId2" Type="http://schemas.openxmlformats.org/officeDocument/2006/relationships/comments" Target="../comments65.xml"/><Relationship Id="rId1" Type="http://schemas.openxmlformats.org/officeDocument/2006/relationships/vmlDrawing" Target="../drawings/vmlDrawing65.vml"/></Relationships>
</file>

<file path=xl/worksheets/_rels/sheet78.xml.rels><?xml version="1.0" encoding="UTF-8" standalone="yes"?>
<Relationships xmlns="http://schemas.openxmlformats.org/package/2006/relationships"><Relationship Id="rId3" Type="http://schemas.openxmlformats.org/officeDocument/2006/relationships/oleObject" Target="../embeddings/oleObject219.bin"/><Relationship Id="rId2" Type="http://schemas.openxmlformats.org/officeDocument/2006/relationships/vmlDrawing" Target="../drawings/vmlDrawing66.vml"/><Relationship Id="rId1" Type="http://schemas.openxmlformats.org/officeDocument/2006/relationships/printerSettings" Target="../printerSettings/printerSettings7.bin"/><Relationship Id="rId4" Type="http://schemas.openxmlformats.org/officeDocument/2006/relationships/comments" Target="../comments66.xml"/></Relationships>
</file>

<file path=xl/worksheets/sheet1.xml><?xml version="1.0" encoding="utf-8"?>
<worksheet xmlns="http://schemas.openxmlformats.org/spreadsheetml/2006/main" xmlns:r="http://schemas.openxmlformats.org/officeDocument/2006/relationships">
  <dimension ref="B1:N10"/>
  <sheetViews>
    <sheetView zoomScale="130" zoomScaleNormal="130" workbookViewId="0"/>
  </sheetViews>
  <sheetFormatPr defaultRowHeight="14.25"/>
  <sheetData>
    <row r="1" spans="2:14" ht="63" customHeight="1">
      <c r="B1" s="1698" t="s">
        <v>601</v>
      </c>
      <c r="C1" s="1699"/>
      <c r="D1" s="1699"/>
      <c r="E1" s="1699"/>
      <c r="F1" s="1699"/>
      <c r="G1" s="1699"/>
      <c r="H1" s="1699"/>
      <c r="I1" s="1699"/>
      <c r="J1" s="1699"/>
      <c r="K1" s="1699"/>
      <c r="L1" s="1699"/>
      <c r="M1" s="1699"/>
      <c r="N1" s="1699"/>
    </row>
    <row r="2" spans="2:14">
      <c r="B2" s="242" t="s">
        <v>596</v>
      </c>
    </row>
    <row r="4" spans="2:14">
      <c r="B4" s="243" t="s">
        <v>597</v>
      </c>
      <c r="C4" s="244"/>
      <c r="D4" s="244"/>
      <c r="E4" s="244"/>
      <c r="F4" s="244"/>
      <c r="G4" s="244"/>
      <c r="H4" s="244"/>
      <c r="I4" s="244"/>
    </row>
    <row r="5" spans="2:14">
      <c r="B5" s="243" t="s">
        <v>598</v>
      </c>
      <c r="C5" s="244"/>
      <c r="D5" s="244"/>
      <c r="E5" s="244"/>
      <c r="F5" s="244"/>
      <c r="G5" s="244"/>
      <c r="H5" s="244"/>
      <c r="I5" s="244"/>
    </row>
    <row r="6" spans="2:14">
      <c r="B6" s="243" t="s">
        <v>599</v>
      </c>
      <c r="C6" s="244"/>
      <c r="D6" s="244"/>
      <c r="E6" s="244"/>
      <c r="F6" s="244"/>
      <c r="G6" s="244"/>
      <c r="H6" s="244"/>
      <c r="I6" s="244"/>
    </row>
    <row r="7" spans="2:14">
      <c r="B7" s="242" t="s">
        <v>600</v>
      </c>
    </row>
    <row r="9" spans="2:14">
      <c r="B9" s="245" t="s">
        <v>602</v>
      </c>
    </row>
    <row r="10" spans="2:14">
      <c r="B10" s="245" t="s">
        <v>603</v>
      </c>
    </row>
  </sheetData>
  <mergeCells count="1">
    <mergeCell ref="B1:N1"/>
  </mergeCells>
  <phoneticPr fontId="2"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dimension ref="A1:U19"/>
  <sheetViews>
    <sheetView topLeftCell="G1" workbookViewId="0">
      <selection activeCell="U4" sqref="U4:U13"/>
    </sheetView>
  </sheetViews>
  <sheetFormatPr defaultRowHeight="14.25"/>
  <cols>
    <col min="3" max="3" width="13" customWidth="1"/>
    <col min="18" max="18" width="22.25" customWidth="1"/>
    <col min="21" max="21" width="12.375" customWidth="1"/>
  </cols>
  <sheetData>
    <row r="1" spans="1:21" ht="24" customHeight="1">
      <c r="A1" s="1709" t="s">
        <v>1477</v>
      </c>
      <c r="B1" s="1710"/>
      <c r="C1" s="1710"/>
      <c r="D1" s="1711"/>
      <c r="E1" s="1712" t="s">
        <v>1476</v>
      </c>
      <c r="F1" s="1713"/>
      <c r="G1" s="1713"/>
      <c r="H1" s="1714"/>
      <c r="I1" s="1737" t="s">
        <v>1538</v>
      </c>
      <c r="J1" s="1713"/>
      <c r="K1" s="1713"/>
      <c r="L1" s="1713"/>
      <c r="M1" s="1713"/>
      <c r="N1" s="1713"/>
      <c r="O1" s="1713"/>
      <c r="P1" s="1713"/>
      <c r="Q1" s="1714"/>
      <c r="R1" s="592" t="s">
        <v>1537</v>
      </c>
      <c r="S1" s="1749" t="s">
        <v>4016</v>
      </c>
      <c r="T1" s="1713"/>
      <c r="U1" s="1714"/>
    </row>
    <row r="2" spans="1:21">
      <c r="A2" s="1731" t="s">
        <v>925</v>
      </c>
      <c r="B2" s="1731"/>
      <c r="C2" s="1732" t="s">
        <v>926</v>
      </c>
      <c r="D2" s="1732" t="s">
        <v>927</v>
      </c>
      <c r="E2" s="1729" t="s">
        <v>939</v>
      </c>
      <c r="F2" s="1734"/>
      <c r="G2" s="1734"/>
      <c r="H2" s="1730"/>
      <c r="I2" s="1746" t="s">
        <v>920</v>
      </c>
      <c r="J2" s="1746"/>
      <c r="K2" s="1746"/>
      <c r="L2" s="1746"/>
      <c r="M2" s="1723" t="s">
        <v>928</v>
      </c>
      <c r="N2" s="1724"/>
      <c r="O2" s="1724"/>
      <c r="P2" s="1725"/>
      <c r="Q2" s="1746" t="s">
        <v>929</v>
      </c>
      <c r="R2" s="1747" t="s">
        <v>1526</v>
      </c>
      <c r="S2" s="1744" t="s">
        <v>1523</v>
      </c>
      <c r="T2" s="1744" t="s">
        <v>1524</v>
      </c>
      <c r="U2" s="1750" t="s">
        <v>1525</v>
      </c>
    </row>
    <row r="3" spans="1:21" ht="44.25" customHeight="1">
      <c r="A3" s="1731"/>
      <c r="B3" s="1731"/>
      <c r="C3" s="1733"/>
      <c r="D3" s="1733"/>
      <c r="E3" s="1729" t="s">
        <v>933</v>
      </c>
      <c r="F3" s="1730"/>
      <c r="G3" s="1729" t="s">
        <v>934</v>
      </c>
      <c r="H3" s="1730"/>
      <c r="I3" s="1746"/>
      <c r="J3" s="1746"/>
      <c r="K3" s="1746"/>
      <c r="L3" s="1746"/>
      <c r="M3" s="1726"/>
      <c r="N3" s="1727"/>
      <c r="O3" s="1727"/>
      <c r="P3" s="1728"/>
      <c r="Q3" s="1746"/>
      <c r="R3" s="1748"/>
      <c r="S3" s="1745"/>
      <c r="T3" s="1745"/>
      <c r="U3" s="1745"/>
    </row>
    <row r="4" spans="1:21" ht="15">
      <c r="A4" s="1718" t="s">
        <v>940</v>
      </c>
      <c r="B4" s="1720" t="s">
        <v>924</v>
      </c>
      <c r="C4" s="341">
        <v>10</v>
      </c>
      <c r="D4" s="342">
        <v>0.5</v>
      </c>
      <c r="E4" s="343" t="s">
        <v>935</v>
      </c>
      <c r="F4" s="344"/>
      <c r="G4" s="345"/>
      <c r="H4" s="346"/>
      <c r="I4" s="1702" t="str">
        <f>IF(E4="/","/",IF(F4=H4,(E4+G4)/2,IF(OR((F4="")*(H4="m"),(F4="m")*(H4="µ")),(E4+G4/1000)/2,IF(OR((F4="m")*(H4=""),(F4="µ")*(H4="m")),(E4+G4*1000)/2,"/"))))</f>
        <v>/</v>
      </c>
      <c r="J4" s="1703"/>
      <c r="K4" s="1703"/>
      <c r="L4" s="351" t="str">
        <f>IF(F4="","",F4)</f>
        <v/>
      </c>
      <c r="M4" s="352" t="str">
        <f>IF(E4="/","/",IF(OR(LEFT(B4,1)=F4,(B4="A")*(F4=""),(B4="V")*(F4="")),(C4-I4*100/IF(OR(LEFT(A4,1)="A",LEFT(A4,1)="D"),MID(A4,3,LEN(A4)-2),MID(A4,1,LEN(A4))))/100,IF(OR((B4="mA")*(F4=""),(B4="mV")*(F4=""),(B4="µA")*(F4="m"),(B4="µV")*(F4="m")),(C4-I4*100/IF(OR(LEFT(A4,1)="A",LEFT(A4,1)="D"),MID(A4,3,LEN(A4)-2),MID(A4,1,LEN(A4)))*1000)/100,IF(OR((B4="mA")*(F4="µ"),(B4="mV")*(F4="µ"),(B4="A")*(F4="m"),(B4="V")*(F4="m")),(C4-I4*100/IF(OR(LEFT(A4,1)="A",LEFT(A4,1)="D"),MID(A4,3,LEN(A4)-2),MID(A4,1,LEN(A4)))/1000)/100,"/"))))</f>
        <v>/</v>
      </c>
      <c r="N4" s="353"/>
      <c r="O4" s="353"/>
      <c r="P4" s="353"/>
      <c r="Q4" s="352" t="str">
        <f>IF(E4="/","/",IF(F4=H4,IF(OR((B4="A")*(F4=""),(B4="V")*(F4=""),LEFT(B4,1)=F4),ABS(E4-G4)/IF(OR(LEFT(A4,1)="A",LEFT(A4,1)="D"),MID(A4,3,LEN(A4)-2),MID(A4,1,LEN(A4))),IF(OR(B4="A",B4="V",F4="µ"),ABS(E4-G4)/1000/IF(OR(LEFT(A4,1)="A",LEFT(A4,1)="D"),MID(A4,3,LEN(A4)-2),MID(A4,1,LEN(A4))),ABS(E4-G4)*1000/IF(OR(LEFT(A4,1)="A",LEFT(A4,1)="D"),MID(A4,3,LEN(A4)-2),MID(A4,1,LEN(A4))))),IF(OR((B4="A")*(F4=""),(B4="V")*(F4=""),LEFT(B4,1)=F4),IF(OR(B4="A",B4="V"),ABS(E4-G4/1000)/IF(OR(LEFT(A4,1)="A",LEFT(A4,1)="D"),MID(A4,3,LEN(A4)-2),MID(A4,1,LEN(A4))),ABS(E4-G4*1000)/IF(OR(LEFT(A4,1)="A",LEFT(A4,1)="D"),MID(A4,3,LEN(A4)-2),MID(A4,1,LEN(A4)))),IF(OR(B4="A",B4="V",F4="µ"),ABS(E4/1000-G4)/IF(OR(LEFT(A4,1)="A",LEFT(A4,1)="D"),MID(A4,3,LEN(A4)-2),MID(A4,1,LEN(A4))),ABS(E4*1000-G4)/IF(OR(LEFT(A4,1)="A",LEFT(A4,1)="D"),MID(A4,3,LEN(A4)-2),MID(A4,1,LEN(A4)))))))</f>
        <v>/</v>
      </c>
      <c r="R4" s="1738" t="e">
        <f>2*U4</f>
        <v>#REF!</v>
      </c>
      <c r="S4" s="1741" t="e">
        <f>[1]不确定度评定附表!#REF!</f>
        <v>#REF!</v>
      </c>
      <c r="T4" s="1700" t="e">
        <f>[1]不确定度评定附表!#REF!</f>
        <v>#REF!</v>
      </c>
      <c r="U4" s="1700" t="e">
        <f>[1]不确定度评定附表!#REF!</f>
        <v>#REF!</v>
      </c>
    </row>
    <row r="5" spans="1:21" ht="15">
      <c r="A5" s="1719" t="str">
        <f t="shared" ref="A5:B13" si="0">A4</f>
        <v>DC1</v>
      </c>
      <c r="B5" s="1721" t="str">
        <f t="shared" si="0"/>
        <v>A</v>
      </c>
      <c r="C5" s="341">
        <v>20</v>
      </c>
      <c r="D5" s="1708">
        <v>0.5</v>
      </c>
      <c r="E5" s="345">
        <v>200.40299999999999</v>
      </c>
      <c r="F5" s="346" t="s">
        <v>923</v>
      </c>
      <c r="G5" s="345">
        <v>200.375</v>
      </c>
      <c r="H5" s="346" t="s">
        <v>923</v>
      </c>
      <c r="I5" s="1702">
        <f t="shared" ref="I5:I19" si="1">IF(E5="/","/",IF(F5=H5,(E5+G5)/2,IF(OR((F5="")*(H5="m"),(F5="m")*(H5="µ")),(E5+G5/1000)/2,IF(OR((F5="m")*(H5=""),(F5="µ")*(H5="m")),(E5+G5*1000)/2,"/"))))</f>
        <v>200.38900000000001</v>
      </c>
      <c r="J5" s="1703"/>
      <c r="K5" s="1703"/>
      <c r="L5" s="351" t="str">
        <f t="shared" ref="L5:L19" si="2">IF(F5="","",F5)</f>
        <v>mA</v>
      </c>
      <c r="M5" s="354">
        <f t="shared" ref="M5:M19" si="3">IF(E5="/","/",IF(OR(LEFT(B5,1)=F5,(B5="A")*(F5=""),(B5="V")*(F5="")),(C5-I5*100/IF(OR(LEFT(A5,1)="A",LEFT(A5,1)="D"),MID(A5,3,LEN(A5)-2),MID(A5,1,LEN(A5))))/100,IF(OR((B5="mA")*(F5=""),(B5="mV")*(F5=""),(B5="µA")*(F5="m"),(B5="µV")*(F5="m")),(C5-I5*100/IF(OR(LEFT(A5,1)="A",LEFT(A5,1)="D"),MID(A5,3,LEN(A5)-2),MID(A5,1,LEN(A5)))*1000)/100,IF(OR((B5="mA")*(F5="µ"),(B5="mV")*(F5="µ"),(B5="A")*(F5="mA"),(B5="V")*(F5="m")),(C5-I5*100/IF(OR(LEFT(A5,1)="A",LEFT(A5,1)="D"),MID(A5,3,LEN(A5)-2),MID(A5,1,LEN(A5)))/1000)/100,"/"))))</f>
        <v>-3.890000000000171E-4</v>
      </c>
      <c r="N5" s="353"/>
      <c r="O5" s="353"/>
      <c r="P5" s="353"/>
      <c r="Q5" s="354">
        <f t="shared" ref="Q5:Q19" si="4">IF(E5="/","/",IF(F5=H5,IF(OR((B5="A")*(F5=""),(B5="V")*(F5=""),LEFT(B5,1)=F5),ABS(E5-G5)/IF(OR(LEFT(A5,1)="A",LEFT(A5,1)="D"),MID(A5,3,LEN(A5)-2),MID(A5,1,LEN(A5))),IF(OR(B5="A",B5="V",F5="µ"),ABS(E5-G5)/1000/IF(OR(LEFT(A5,1)="A",LEFT(A5,1)="D"),MID(A5,3,LEN(A5)-2),MID(A5,1,LEN(A5))),ABS(E5-G5)*1000/IF(OR(LEFT(A5,1)="A",LEFT(A5,1)="D"),MID(A5,3,LEN(A5)-2),MID(A5,1,LEN(A5))))),IF(OR((B5="A")*(F5=""),(B5="V")*(F5=""),LEFT(B5,1)=F5),IF(OR(B5="A",B5="V"),ABS(E5-G5/1000)/IF(OR(LEFT(A5,1)="A",LEFT(A5,1)="D"),MID(A5,3,LEN(A5)-2),MID(A5,1,LEN(A5))),ABS(E5-G5*1000)/IF(OR(LEFT(A5,1)="A",LEFT(A5,1)="D"),MID(A5,3,LEN(A5)-2),MID(A5,1,LEN(A5)))),IF(OR(B5="A",B5="V",F5="µ"),ABS(E5/1000-G5)/IF(OR(LEFT(A5,1)="A",LEFT(A5,1)="D"),MID(A5,3,LEN(A5)-2),MID(A5,1,LEN(A5))),ABS(E5*1000-G5)/IF(OR(LEFT(A5,1)="A",LEFT(A5,1)="D"),MID(A5,3,LEN(A5)-2),MID(A5,1,LEN(A5)))))))</f>
        <v>2.7999999999991587E-5</v>
      </c>
      <c r="R5" s="1739"/>
      <c r="S5" s="1742"/>
      <c r="T5" s="1735"/>
      <c r="U5" s="1735"/>
    </row>
    <row r="6" spans="1:21" ht="15">
      <c r="A6" s="1719" t="str">
        <f t="shared" si="0"/>
        <v>DC1</v>
      </c>
      <c r="B6" s="1721" t="str">
        <f t="shared" si="0"/>
        <v>A</v>
      </c>
      <c r="C6" s="341">
        <v>30</v>
      </c>
      <c r="D6" s="1708"/>
      <c r="E6" s="345">
        <v>300.077</v>
      </c>
      <c r="F6" s="346" t="s">
        <v>923</v>
      </c>
      <c r="G6" s="345">
        <v>300.089</v>
      </c>
      <c r="H6" s="346" t="s">
        <v>923</v>
      </c>
      <c r="I6" s="1702">
        <f t="shared" si="1"/>
        <v>300.08299999999997</v>
      </c>
      <c r="J6" s="1703"/>
      <c r="K6" s="1703"/>
      <c r="L6" s="351" t="str">
        <f t="shared" si="2"/>
        <v>mA</v>
      </c>
      <c r="M6" s="1704">
        <f t="shared" si="3"/>
        <v>-8.2999999999948675E-5</v>
      </c>
      <c r="N6" s="1705"/>
      <c r="O6" s="1705"/>
      <c r="P6" s="1706"/>
      <c r="Q6" s="354">
        <f t="shared" si="4"/>
        <v>1.2000000000000454E-5</v>
      </c>
      <c r="R6" s="1739"/>
      <c r="S6" s="1742"/>
      <c r="T6" s="1735"/>
      <c r="U6" s="1735"/>
    </row>
    <row r="7" spans="1:21" ht="15">
      <c r="A7" s="1719" t="str">
        <f t="shared" si="0"/>
        <v>DC1</v>
      </c>
      <c r="B7" s="1721" t="str">
        <f t="shared" si="0"/>
        <v>A</v>
      </c>
      <c r="C7" s="341">
        <v>40</v>
      </c>
      <c r="D7" s="1708"/>
      <c r="E7" s="345">
        <v>399.68900000000002</v>
      </c>
      <c r="F7" s="346" t="s">
        <v>923</v>
      </c>
      <c r="G7" s="345">
        <v>399.69900000000001</v>
      </c>
      <c r="H7" s="346" t="s">
        <v>923</v>
      </c>
      <c r="I7" s="1702">
        <f t="shared" si="1"/>
        <v>399.69400000000002</v>
      </c>
      <c r="J7" s="1703"/>
      <c r="K7" s="1703"/>
      <c r="L7" s="351" t="str">
        <f t="shared" si="2"/>
        <v>mA</v>
      </c>
      <c r="M7" s="1704">
        <f t="shared" si="3"/>
        <v>3.0599999999999741E-4</v>
      </c>
      <c r="N7" s="1705"/>
      <c r="O7" s="1705"/>
      <c r="P7" s="1706"/>
      <c r="Q7" s="354">
        <f t="shared" si="4"/>
        <v>9.9999999999909054E-6</v>
      </c>
      <c r="R7" s="1739"/>
      <c r="S7" s="1742"/>
      <c r="T7" s="1735"/>
      <c r="U7" s="1735"/>
    </row>
    <row r="8" spans="1:21" ht="15">
      <c r="A8" s="1719" t="str">
        <f t="shared" si="0"/>
        <v>DC1</v>
      </c>
      <c r="B8" s="1721" t="str">
        <f t="shared" si="0"/>
        <v>A</v>
      </c>
      <c r="C8" s="341">
        <v>50</v>
      </c>
      <c r="D8" s="1708"/>
      <c r="E8" s="345">
        <v>499.58499999999998</v>
      </c>
      <c r="F8" s="346" t="s">
        <v>923</v>
      </c>
      <c r="G8" s="345">
        <v>499.59100000000001</v>
      </c>
      <c r="H8" s="346" t="s">
        <v>923</v>
      </c>
      <c r="I8" s="1702">
        <f t="shared" si="1"/>
        <v>499.58799999999997</v>
      </c>
      <c r="J8" s="1703"/>
      <c r="K8" s="1703"/>
      <c r="L8" s="351" t="str">
        <f t="shared" si="2"/>
        <v>mA</v>
      </c>
      <c r="M8" s="1704">
        <f t="shared" si="3"/>
        <v>4.1200000000003457E-4</v>
      </c>
      <c r="N8" s="1705"/>
      <c r="O8" s="1705"/>
      <c r="P8" s="1706"/>
      <c r="Q8" s="354">
        <f t="shared" si="4"/>
        <v>6.0000000000286493E-6</v>
      </c>
      <c r="R8" s="1739"/>
      <c r="S8" s="1742"/>
      <c r="T8" s="1735"/>
      <c r="U8" s="1735"/>
    </row>
    <row r="9" spans="1:21" ht="15">
      <c r="A9" s="1719" t="str">
        <f t="shared" si="0"/>
        <v>DC1</v>
      </c>
      <c r="B9" s="1721" t="str">
        <f t="shared" si="0"/>
        <v>A</v>
      </c>
      <c r="C9" s="341">
        <v>60</v>
      </c>
      <c r="D9" s="1708"/>
      <c r="E9" s="345">
        <v>598.99199999999996</v>
      </c>
      <c r="F9" s="346" t="s">
        <v>923</v>
      </c>
      <c r="G9" s="345">
        <v>599.00199999999995</v>
      </c>
      <c r="H9" s="346" t="s">
        <v>923</v>
      </c>
      <c r="I9" s="1702">
        <f t="shared" si="1"/>
        <v>598.99699999999996</v>
      </c>
      <c r="J9" s="1703"/>
      <c r="K9" s="1703"/>
      <c r="L9" s="351" t="str">
        <f t="shared" si="2"/>
        <v>mA</v>
      </c>
      <c r="M9" s="1704">
        <f t="shared" si="3"/>
        <v>1.0030000000000427E-3</v>
      </c>
      <c r="N9" s="1705"/>
      <c r="O9" s="1705"/>
      <c r="P9" s="1706"/>
      <c r="Q9" s="354">
        <f t="shared" si="4"/>
        <v>9.9999999999909054E-6</v>
      </c>
      <c r="R9" s="1739"/>
      <c r="S9" s="1742"/>
      <c r="T9" s="1735"/>
      <c r="U9" s="1735"/>
    </row>
    <row r="10" spans="1:21" ht="15">
      <c r="A10" s="1719" t="str">
        <f t="shared" si="0"/>
        <v>DC1</v>
      </c>
      <c r="B10" s="1721" t="str">
        <f t="shared" si="0"/>
        <v>A</v>
      </c>
      <c r="C10" s="341">
        <v>70</v>
      </c>
      <c r="D10" s="1708"/>
      <c r="E10" s="345">
        <v>697.49099999999999</v>
      </c>
      <c r="F10" s="346" t="s">
        <v>923</v>
      </c>
      <c r="G10" s="345">
        <v>697.49699999999996</v>
      </c>
      <c r="H10" s="346" t="s">
        <v>923</v>
      </c>
      <c r="I10" s="1702">
        <f t="shared" si="1"/>
        <v>697.49399999999991</v>
      </c>
      <c r="J10" s="1703"/>
      <c r="K10" s="1703"/>
      <c r="L10" s="351" t="str">
        <f t="shared" si="2"/>
        <v>mA</v>
      </c>
      <c r="M10" s="1704">
        <f t="shared" si="3"/>
        <v>2.5060000000000572E-3</v>
      </c>
      <c r="N10" s="1705"/>
      <c r="O10" s="1705"/>
      <c r="P10" s="1706"/>
      <c r="Q10" s="354">
        <f t="shared" si="4"/>
        <v>5.9999999999718058E-6</v>
      </c>
      <c r="R10" s="1739"/>
      <c r="S10" s="1742"/>
      <c r="T10" s="1735"/>
      <c r="U10" s="1735"/>
    </row>
    <row r="11" spans="1:21" ht="15">
      <c r="A11" s="1719" t="str">
        <f t="shared" si="0"/>
        <v>DC1</v>
      </c>
      <c r="B11" s="1721" t="str">
        <f t="shared" si="0"/>
        <v>A</v>
      </c>
      <c r="C11" s="341">
        <v>80</v>
      </c>
      <c r="D11" s="1708"/>
      <c r="E11" s="345">
        <v>797.96900000000005</v>
      </c>
      <c r="F11" s="346" t="s">
        <v>923</v>
      </c>
      <c r="G11" s="345">
        <v>797.95500000000004</v>
      </c>
      <c r="H11" s="346" t="s">
        <v>923</v>
      </c>
      <c r="I11" s="1702">
        <f t="shared" si="1"/>
        <v>797.96199999999999</v>
      </c>
      <c r="J11" s="1703"/>
      <c r="K11" s="1703"/>
      <c r="L11" s="351" t="str">
        <f t="shared" si="2"/>
        <v>mA</v>
      </c>
      <c r="M11" s="1704">
        <f t="shared" si="3"/>
        <v>2.0380000000000107E-3</v>
      </c>
      <c r="N11" s="1705"/>
      <c r="O11" s="1705"/>
      <c r="P11" s="1706"/>
      <c r="Q11" s="354">
        <f t="shared" si="4"/>
        <v>1.4000000000010005E-5</v>
      </c>
      <c r="R11" s="1739"/>
      <c r="S11" s="1742"/>
      <c r="T11" s="1735"/>
      <c r="U11" s="1735"/>
    </row>
    <row r="12" spans="1:21" ht="15">
      <c r="A12" s="1719" t="str">
        <f t="shared" si="0"/>
        <v>DC1</v>
      </c>
      <c r="B12" s="1721" t="str">
        <f t="shared" si="0"/>
        <v>A</v>
      </c>
      <c r="C12" s="341">
        <v>90</v>
      </c>
      <c r="D12" s="1708"/>
      <c r="E12" s="345">
        <v>897.35400000000004</v>
      </c>
      <c r="F12" s="346" t="s">
        <v>923</v>
      </c>
      <c r="G12" s="345">
        <v>897.34799999999996</v>
      </c>
      <c r="H12" s="346" t="s">
        <v>923</v>
      </c>
      <c r="I12" s="1702">
        <f t="shared" si="1"/>
        <v>897.351</v>
      </c>
      <c r="J12" s="1703"/>
      <c r="K12" s="1703"/>
      <c r="L12" s="351" t="str">
        <f t="shared" si="2"/>
        <v>mA</v>
      </c>
      <c r="M12" s="1704">
        <f t="shared" si="3"/>
        <v>2.6489999999999726E-3</v>
      </c>
      <c r="N12" s="1705"/>
      <c r="O12" s="1705"/>
      <c r="P12" s="1706"/>
      <c r="Q12" s="354">
        <f t="shared" si="4"/>
        <v>6.0000000000854929E-6</v>
      </c>
      <c r="R12" s="1739"/>
      <c r="S12" s="1742"/>
      <c r="T12" s="1735"/>
      <c r="U12" s="1735"/>
    </row>
    <row r="13" spans="1:21" ht="15">
      <c r="A13" s="1719" t="str">
        <f t="shared" si="0"/>
        <v>DC1</v>
      </c>
      <c r="B13" s="1722" t="str">
        <f t="shared" si="0"/>
        <v>A</v>
      </c>
      <c r="C13" s="341">
        <v>100</v>
      </c>
      <c r="D13" s="1708"/>
      <c r="E13" s="345">
        <v>994.47299999999996</v>
      </c>
      <c r="F13" s="346" t="s">
        <v>923</v>
      </c>
      <c r="G13" s="345">
        <v>995.45299999999997</v>
      </c>
      <c r="H13" s="346" t="s">
        <v>923</v>
      </c>
      <c r="I13" s="1702">
        <f t="shared" si="1"/>
        <v>994.96299999999997</v>
      </c>
      <c r="J13" s="1703"/>
      <c r="K13" s="1703"/>
      <c r="L13" s="351" t="str">
        <f t="shared" si="2"/>
        <v>mA</v>
      </c>
      <c r="M13" s="1704">
        <f t="shared" si="3"/>
        <v>5.0369999999999495E-3</v>
      </c>
      <c r="N13" s="1705"/>
      <c r="O13" s="1705"/>
      <c r="P13" s="1706"/>
      <c r="Q13" s="354">
        <f t="shared" si="4"/>
        <v>9.8000000000001818E-4</v>
      </c>
      <c r="R13" s="1740"/>
      <c r="S13" s="1743"/>
      <c r="T13" s="1736"/>
      <c r="U13" s="1736"/>
    </row>
    <row r="14" spans="1:21" ht="15">
      <c r="A14" s="1717" t="s">
        <v>936</v>
      </c>
      <c r="B14" s="1707" t="s">
        <v>924</v>
      </c>
      <c r="C14" s="341">
        <v>100</v>
      </c>
      <c r="D14" s="1708">
        <v>0.5</v>
      </c>
      <c r="E14" s="345">
        <v>1.99149</v>
      </c>
      <c r="F14" s="346" t="s">
        <v>924</v>
      </c>
      <c r="G14" s="345">
        <v>1.9915499999999999</v>
      </c>
      <c r="H14" s="346" t="s">
        <v>924</v>
      </c>
      <c r="I14" s="1702">
        <f t="shared" si="1"/>
        <v>1.99152</v>
      </c>
      <c r="J14" s="1703"/>
      <c r="K14" s="1703"/>
      <c r="L14" s="351" t="str">
        <f t="shared" si="2"/>
        <v>A</v>
      </c>
      <c r="M14" s="1704">
        <f t="shared" si="3"/>
        <v>4.2400000000000658E-3</v>
      </c>
      <c r="N14" s="1705"/>
      <c r="O14" s="1705"/>
      <c r="P14" s="1706"/>
      <c r="Q14" s="354">
        <f t="shared" si="4"/>
        <v>2.9999999999974492E-5</v>
      </c>
      <c r="R14" s="1715" t="e">
        <f>2*U14</f>
        <v>#REF!</v>
      </c>
      <c r="S14" s="1700" t="e">
        <f>[1]不确定度评定附表!#REF!</f>
        <v>#REF!</v>
      </c>
      <c r="T14" s="1700" t="e">
        <f>[1]不确定度评定附表!#REF!</f>
        <v>#REF!</v>
      </c>
      <c r="U14" s="1700" t="e">
        <f>[1]不确定度评定附表!#REF!</f>
        <v>#REF!</v>
      </c>
    </row>
    <row r="15" spans="1:21" ht="15">
      <c r="A15" s="1717" t="str">
        <f>A14</f>
        <v>DC2</v>
      </c>
      <c r="B15" s="1707" t="str">
        <f>B14</f>
        <v>A</v>
      </c>
      <c r="C15" s="341">
        <v>90</v>
      </c>
      <c r="D15" s="1708"/>
      <c r="E15" s="345">
        <v>1.7926500000000001</v>
      </c>
      <c r="F15" s="346" t="s">
        <v>924</v>
      </c>
      <c r="G15" s="345">
        <v>1.79271</v>
      </c>
      <c r="H15" s="346" t="s">
        <v>924</v>
      </c>
      <c r="I15" s="1702">
        <f t="shared" si="1"/>
        <v>1.7926800000000001</v>
      </c>
      <c r="J15" s="1703"/>
      <c r="K15" s="1703"/>
      <c r="L15" s="351" t="str">
        <f t="shared" si="2"/>
        <v>A</v>
      </c>
      <c r="M15" s="1704">
        <f t="shared" si="3"/>
        <v>3.6599999999999966E-3</v>
      </c>
      <c r="N15" s="1705"/>
      <c r="O15" s="1705"/>
      <c r="P15" s="1706"/>
      <c r="Q15" s="354">
        <f t="shared" si="4"/>
        <v>2.9999999999974492E-5</v>
      </c>
      <c r="R15" s="1716"/>
      <c r="S15" s="1701"/>
      <c r="T15" s="1701"/>
      <c r="U15" s="1701"/>
    </row>
    <row r="16" spans="1:21" ht="15">
      <c r="A16" s="1717" t="s">
        <v>937</v>
      </c>
      <c r="B16" s="1707" t="s">
        <v>924</v>
      </c>
      <c r="C16" s="341">
        <f>C14</f>
        <v>100</v>
      </c>
      <c r="D16" s="1708">
        <v>0.5</v>
      </c>
      <c r="E16" s="345">
        <v>1.9938199999999999</v>
      </c>
      <c r="F16" s="346" t="s">
        <v>924</v>
      </c>
      <c r="G16" s="345">
        <v>1.9937199999999999</v>
      </c>
      <c r="H16" s="346" t="s">
        <v>924</v>
      </c>
      <c r="I16" s="1702">
        <f t="shared" si="1"/>
        <v>1.99377</v>
      </c>
      <c r="J16" s="1703"/>
      <c r="K16" s="1703"/>
      <c r="L16" s="351" t="str">
        <f t="shared" si="2"/>
        <v>A</v>
      </c>
      <c r="M16" s="1704">
        <f t="shared" si="3"/>
        <v>3.1149999999999524E-3</v>
      </c>
      <c r="N16" s="1705"/>
      <c r="O16" s="1705"/>
      <c r="P16" s="1706"/>
      <c r="Q16" s="354">
        <f t="shared" si="4"/>
        <v>4.9999999999994493E-5</v>
      </c>
      <c r="R16" s="1715">
        <f>2*U16</f>
        <v>0</v>
      </c>
      <c r="S16" s="1700">
        <f>[1]不确定度评定附表!B3</f>
        <v>1E-4</v>
      </c>
      <c r="T16" s="1700">
        <f>[1]不确定度评定附表!D3</f>
        <v>5.8E-5</v>
      </c>
      <c r="U16" s="1700">
        <f>[1]不确定度评定附表!F3</f>
        <v>0</v>
      </c>
    </row>
    <row r="17" spans="1:21" ht="15">
      <c r="A17" s="1717" t="str">
        <f>A16</f>
        <v>AC2</v>
      </c>
      <c r="B17" s="1707" t="str">
        <f>B16</f>
        <v>A</v>
      </c>
      <c r="C17" s="341">
        <f>C15</f>
        <v>90</v>
      </c>
      <c r="D17" s="1708"/>
      <c r="E17" s="345">
        <v>1.7961100000000001</v>
      </c>
      <c r="F17" s="346" t="s">
        <v>924</v>
      </c>
      <c r="G17" s="345">
        <v>1.79603</v>
      </c>
      <c r="H17" s="346" t="s">
        <v>924</v>
      </c>
      <c r="I17" s="1702">
        <f t="shared" si="1"/>
        <v>1.7960700000000001</v>
      </c>
      <c r="J17" s="1703"/>
      <c r="K17" s="1703"/>
      <c r="L17" s="351" t="str">
        <f t="shared" si="2"/>
        <v>A</v>
      </c>
      <c r="M17" s="1704">
        <f t="shared" si="3"/>
        <v>1.9650000000000032E-3</v>
      </c>
      <c r="N17" s="1705"/>
      <c r="O17" s="1705"/>
      <c r="P17" s="1706"/>
      <c r="Q17" s="354">
        <f t="shared" si="4"/>
        <v>4.0000000000040004E-5</v>
      </c>
      <c r="R17" s="1716"/>
      <c r="S17" s="1701"/>
      <c r="T17" s="1701"/>
      <c r="U17" s="1701"/>
    </row>
    <row r="18" spans="1:21" ht="15">
      <c r="A18" s="1717" t="s">
        <v>938</v>
      </c>
      <c r="B18" s="1707" t="s">
        <v>924</v>
      </c>
      <c r="C18" s="341">
        <f>C16</f>
        <v>100</v>
      </c>
      <c r="D18" s="1708">
        <v>0.5</v>
      </c>
      <c r="E18" s="345">
        <v>997.16600000000005</v>
      </c>
      <c r="F18" s="346" t="s">
        <v>923</v>
      </c>
      <c r="G18" s="345">
        <v>997.18200000000002</v>
      </c>
      <c r="H18" s="346" t="s">
        <v>923</v>
      </c>
      <c r="I18" s="1702">
        <f>IF(G18="/","/",IF(F18=H18,(G18+E18)/2,IF(OR((F18="")*(H18="m"),(F18="m")*(H18="µ")),(G18+E18/1000)/2,IF(OR((F18="m")*(H18=""),(F18="µ")*(H18="m")),(G18+E18*1000)/2,"/"))))</f>
        <v>997.17399999999998</v>
      </c>
      <c r="J18" s="1703"/>
      <c r="K18" s="1703"/>
      <c r="L18" s="351" t="str">
        <f t="shared" si="2"/>
        <v>mA</v>
      </c>
      <c r="M18" s="1704">
        <f t="shared" si="3"/>
        <v>2.8260000000000216E-3</v>
      </c>
      <c r="N18" s="1705"/>
      <c r="O18" s="1705"/>
      <c r="P18" s="1706"/>
      <c r="Q18" s="354">
        <f>IF(G18="/","/",IF(F18=H18,IF(OR((B18="A")*(F18=""),(B18="V")*(F18=""),LEFT(B18,1)=F18),ABS(G18-E18)/IF(OR(LEFT(A18,1)="A",LEFT(A18,1)="D"),MID(A18,3,LEN(A18)-2),MID(A18,1,LEN(A18))),IF(OR(B18="A",B18="V",F18="µ"),ABS(G18-E18)/1000/IF(OR(LEFT(A18,1)="A",LEFT(A18,1)="D"),MID(A18,3,LEN(A18)-2),MID(A18,1,LEN(A18))),ABS(G18-E18)*1000/IF(OR(LEFT(A18,1)="A",LEFT(A18,1)="D"),MID(A18,3,LEN(A18)-2),MID(A18,1,LEN(A18))))),IF(OR((B18="A")*(F18=""),(B18="V")*(F18=""),LEFT(B18,1)=F18),IF(OR(B18="A",B18="V"),ABS(G18-E18/1000)/IF(OR(LEFT(A18,1)="A",LEFT(A18,1)="D"),MID(A18,3,LEN(A18)-2),MID(A18,1,LEN(A18))),ABS(G18-E18*1000)/IF(OR(LEFT(A18,1)="A",LEFT(A18,1)="D"),MID(A18,3,LEN(A18)-2),MID(A18,1,LEN(A18)))),IF(OR(B18="A",B18="V",F18="µ"),ABS(G18/1000-E18)/IF(OR(LEFT(A18,1)="A",LEFT(A18,1)="D"),MID(A18,3,LEN(A18)-2),MID(A18,1,LEN(A18))),ABS(G18*1000-E18)/IF(OR(LEFT(A18,1)="A",LEFT(A18,1)="D"),MID(A18,3,LEN(A18)-2),MID(A18,1,LEN(A18)))))))</f>
        <v>1.5999999999962709E-5</v>
      </c>
      <c r="R18" s="1715" t="e">
        <f>2*U18</f>
        <v>#REF!</v>
      </c>
      <c r="S18" s="1700" t="e">
        <f>[1]不确定度评定附表!#REF!</f>
        <v>#REF!</v>
      </c>
      <c r="T18" s="1700" t="e">
        <f>[1]不确定度评定附表!#REF!</f>
        <v>#REF!</v>
      </c>
      <c r="U18" s="1700" t="e">
        <f>[1]不确定度评定附表!#REF!</f>
        <v>#REF!</v>
      </c>
    </row>
    <row r="19" spans="1:21" ht="15">
      <c r="A19" s="1717" t="str">
        <f>A18</f>
        <v>AC1</v>
      </c>
      <c r="B19" s="1707" t="str">
        <f>B18</f>
        <v>A</v>
      </c>
      <c r="C19" s="341">
        <f>C17</f>
        <v>90</v>
      </c>
      <c r="D19" s="1708"/>
      <c r="E19" s="345">
        <v>897.59400000000005</v>
      </c>
      <c r="F19" s="346" t="s">
        <v>923</v>
      </c>
      <c r="G19" s="345">
        <v>897.62800000000004</v>
      </c>
      <c r="H19" s="346" t="s">
        <v>923</v>
      </c>
      <c r="I19" s="1702">
        <f t="shared" si="1"/>
        <v>897.6110000000001</v>
      </c>
      <c r="J19" s="1703"/>
      <c r="K19" s="1703"/>
      <c r="L19" s="351" t="str">
        <f t="shared" si="2"/>
        <v>mA</v>
      </c>
      <c r="M19" s="1704">
        <f t="shared" si="3"/>
        <v>2.38900000000001E-3</v>
      </c>
      <c r="N19" s="1705"/>
      <c r="O19" s="1705"/>
      <c r="P19" s="1706"/>
      <c r="Q19" s="354">
        <f t="shared" si="4"/>
        <v>3.3999999999991814E-5</v>
      </c>
      <c r="R19" s="1716"/>
      <c r="S19" s="1701"/>
      <c r="T19" s="1701"/>
      <c r="U19" s="1701"/>
    </row>
  </sheetData>
  <protectedRanges>
    <protectedRange sqref="A4:H19 U4 T5 U7:U13" name="区域3_4"/>
  </protectedRanges>
  <mergeCells count="75">
    <mergeCell ref="U4:U13"/>
    <mergeCell ref="I1:Q1"/>
    <mergeCell ref="R4:R13"/>
    <mergeCell ref="S4:S13"/>
    <mergeCell ref="T4:T13"/>
    <mergeCell ref="T2:T3"/>
    <mergeCell ref="Q2:Q3"/>
    <mergeCell ref="R2:R3"/>
    <mergeCell ref="S2:S3"/>
    <mergeCell ref="M6:P6"/>
    <mergeCell ref="I7:K7"/>
    <mergeCell ref="M7:P7"/>
    <mergeCell ref="M11:P11"/>
    <mergeCell ref="S1:U1"/>
    <mergeCell ref="U2:U3"/>
    <mergeCell ref="I2:L3"/>
    <mergeCell ref="M2:P3"/>
    <mergeCell ref="E3:F3"/>
    <mergeCell ref="G3:H3"/>
    <mergeCell ref="A2:B3"/>
    <mergeCell ref="C2:C3"/>
    <mergeCell ref="D2:D3"/>
    <mergeCell ref="E2:H2"/>
    <mergeCell ref="A14:A15"/>
    <mergeCell ref="B14:B15"/>
    <mergeCell ref="D14:D15"/>
    <mergeCell ref="I14:K14"/>
    <mergeCell ref="M14:P14"/>
    <mergeCell ref="M8:P8"/>
    <mergeCell ref="I4:K4"/>
    <mergeCell ref="D5:D13"/>
    <mergeCell ref="M10:P10"/>
    <mergeCell ref="I11:K11"/>
    <mergeCell ref="I12:K12"/>
    <mergeCell ref="M12:P12"/>
    <mergeCell ref="I10:K10"/>
    <mergeCell ref="I6:K6"/>
    <mergeCell ref="I13:K13"/>
    <mergeCell ref="I8:K8"/>
    <mergeCell ref="I5:K5"/>
    <mergeCell ref="M13:P13"/>
    <mergeCell ref="T14:T15"/>
    <mergeCell ref="U14:U15"/>
    <mergeCell ref="I15:K15"/>
    <mergeCell ref="M15:P15"/>
    <mergeCell ref="R14:R15"/>
    <mergeCell ref="A1:D1"/>
    <mergeCell ref="E1:H1"/>
    <mergeCell ref="R18:R19"/>
    <mergeCell ref="S18:S19"/>
    <mergeCell ref="A16:A17"/>
    <mergeCell ref="B16:B17"/>
    <mergeCell ref="D16:D17"/>
    <mergeCell ref="I16:K16"/>
    <mergeCell ref="M16:P16"/>
    <mergeCell ref="R16:R17"/>
    <mergeCell ref="S14:S15"/>
    <mergeCell ref="A4:A13"/>
    <mergeCell ref="B4:B13"/>
    <mergeCell ref="I9:K9"/>
    <mergeCell ref="M9:P9"/>
    <mergeCell ref="A18:A19"/>
    <mergeCell ref="B18:B19"/>
    <mergeCell ref="D18:D19"/>
    <mergeCell ref="I18:K18"/>
    <mergeCell ref="M18:P18"/>
    <mergeCell ref="U18:U19"/>
    <mergeCell ref="I19:K19"/>
    <mergeCell ref="M19:P19"/>
    <mergeCell ref="T18:T19"/>
    <mergeCell ref="S16:S17"/>
    <mergeCell ref="T16:T17"/>
    <mergeCell ref="U16:U17"/>
    <mergeCell ref="I17:K17"/>
    <mergeCell ref="M17:P17"/>
  </mergeCells>
  <phoneticPr fontId="118" type="noConversion"/>
  <conditionalFormatting sqref="N4:P5">
    <cfRule type="cellIs" dxfId="233" priority="1" stopIfTrue="1" operator="equal">
      <formula>"/"</formula>
    </cfRule>
    <cfRule type="cellIs" dxfId="232" priority="2" stopIfTrue="1" operator="greaterThan">
      <formula>$D$23</formula>
    </cfRule>
    <cfRule type="cellIs" dxfId="231" priority="3" stopIfTrue="1" operator="lessThan">
      <formula>-$D$23</formula>
    </cfRule>
  </conditionalFormatting>
  <conditionalFormatting sqref="M4:M12 M14:M19 Q4:Q19">
    <cfRule type="cellIs" dxfId="230" priority="4" stopIfTrue="1" operator="equal">
      <formula>"/"</formula>
    </cfRule>
    <cfRule type="cellIs" dxfId="229" priority="5" stopIfTrue="1" operator="lessThan">
      <formula>-$D$23/100</formula>
    </cfRule>
    <cfRule type="cellIs" dxfId="228" priority="6" stopIfTrue="1" operator="greaterThan">
      <formula>$D$23/100</formula>
    </cfRule>
  </conditionalFormatting>
  <pageMargins left="0.75" right="0.75" top="1" bottom="1" header="0.5" footer="0.5"/>
  <legacyDrawing r:id="rId1"/>
</worksheet>
</file>

<file path=xl/worksheets/sheet3.xml><?xml version="1.0" encoding="utf-8"?>
<worksheet xmlns="http://schemas.openxmlformats.org/spreadsheetml/2006/main" xmlns:r="http://schemas.openxmlformats.org/officeDocument/2006/relationships">
  <dimension ref="A1:T53"/>
  <sheetViews>
    <sheetView tabSelected="1" zoomScale="109" zoomScaleNormal="109" zoomScaleSheetLayoutView="100" workbookViewId="0">
      <pane xSplit="2" ySplit="1" topLeftCell="C26" activePane="bottomRight" state="frozen"/>
      <selection pane="topRight" activeCell="B1" sqref="B1"/>
      <selection pane="bottomLeft" activeCell="A2" sqref="A2"/>
      <selection pane="bottomRight" activeCell="A35" sqref="A35:A53"/>
    </sheetView>
  </sheetViews>
  <sheetFormatPr defaultRowHeight="11.25"/>
  <cols>
    <col min="1" max="1" width="9" style="1655"/>
    <col min="2" max="2" width="30.25" style="1650" customWidth="1"/>
    <col min="3" max="3" width="10.25" style="1655" customWidth="1"/>
    <col min="4" max="4" width="10.375" style="1655" customWidth="1"/>
    <col min="5" max="5" width="41.375" style="1655" customWidth="1"/>
    <col min="6" max="6" width="20.625" style="1655" customWidth="1"/>
    <col min="7" max="7" width="14.375" style="1655" customWidth="1"/>
    <col min="8" max="12" width="14.375" style="1650" customWidth="1"/>
    <col min="13" max="13" width="24.875" style="1655" customWidth="1"/>
    <col min="14" max="14" width="15.125" style="1655" customWidth="1"/>
    <col min="15" max="15" width="17.375" style="1655" customWidth="1"/>
    <col min="16" max="16" width="14.625" style="1655" customWidth="1"/>
    <col min="17" max="16384" width="9" style="1655"/>
  </cols>
  <sheetData>
    <row r="1" spans="2:20" s="1652" customFormat="1" ht="22.5">
      <c r="B1" s="1650" t="s">
        <v>0</v>
      </c>
      <c r="C1" s="1650" t="s">
        <v>1</v>
      </c>
      <c r="D1" s="1651" t="s">
        <v>4222</v>
      </c>
      <c r="E1" s="1651"/>
      <c r="F1" s="1651"/>
      <c r="G1" s="1651"/>
      <c r="H1" s="1651"/>
      <c r="I1" s="1651"/>
      <c r="J1" s="1651"/>
      <c r="K1" s="1651"/>
      <c r="L1" s="1651"/>
      <c r="M1" s="1651" t="s">
        <v>1</v>
      </c>
      <c r="N1" s="1651" t="s">
        <v>1127</v>
      </c>
      <c r="O1" s="1651"/>
      <c r="P1" s="1651"/>
    </row>
    <row r="2" spans="2:20" ht="22.5">
      <c r="B2" s="1650" t="s">
        <v>31</v>
      </c>
      <c r="C2" s="1650" t="s">
        <v>4360</v>
      </c>
      <c r="D2" s="1653"/>
      <c r="E2" s="1653"/>
      <c r="F2" s="1653"/>
      <c r="G2" s="1653"/>
      <c r="H2" s="1654"/>
      <c r="I2" s="1654"/>
      <c r="J2" s="1654"/>
      <c r="K2" s="1654"/>
      <c r="L2" s="1654"/>
      <c r="M2" s="1653" t="s">
        <v>25</v>
      </c>
      <c r="N2" s="1653"/>
      <c r="O2" s="1653"/>
      <c r="P2" s="1653"/>
    </row>
    <row r="3" spans="2:20" s="1656" customFormat="1" ht="22.5">
      <c r="B3" s="1650" t="s">
        <v>958</v>
      </c>
      <c r="C3" s="1649" t="s">
        <v>4017</v>
      </c>
      <c r="D3" s="1649"/>
      <c r="E3" s="1649"/>
      <c r="F3" s="1649"/>
      <c r="G3" s="1649"/>
      <c r="H3" s="1654"/>
      <c r="I3" s="1654"/>
      <c r="J3" s="1654"/>
      <c r="K3" s="1654"/>
      <c r="L3" s="1654"/>
      <c r="M3" s="1649"/>
      <c r="N3" s="1649"/>
      <c r="O3" s="1649"/>
      <c r="P3" s="1649"/>
    </row>
    <row r="4" spans="2:20" s="1656" customFormat="1" ht="22.5">
      <c r="B4" s="1650" t="s">
        <v>4052</v>
      </c>
      <c r="C4" s="1649" t="s">
        <v>4017</v>
      </c>
      <c r="D4" s="1649"/>
      <c r="E4" s="1649"/>
      <c r="F4" s="1649"/>
      <c r="G4" s="1649"/>
      <c r="H4" s="1654"/>
      <c r="I4" s="1654"/>
      <c r="J4" s="1654"/>
      <c r="K4" s="1654"/>
      <c r="L4" s="1654"/>
      <c r="M4" s="1649"/>
      <c r="N4" s="1649"/>
      <c r="O4" s="1649"/>
      <c r="P4" s="1649"/>
    </row>
    <row r="5" spans="2:20" ht="22.5">
      <c r="B5" s="1650" t="s">
        <v>50</v>
      </c>
      <c r="C5" s="1653" t="s">
        <v>2</v>
      </c>
      <c r="D5" s="1653"/>
      <c r="E5" s="1653"/>
      <c r="F5" s="1653"/>
      <c r="G5" s="1653"/>
      <c r="H5" s="1654"/>
      <c r="I5" s="1654"/>
      <c r="J5" s="1654"/>
      <c r="K5" s="1654"/>
      <c r="L5" s="1654"/>
      <c r="M5" s="1653" t="s">
        <v>25</v>
      </c>
      <c r="N5" s="1653"/>
      <c r="O5" s="1653"/>
      <c r="P5" s="1653"/>
    </row>
    <row r="6" spans="2:20" ht="22.5">
      <c r="B6" s="1650" t="s">
        <v>4389</v>
      </c>
      <c r="C6" s="1653" t="s">
        <v>2</v>
      </c>
      <c r="D6" s="1653"/>
      <c r="E6" s="1653"/>
      <c r="F6" s="1653"/>
      <c r="G6" s="1653"/>
      <c r="H6" s="1654"/>
      <c r="I6" s="1654"/>
      <c r="J6" s="1654"/>
      <c r="K6" s="1654"/>
      <c r="L6" s="1654"/>
      <c r="M6" s="1653" t="s">
        <v>9</v>
      </c>
      <c r="N6" s="1653"/>
      <c r="O6" s="1653"/>
      <c r="P6" s="1653"/>
    </row>
    <row r="7" spans="2:20" ht="22.5">
      <c r="B7" s="1650" t="s">
        <v>66</v>
      </c>
      <c r="C7" s="1653" t="s">
        <v>30</v>
      </c>
      <c r="D7" s="1653"/>
      <c r="E7" s="1653"/>
      <c r="F7" s="1653"/>
      <c r="G7" s="1653"/>
      <c r="H7" s="1654"/>
      <c r="I7" s="1654"/>
      <c r="J7" s="1654"/>
      <c r="K7" s="1654"/>
      <c r="L7" s="1654"/>
      <c r="M7" s="1653" t="s">
        <v>25</v>
      </c>
      <c r="N7" s="1653"/>
      <c r="O7" s="1653"/>
      <c r="P7" s="1653"/>
    </row>
    <row r="8" spans="2:20" s="1656" customFormat="1" ht="78.75">
      <c r="B8" s="1650" t="s">
        <v>1479</v>
      </c>
      <c r="C8" s="1650" t="s">
        <v>4361</v>
      </c>
      <c r="D8" s="1649"/>
      <c r="E8" s="1649"/>
      <c r="F8" s="1649"/>
      <c r="G8" s="1649"/>
      <c r="H8" s="1654"/>
      <c r="I8" s="1654"/>
      <c r="J8" s="1654"/>
      <c r="K8" s="1654"/>
      <c r="L8" s="1654"/>
      <c r="M8" s="1649" t="s">
        <v>7</v>
      </c>
      <c r="N8" s="1657" t="s">
        <v>1125</v>
      </c>
      <c r="O8" s="1649"/>
      <c r="P8" s="1649"/>
      <c r="Q8" s="1656" t="s">
        <v>5</v>
      </c>
    </row>
    <row r="9" spans="2:20" s="1656" customFormat="1" ht="22.5">
      <c r="B9" s="1650" t="s">
        <v>4058</v>
      </c>
      <c r="C9" s="1649" t="s">
        <v>4</v>
      </c>
      <c r="D9" s="1649"/>
      <c r="E9" s="1649"/>
      <c r="F9" s="1649"/>
      <c r="G9" s="1649"/>
      <c r="H9" s="1654"/>
      <c r="I9" s="1654"/>
      <c r="J9" s="1654"/>
      <c r="K9" s="1654"/>
      <c r="L9" s="1654"/>
      <c r="M9" s="1649" t="s">
        <v>7</v>
      </c>
      <c r="N9" s="1649"/>
      <c r="O9" s="1649"/>
      <c r="P9" s="1649"/>
    </row>
    <row r="10" spans="2:20" s="1656" customFormat="1" ht="22.5">
      <c r="B10" s="1650" t="s">
        <v>3</v>
      </c>
      <c r="C10" s="1649" t="s">
        <v>4</v>
      </c>
      <c r="D10" s="1649"/>
      <c r="E10" s="1649"/>
      <c r="F10" s="1649"/>
      <c r="G10" s="1649"/>
      <c r="H10" s="1654"/>
      <c r="I10" s="1654"/>
      <c r="J10" s="1654"/>
      <c r="K10" s="1654"/>
      <c r="L10" s="1654"/>
      <c r="M10" s="1649" t="s">
        <v>7</v>
      </c>
      <c r="N10" s="1657" t="s">
        <v>1126</v>
      </c>
      <c r="O10" s="1649"/>
      <c r="P10" s="1649"/>
    </row>
    <row r="11" spans="2:20" s="1656" customFormat="1" ht="22.5">
      <c r="B11" s="1650" t="s">
        <v>1480</v>
      </c>
      <c r="C11" s="1649" t="s">
        <v>4</v>
      </c>
      <c r="D11" s="1649"/>
      <c r="E11" s="1649"/>
      <c r="F11" s="1649"/>
      <c r="G11" s="1649"/>
      <c r="H11" s="1654"/>
      <c r="I11" s="1654"/>
      <c r="J11" s="1654"/>
      <c r="K11" s="1654"/>
      <c r="L11" s="1654"/>
      <c r="M11" s="1649" t="s">
        <v>7</v>
      </c>
      <c r="N11" s="1649"/>
      <c r="O11" s="1627"/>
      <c r="P11" s="1627"/>
      <c r="Q11" s="1628"/>
      <c r="R11" s="1628"/>
      <c r="S11" s="1628"/>
      <c r="T11" s="1629"/>
    </row>
    <row r="12" spans="2:20" s="1656" customFormat="1" ht="22.5">
      <c r="B12" s="1650" t="s">
        <v>4059</v>
      </c>
      <c r="C12" s="1649" t="s">
        <v>4</v>
      </c>
      <c r="D12" s="1649"/>
      <c r="E12" s="1649"/>
      <c r="F12" s="1649"/>
      <c r="G12" s="1649"/>
      <c r="H12" s="1654"/>
      <c r="I12" s="1654"/>
      <c r="J12" s="1654"/>
      <c r="K12" s="1654"/>
      <c r="L12" s="1654"/>
      <c r="M12" s="1649" t="s">
        <v>7</v>
      </c>
      <c r="N12" s="1649"/>
      <c r="O12" s="1627"/>
      <c r="P12" s="1627"/>
      <c r="Q12" s="1630"/>
      <c r="R12" s="1630"/>
      <c r="S12" s="1630"/>
      <c r="T12" s="1630"/>
    </row>
    <row r="13" spans="2:20" s="1656" customFormat="1" ht="22.5">
      <c r="B13" s="1650" t="s">
        <v>4055</v>
      </c>
      <c r="C13" s="1649" t="s">
        <v>4</v>
      </c>
      <c r="D13" s="1649"/>
      <c r="E13" s="1649"/>
      <c r="F13" s="1649"/>
      <c r="G13" s="1649"/>
      <c r="H13" s="1654"/>
      <c r="I13" s="1654"/>
      <c r="J13" s="1654"/>
      <c r="K13" s="1654"/>
      <c r="L13" s="1654"/>
      <c r="M13" s="1649" t="s">
        <v>7</v>
      </c>
      <c r="N13" s="1649"/>
      <c r="O13" s="1649"/>
      <c r="P13" s="1649"/>
    </row>
    <row r="14" spans="2:20" s="1656" customFormat="1" ht="22.5">
      <c r="B14" s="1650" t="s">
        <v>4056</v>
      </c>
      <c r="C14" s="1649" t="s">
        <v>4</v>
      </c>
      <c r="D14" s="1649"/>
      <c r="E14" s="1649"/>
      <c r="F14" s="1649"/>
      <c r="G14" s="1649"/>
      <c r="H14" s="1654"/>
      <c r="I14" s="1654"/>
      <c r="J14" s="1654"/>
      <c r="K14" s="1654"/>
      <c r="L14" s="1654"/>
      <c r="M14" s="1649" t="s">
        <v>7</v>
      </c>
      <c r="N14" s="1649"/>
      <c r="O14" s="1649"/>
      <c r="P14" s="1649"/>
    </row>
    <row r="15" spans="2:20" s="1656" customFormat="1" ht="22.5">
      <c r="B15" s="1650" t="s">
        <v>1478</v>
      </c>
      <c r="C15" s="1649" t="s">
        <v>4</v>
      </c>
      <c r="D15" s="1649"/>
      <c r="E15" s="1649"/>
      <c r="F15" s="1649"/>
      <c r="G15" s="1649"/>
      <c r="H15" s="1654"/>
      <c r="I15" s="1654"/>
      <c r="J15" s="1654"/>
      <c r="K15" s="1654"/>
      <c r="L15" s="1654"/>
      <c r="M15" s="1649" t="s">
        <v>7</v>
      </c>
      <c r="N15" s="1649"/>
      <c r="O15" s="1649"/>
      <c r="P15" s="1649"/>
    </row>
    <row r="16" spans="2:20" s="1656" customFormat="1" ht="22.5">
      <c r="B16" s="1650" t="s">
        <v>4060</v>
      </c>
      <c r="C16" s="1649" t="s">
        <v>4</v>
      </c>
      <c r="D16" s="1649"/>
      <c r="E16" s="1649"/>
      <c r="F16" s="1649"/>
      <c r="G16" s="1649"/>
      <c r="H16" s="1654"/>
      <c r="I16" s="1654"/>
      <c r="J16" s="1654"/>
      <c r="K16" s="1654"/>
      <c r="L16" s="1654"/>
      <c r="M16" s="1649" t="s">
        <v>7</v>
      </c>
      <c r="N16" s="1649"/>
      <c r="O16" s="1649"/>
      <c r="P16" s="1649"/>
    </row>
    <row r="17" spans="2:16" s="1656" customFormat="1" ht="22.5">
      <c r="B17" s="1650" t="s">
        <v>10</v>
      </c>
      <c r="C17" s="1649" t="s">
        <v>4386</v>
      </c>
      <c r="D17" s="1649"/>
      <c r="E17" s="1649"/>
      <c r="F17" s="1649"/>
      <c r="G17" s="1649"/>
      <c r="H17" s="1654"/>
      <c r="I17" s="1654"/>
      <c r="J17" s="1654"/>
      <c r="K17" s="1654"/>
      <c r="L17" s="1654"/>
      <c r="M17" s="1649" t="s">
        <v>7</v>
      </c>
      <c r="N17" s="1649"/>
      <c r="O17" s="1649"/>
      <c r="P17" s="1649"/>
    </row>
    <row r="18" spans="2:16" s="1656" customFormat="1" ht="22.5">
      <c r="B18" s="1650" t="s">
        <v>4390</v>
      </c>
      <c r="C18" s="1650" t="s">
        <v>4362</v>
      </c>
      <c r="D18" s="1649"/>
      <c r="E18" s="1649"/>
      <c r="F18" s="1649"/>
      <c r="G18" s="1649"/>
      <c r="H18" s="1654"/>
      <c r="I18" s="1654"/>
      <c r="J18" s="1654"/>
      <c r="K18" s="1654"/>
      <c r="L18" s="1654"/>
      <c r="M18" s="1649" t="s">
        <v>9</v>
      </c>
      <c r="N18" s="1649"/>
      <c r="O18" s="1649"/>
      <c r="P18" s="1649"/>
    </row>
    <row r="19" spans="2:16" s="1656" customFormat="1" ht="22.5">
      <c r="B19" s="1650" t="s">
        <v>93</v>
      </c>
      <c r="C19" s="1649" t="s">
        <v>6</v>
      </c>
      <c r="D19" s="1649"/>
      <c r="E19" s="1649"/>
      <c r="F19" s="1649"/>
      <c r="G19" s="1649"/>
      <c r="H19" s="1654"/>
      <c r="I19" s="1654"/>
      <c r="J19" s="1654"/>
      <c r="K19" s="1654"/>
      <c r="L19" s="1654"/>
      <c r="M19" s="1649" t="s">
        <v>9</v>
      </c>
      <c r="N19" s="1649"/>
      <c r="O19" s="1649"/>
      <c r="P19" s="1649"/>
    </row>
    <row r="20" spans="2:16" s="1656" customFormat="1" ht="22.5">
      <c r="B20" s="1650" t="s">
        <v>4055</v>
      </c>
      <c r="C20" s="1649" t="s">
        <v>6</v>
      </c>
      <c r="D20" s="1649"/>
      <c r="E20" s="1649"/>
      <c r="F20" s="1649"/>
      <c r="G20" s="1649"/>
      <c r="H20" s="1654"/>
      <c r="I20" s="1654"/>
      <c r="J20" s="1654"/>
      <c r="K20" s="1654"/>
      <c r="L20" s="1654"/>
      <c r="M20" s="1649" t="s">
        <v>9</v>
      </c>
      <c r="N20" s="1649"/>
      <c r="O20" s="1649"/>
      <c r="P20" s="1649"/>
    </row>
    <row r="21" spans="2:16" s="1656" customFormat="1" ht="22.5">
      <c r="B21" s="1650" t="s">
        <v>103</v>
      </c>
      <c r="C21" s="1649" t="s">
        <v>6</v>
      </c>
      <c r="D21" s="1649"/>
      <c r="E21" s="1649"/>
      <c r="F21" s="1649"/>
      <c r="G21" s="1649"/>
      <c r="H21" s="1654"/>
      <c r="I21" s="1654"/>
      <c r="J21" s="1654"/>
      <c r="K21" s="1654"/>
      <c r="L21" s="1654"/>
      <c r="M21" s="1649" t="s">
        <v>9</v>
      </c>
      <c r="N21" s="1649"/>
      <c r="O21" s="1649"/>
      <c r="P21" s="1649"/>
    </row>
    <row r="22" spans="2:16" s="1656" customFormat="1" ht="22.5">
      <c r="B22" s="1650" t="s">
        <v>11</v>
      </c>
      <c r="C22" s="1649" t="s">
        <v>6</v>
      </c>
      <c r="D22" s="1649"/>
      <c r="E22" s="1649"/>
      <c r="F22" s="1649"/>
      <c r="G22" s="1649"/>
      <c r="H22" s="1654"/>
      <c r="I22" s="1654"/>
      <c r="J22" s="1654"/>
      <c r="K22" s="1654"/>
      <c r="L22" s="1654"/>
      <c r="M22" s="1649" t="s">
        <v>8</v>
      </c>
      <c r="N22" s="1649"/>
      <c r="O22" s="1649"/>
      <c r="P22" s="1649"/>
    </row>
    <row r="23" spans="2:16" s="1656" customFormat="1" ht="22.5">
      <c r="B23" s="1650" t="s">
        <v>115</v>
      </c>
      <c r="C23" s="1649" t="s">
        <v>6</v>
      </c>
      <c r="D23" s="1649"/>
      <c r="E23" s="1649"/>
      <c r="F23" s="1649"/>
      <c r="G23" s="1649"/>
      <c r="H23" s="1654"/>
      <c r="I23" s="1654"/>
      <c r="J23" s="1654"/>
      <c r="K23" s="1654"/>
      <c r="L23" s="1654"/>
      <c r="M23" s="1649" t="s">
        <v>8</v>
      </c>
      <c r="N23" s="1649"/>
      <c r="O23" s="1649"/>
      <c r="P23" s="1649"/>
    </row>
    <row r="24" spans="2:16" s="1656" customFormat="1" ht="22.5">
      <c r="B24" s="1650" t="s">
        <v>4391</v>
      </c>
      <c r="C24" s="1649" t="s">
        <v>964</v>
      </c>
      <c r="D24" s="1649"/>
      <c r="E24" s="1649"/>
      <c r="F24" s="1649"/>
      <c r="G24" s="1649"/>
      <c r="H24" s="1654"/>
      <c r="I24" s="1654"/>
      <c r="J24" s="1654"/>
      <c r="K24" s="1654"/>
      <c r="L24" s="1654"/>
      <c r="M24" s="1649" t="s">
        <v>9</v>
      </c>
      <c r="N24" s="1649"/>
      <c r="O24" s="1649"/>
      <c r="P24" s="1649"/>
    </row>
    <row r="25" spans="2:16" s="1656" customFormat="1" ht="22.5">
      <c r="B25" s="1650" t="s">
        <v>963</v>
      </c>
      <c r="C25" s="1649" t="s">
        <v>964</v>
      </c>
      <c r="D25" s="1649"/>
      <c r="E25" s="1649"/>
      <c r="F25" s="1649"/>
      <c r="G25" s="1649"/>
      <c r="H25" s="1654"/>
      <c r="I25" s="1654"/>
      <c r="J25" s="1654"/>
      <c r="K25" s="1654"/>
      <c r="L25" s="1654"/>
      <c r="M25" s="1649"/>
      <c r="N25" s="1649"/>
      <c r="O25" s="1649"/>
      <c r="P25" s="1649"/>
    </row>
    <row r="26" spans="2:16" ht="22.5">
      <c r="B26" s="1650" t="s">
        <v>967</v>
      </c>
      <c r="C26" s="1649" t="s">
        <v>965</v>
      </c>
      <c r="D26" s="1649"/>
      <c r="E26" s="1649"/>
      <c r="F26" s="1649"/>
      <c r="G26" s="1649"/>
      <c r="H26" s="1654"/>
      <c r="I26" s="1654"/>
      <c r="J26" s="1654"/>
      <c r="K26" s="1654"/>
      <c r="L26" s="1654"/>
      <c r="M26" s="1653"/>
      <c r="N26" s="1653"/>
      <c r="O26" s="1653"/>
      <c r="P26" s="1653"/>
    </row>
    <row r="27" spans="2:16">
      <c r="B27" s="1650" t="s">
        <v>17</v>
      </c>
      <c r="C27" s="1649" t="s">
        <v>14</v>
      </c>
      <c r="D27" s="1649"/>
      <c r="E27" s="1649"/>
      <c r="F27" s="1649"/>
      <c r="G27" s="1649"/>
      <c r="H27" s="1654"/>
      <c r="I27" s="1654"/>
      <c r="J27" s="1654"/>
      <c r="K27" s="1654"/>
      <c r="L27" s="1654"/>
      <c r="M27" s="1649" t="s">
        <v>19</v>
      </c>
      <c r="N27" s="1653" t="s">
        <v>16</v>
      </c>
      <c r="O27" s="1653"/>
      <c r="P27" s="1653"/>
    </row>
    <row r="28" spans="2:16">
      <c r="B28" s="1650" t="s">
        <v>13</v>
      </c>
      <c r="C28" s="1649" t="s">
        <v>15</v>
      </c>
      <c r="D28" s="1649"/>
      <c r="E28" s="1649"/>
      <c r="F28" s="1649"/>
      <c r="G28" s="1649"/>
      <c r="H28" s="1654"/>
      <c r="I28" s="1654"/>
      <c r="J28" s="1654"/>
      <c r="K28" s="1654"/>
      <c r="L28" s="1654"/>
      <c r="M28" s="1649" t="s">
        <v>19</v>
      </c>
      <c r="N28" s="1653"/>
      <c r="O28" s="1653"/>
      <c r="P28" s="1653"/>
    </row>
    <row r="29" spans="2:16" ht="22.5">
      <c r="B29" s="1650" t="s">
        <v>12</v>
      </c>
      <c r="C29" s="1649" t="s">
        <v>15</v>
      </c>
      <c r="D29" s="1649"/>
      <c r="E29" s="1649"/>
      <c r="F29" s="1649"/>
      <c r="G29" s="1649"/>
      <c r="H29" s="1654"/>
      <c r="I29" s="1654"/>
      <c r="J29" s="1654"/>
      <c r="K29" s="1654"/>
      <c r="L29" s="1654"/>
      <c r="M29" s="1649" t="s">
        <v>22</v>
      </c>
      <c r="N29" s="1653" t="s">
        <v>18</v>
      </c>
      <c r="O29" s="1653"/>
      <c r="P29" s="1653"/>
    </row>
    <row r="30" spans="2:16">
      <c r="B30" s="1650" t="s">
        <v>21</v>
      </c>
      <c r="C30" s="1649" t="s">
        <v>4387</v>
      </c>
      <c r="D30" s="1649"/>
      <c r="E30" s="1649"/>
      <c r="F30" s="1649"/>
      <c r="G30" s="1649"/>
      <c r="H30" s="1654"/>
      <c r="I30" s="1654"/>
      <c r="J30" s="1654"/>
      <c r="K30" s="1654"/>
      <c r="L30" s="1654"/>
      <c r="M30" s="1653" t="s">
        <v>23</v>
      </c>
      <c r="N30" s="1653"/>
      <c r="O30" s="1653"/>
      <c r="P30" s="1653"/>
    </row>
    <row r="31" spans="2:16">
      <c r="B31" s="1650" t="s">
        <v>553</v>
      </c>
      <c r="C31" s="1649" t="s">
        <v>20</v>
      </c>
      <c r="D31" s="1649"/>
      <c r="E31" s="1649"/>
      <c r="F31" s="1649"/>
      <c r="G31" s="1649"/>
      <c r="H31" s="1654"/>
      <c r="I31" s="1654"/>
      <c r="J31" s="1654"/>
      <c r="K31" s="1654"/>
      <c r="L31" s="1654"/>
      <c r="M31" s="1653" t="s">
        <v>23</v>
      </c>
      <c r="N31" s="1653"/>
      <c r="O31" s="1653"/>
      <c r="P31" s="1653"/>
    </row>
    <row r="32" spans="2:16">
      <c r="B32" s="1650" t="s">
        <v>565</v>
      </c>
      <c r="C32" s="1649" t="s">
        <v>20</v>
      </c>
      <c r="D32" s="1649"/>
      <c r="E32" s="1649"/>
      <c r="F32" s="1649"/>
      <c r="G32" s="1649"/>
      <c r="H32" s="1654"/>
      <c r="I32" s="1654"/>
      <c r="J32" s="1654"/>
      <c r="K32" s="1654"/>
      <c r="L32" s="1654"/>
      <c r="M32" s="1653" t="s">
        <v>23</v>
      </c>
      <c r="N32" s="1653"/>
      <c r="O32" s="1653"/>
      <c r="P32" s="1653"/>
    </row>
    <row r="33" spans="1:17">
      <c r="B33" s="1650" t="s">
        <v>576</v>
      </c>
      <c r="C33" s="1650" t="s">
        <v>4363</v>
      </c>
      <c r="D33" s="1649"/>
      <c r="E33" s="1649"/>
      <c r="F33" s="1649"/>
      <c r="G33" s="1649"/>
      <c r="H33" s="1654"/>
      <c r="I33" s="1654"/>
      <c r="J33" s="1654"/>
      <c r="K33" s="1654"/>
      <c r="L33" s="1654"/>
      <c r="M33" s="1653" t="s">
        <v>28</v>
      </c>
      <c r="N33" s="1653"/>
      <c r="O33" s="1653"/>
      <c r="P33" s="1653"/>
    </row>
    <row r="34" spans="1:17" s="1653" customFormat="1">
      <c r="A34" s="1660"/>
      <c r="B34" s="1650" t="s">
        <v>577</v>
      </c>
      <c r="C34" s="1649" t="s">
        <v>20</v>
      </c>
      <c r="D34" s="1649"/>
      <c r="E34" s="1649"/>
      <c r="F34" s="1649"/>
      <c r="G34" s="1649"/>
      <c r="H34" s="1654"/>
      <c r="I34" s="1654"/>
      <c r="J34" s="1654"/>
      <c r="K34" s="1654"/>
      <c r="L34" s="1654"/>
      <c r="M34" s="1649" t="s">
        <v>4057</v>
      </c>
      <c r="Q34" s="1658"/>
    </row>
    <row r="35" spans="1:17" s="1662" customFormat="1" ht="22.5">
      <c r="A35" s="3997">
        <v>10</v>
      </c>
      <c r="B35" s="1661" t="s">
        <v>4399</v>
      </c>
      <c r="C35" s="1661" t="s">
        <v>4388</v>
      </c>
      <c r="D35" s="1666"/>
      <c r="E35" s="1663" t="s">
        <v>4400</v>
      </c>
      <c r="F35" s="1666"/>
      <c r="G35" s="1666"/>
      <c r="H35" s="1663"/>
      <c r="I35" s="1663"/>
      <c r="J35" s="1663"/>
      <c r="K35" s="1663"/>
      <c r="L35" s="1663"/>
      <c r="M35" s="1666" t="s">
        <v>23</v>
      </c>
      <c r="N35" s="1662" t="s">
        <v>1128</v>
      </c>
      <c r="Q35" s="1664"/>
    </row>
    <row r="36" spans="1:17" s="1662" customFormat="1" ht="69.75">
      <c r="A36" s="3997">
        <v>20</v>
      </c>
      <c r="B36" s="1661" t="s">
        <v>4358</v>
      </c>
      <c r="C36" s="1662" t="s">
        <v>24</v>
      </c>
      <c r="D36" s="1661" t="s">
        <v>4372</v>
      </c>
      <c r="E36" s="1663" t="s">
        <v>4356</v>
      </c>
      <c r="F36" s="1662" t="s">
        <v>4392</v>
      </c>
      <c r="H36" s="1663"/>
      <c r="I36" s="1663"/>
      <c r="J36" s="1663"/>
      <c r="K36" s="1663"/>
      <c r="L36" s="1663"/>
      <c r="M36" s="1662" t="s">
        <v>23</v>
      </c>
      <c r="N36" s="1661" t="s">
        <v>1129</v>
      </c>
      <c r="Q36" s="1664"/>
    </row>
    <row r="37" spans="1:17" s="1662" customFormat="1" ht="67.5">
      <c r="A37" s="3997">
        <v>30</v>
      </c>
      <c r="B37" s="1661" t="s">
        <v>4052</v>
      </c>
      <c r="C37" s="1662" t="s">
        <v>24</v>
      </c>
      <c r="E37" s="1661" t="s">
        <v>4374</v>
      </c>
      <c r="H37" s="1663"/>
      <c r="I37" s="1663"/>
      <c r="J37" s="1663"/>
      <c r="K37" s="1663"/>
      <c r="L37" s="1663"/>
      <c r="M37" s="1662" t="s">
        <v>23</v>
      </c>
      <c r="Q37" s="1664"/>
    </row>
    <row r="38" spans="1:17" s="1662" customFormat="1" ht="101.25">
      <c r="A38" s="3997">
        <v>40</v>
      </c>
      <c r="B38" s="1681" t="s">
        <v>4418</v>
      </c>
      <c r="C38" s="1662" t="s">
        <v>24</v>
      </c>
      <c r="E38" s="1679" t="s">
        <v>4419</v>
      </c>
      <c r="H38" s="1663"/>
      <c r="I38" s="1663"/>
      <c r="J38" s="1663"/>
      <c r="K38" s="1663"/>
      <c r="L38" s="1663"/>
      <c r="M38" s="1662" t="s">
        <v>23</v>
      </c>
      <c r="Q38" s="1664"/>
    </row>
    <row r="39" spans="1:17" s="1662" customFormat="1" ht="22.5">
      <c r="A39" s="3997">
        <v>50</v>
      </c>
      <c r="B39" s="1661" t="s">
        <v>4350</v>
      </c>
      <c r="C39" s="1666" t="s">
        <v>24</v>
      </c>
      <c r="D39" s="1666"/>
      <c r="E39" s="1666" t="s">
        <v>4351</v>
      </c>
      <c r="F39" s="1666"/>
      <c r="G39" s="1666"/>
      <c r="H39" s="1663"/>
      <c r="I39" s="1663"/>
      <c r="J39" s="1663"/>
      <c r="K39" s="1663"/>
      <c r="L39" s="1663"/>
      <c r="M39" s="1666" t="s">
        <v>23</v>
      </c>
      <c r="Q39" s="1664"/>
    </row>
    <row r="40" spans="1:17" s="1661" customFormat="1" ht="45">
      <c r="A40" s="3997">
        <v>60</v>
      </c>
      <c r="B40" s="1661" t="s">
        <v>4053</v>
      </c>
      <c r="C40" s="1661" t="s">
        <v>24</v>
      </c>
      <c r="E40" s="1661" t="s">
        <v>4355</v>
      </c>
      <c r="M40" s="1661" t="s">
        <v>23</v>
      </c>
    </row>
    <row r="41" spans="1:17" s="1661" customFormat="1" ht="171.75" customHeight="1">
      <c r="A41" s="3997">
        <v>70</v>
      </c>
      <c r="B41" s="1661" t="s">
        <v>4364</v>
      </c>
      <c r="C41" s="1661" t="s">
        <v>4366</v>
      </c>
      <c r="D41" s="1661" t="s">
        <v>4365</v>
      </c>
      <c r="E41" s="1661" t="s">
        <v>4393</v>
      </c>
      <c r="F41" s="1663" t="s">
        <v>4131</v>
      </c>
      <c r="G41" s="1663" t="s">
        <v>4320</v>
      </c>
      <c r="H41" s="1663" t="s">
        <v>4322</v>
      </c>
      <c r="I41" s="1663" t="s">
        <v>4323</v>
      </c>
      <c r="J41" s="1663" t="s">
        <v>4337</v>
      </c>
      <c r="K41" s="1663" t="s">
        <v>4324</v>
      </c>
      <c r="L41" s="1661" t="s">
        <v>4369</v>
      </c>
      <c r="M41" s="1663" t="s">
        <v>4321</v>
      </c>
      <c r="N41" s="1663"/>
      <c r="O41" s="1663"/>
      <c r="P41" s="1663"/>
    </row>
    <row r="42" spans="1:17" s="1662" customFormat="1" ht="114.75" customHeight="1">
      <c r="A42" s="3997">
        <v>80</v>
      </c>
      <c r="B42" s="1661" t="s">
        <v>4367</v>
      </c>
      <c r="C42" s="1662" t="s">
        <v>24</v>
      </c>
      <c r="D42" s="1662" t="s">
        <v>4368</v>
      </c>
      <c r="E42" s="1663" t="s">
        <v>4394</v>
      </c>
      <c r="F42" s="1663" t="s">
        <v>4220</v>
      </c>
      <c r="G42" s="1663"/>
      <c r="H42" s="1663"/>
      <c r="I42" s="1663"/>
      <c r="J42" s="1665" t="s">
        <v>4326</v>
      </c>
      <c r="K42" s="1663"/>
      <c r="L42" s="1663" t="s">
        <v>4370</v>
      </c>
      <c r="M42" s="1662" t="s">
        <v>23</v>
      </c>
      <c r="Q42" s="1664"/>
    </row>
    <row r="43" spans="1:17" s="1662" customFormat="1" ht="56.25">
      <c r="A43" s="3997">
        <v>90</v>
      </c>
      <c r="B43" s="1661" t="s">
        <v>4398</v>
      </c>
      <c r="C43" s="1662" t="s">
        <v>24</v>
      </c>
      <c r="D43" s="1661" t="s">
        <v>4383</v>
      </c>
      <c r="E43" s="1661" t="s">
        <v>4395</v>
      </c>
      <c r="F43" s="1663" t="s">
        <v>4223</v>
      </c>
      <c r="G43" s="1661" t="s">
        <v>4224</v>
      </c>
      <c r="H43" s="1661" t="s">
        <v>4225</v>
      </c>
      <c r="I43" s="1663"/>
      <c r="J43" s="1663"/>
      <c r="K43" s="1663"/>
      <c r="L43" s="1663"/>
      <c r="M43" s="1662" t="s">
        <v>23</v>
      </c>
      <c r="Q43" s="1664"/>
    </row>
    <row r="44" spans="1:17" s="1662" customFormat="1" ht="67.5">
      <c r="A44" s="3997">
        <v>100</v>
      </c>
      <c r="B44" s="1661" t="s">
        <v>4359</v>
      </c>
      <c r="C44" s="1662" t="s">
        <v>24</v>
      </c>
      <c r="D44" s="1662" t="s">
        <v>4269</v>
      </c>
      <c r="E44" s="1663" t="s">
        <v>4396</v>
      </c>
      <c r="F44" s="1663" t="s">
        <v>4274</v>
      </c>
      <c r="G44" s="1661" t="s">
        <v>4301</v>
      </c>
      <c r="H44" s="1661" t="s">
        <v>4270</v>
      </c>
      <c r="I44" s="1663"/>
      <c r="J44" s="1663"/>
      <c r="K44" s="1663"/>
      <c r="L44" s="1663"/>
      <c r="M44" s="1662" t="s">
        <v>23</v>
      </c>
      <c r="Q44" s="1664"/>
    </row>
    <row r="45" spans="1:17" s="1662" customFormat="1" ht="78.75">
      <c r="A45" s="3997">
        <v>110</v>
      </c>
      <c r="B45" s="1669" t="s">
        <v>4413</v>
      </c>
      <c r="C45" s="1662" t="s">
        <v>24</v>
      </c>
      <c r="E45" s="1671" t="s">
        <v>4357</v>
      </c>
      <c r="H45" s="1663"/>
      <c r="I45" s="1663"/>
      <c r="J45" s="1663"/>
      <c r="K45" s="1663"/>
      <c r="L45" s="1663"/>
      <c r="M45" s="1662" t="s">
        <v>23</v>
      </c>
      <c r="Q45" s="1664"/>
    </row>
    <row r="46" spans="1:17" s="1662" customFormat="1" ht="22.5">
      <c r="A46" s="3997">
        <v>120</v>
      </c>
      <c r="B46" s="1661" t="s">
        <v>26</v>
      </c>
      <c r="C46" s="1662" t="s">
        <v>24</v>
      </c>
      <c r="E46" s="1662" t="s">
        <v>4401</v>
      </c>
      <c r="H46" s="1663"/>
      <c r="I46" s="1663"/>
      <c r="J46" s="1663"/>
      <c r="K46" s="1663"/>
      <c r="L46" s="1663"/>
      <c r="M46" s="1662" t="s">
        <v>23</v>
      </c>
      <c r="Q46" s="1664"/>
    </row>
    <row r="47" spans="1:17" s="1649" customFormat="1" ht="146.25">
      <c r="A47" s="3997">
        <v>130</v>
      </c>
      <c r="B47" s="1677" t="s">
        <v>27</v>
      </c>
      <c r="C47" s="1649" t="s">
        <v>24</v>
      </c>
      <c r="E47" s="1678" t="s">
        <v>4354</v>
      </c>
      <c r="H47" s="1654"/>
      <c r="I47" s="1654"/>
      <c r="J47" s="1654"/>
      <c r="K47" s="1654"/>
      <c r="L47" s="1654"/>
      <c r="M47" s="1649" t="s">
        <v>29</v>
      </c>
      <c r="Q47" s="1659"/>
    </row>
    <row r="48" spans="1:17" s="1662" customFormat="1" ht="22.5">
      <c r="A48" s="3997">
        <v>140</v>
      </c>
      <c r="B48" s="1661" t="s">
        <v>4402</v>
      </c>
      <c r="C48" s="1662" t="s">
        <v>24</v>
      </c>
      <c r="D48" s="1662" t="s">
        <v>4302</v>
      </c>
      <c r="E48" s="1662" t="s">
        <v>4397</v>
      </c>
      <c r="F48" s="1663" t="s">
        <v>4346</v>
      </c>
      <c r="H48" s="1663"/>
      <c r="I48" s="1663"/>
      <c r="J48" s="1663"/>
      <c r="K48" s="1663"/>
      <c r="L48" s="1663"/>
      <c r="M48" s="1662" t="s">
        <v>23</v>
      </c>
      <c r="Q48" s="1664"/>
    </row>
    <row r="49" spans="1:17" s="1662" customFormat="1" ht="33.75">
      <c r="A49" s="3997">
        <v>150</v>
      </c>
      <c r="B49" s="1669" t="s">
        <v>4410</v>
      </c>
      <c r="C49" s="1662" t="s">
        <v>4014</v>
      </c>
      <c r="D49" s="1670" t="s">
        <v>4411</v>
      </c>
      <c r="E49" s="1679" t="s">
        <v>4428</v>
      </c>
      <c r="F49" s="1671" t="s">
        <v>4409</v>
      </c>
      <c r="H49" s="1663"/>
      <c r="I49" s="1663"/>
      <c r="J49" s="1663"/>
      <c r="K49" s="1663"/>
      <c r="L49" s="1663"/>
      <c r="M49" s="1662" t="s">
        <v>23</v>
      </c>
      <c r="Q49" s="1664"/>
    </row>
    <row r="50" spans="1:17" s="1660" customFormat="1" ht="22.5">
      <c r="A50" s="3997">
        <v>160</v>
      </c>
      <c r="B50" s="1650" t="s">
        <v>3823</v>
      </c>
      <c r="C50" s="1649"/>
      <c r="D50" s="1649"/>
      <c r="E50" s="1649"/>
      <c r="F50" s="1649"/>
      <c r="G50" s="1649"/>
      <c r="H50" s="1654"/>
      <c r="I50" s="1654"/>
      <c r="J50" s="1654"/>
      <c r="K50" s="1654"/>
      <c r="L50" s="1654"/>
      <c r="M50" s="1653"/>
      <c r="N50" s="1653"/>
      <c r="O50" s="1653"/>
      <c r="P50" s="1653"/>
    </row>
    <row r="51" spans="1:17" s="1660" customFormat="1" ht="146.25">
      <c r="A51" s="3997">
        <v>170</v>
      </c>
      <c r="B51" s="1650" t="s">
        <v>3824</v>
      </c>
      <c r="C51" s="1657" t="s">
        <v>3825</v>
      </c>
      <c r="D51" s="1657"/>
      <c r="E51" s="1657"/>
      <c r="F51" s="1657"/>
      <c r="G51" s="1657"/>
      <c r="H51" s="1654"/>
      <c r="I51" s="1654"/>
      <c r="J51" s="1654"/>
      <c r="K51" s="1654"/>
      <c r="L51" s="1654"/>
      <c r="M51" s="1653"/>
      <c r="N51" s="1653"/>
      <c r="O51" s="1653"/>
      <c r="P51" s="1653"/>
    </row>
    <row r="52" spans="1:17">
      <c r="A52" s="3997">
        <v>180</v>
      </c>
      <c r="B52" s="1650" t="s">
        <v>3458</v>
      </c>
      <c r="C52" s="1653"/>
      <c r="D52" s="1653"/>
      <c r="E52" s="1653"/>
      <c r="F52" s="1653"/>
      <c r="G52" s="1653"/>
      <c r="H52" s="1654"/>
      <c r="I52" s="1654"/>
      <c r="J52" s="1654"/>
      <c r="K52" s="1654"/>
      <c r="L52" s="1654"/>
      <c r="M52" s="1653"/>
      <c r="N52" s="1653"/>
      <c r="O52" s="1653"/>
      <c r="P52" s="1653"/>
    </row>
    <row r="53" spans="1:17" ht="33.75">
      <c r="A53" s="3997">
        <v>190</v>
      </c>
      <c r="B53" s="1650" t="s">
        <v>3459</v>
      </c>
      <c r="C53" s="1653"/>
      <c r="D53" s="1653"/>
      <c r="E53" s="1653"/>
      <c r="F53" s="1653"/>
      <c r="G53" s="1653"/>
      <c r="H53" s="1654"/>
      <c r="I53" s="1654"/>
      <c r="J53" s="1654"/>
      <c r="K53" s="1654"/>
      <c r="L53" s="1654"/>
      <c r="M53" s="1653"/>
      <c r="N53" s="1653"/>
      <c r="O53" s="1653"/>
      <c r="P53" s="1653"/>
    </row>
  </sheetData>
  <phoneticPr fontId="2" type="noConversion"/>
  <hyperlinks>
    <hyperlink ref="B2" location="'JJG 124-2005电流电压'!A1" display="JJG 124-2005 电流表、电压表、功率表及电阻表"/>
    <hyperlink ref="B5" location="'JJG 1005-2005 电子式绝缘电阻表'!A1" display="JJG 622-1997 绝缘电阻表"/>
    <hyperlink ref="B6" location="'JJG 1005-2005 电子式绝缘电阻表'!A1" display="JJG 1005-2005 电子式绝缘电阻表"/>
    <hyperlink ref="B7" location="'JJG 366-2004 接地电阻表'!A1" display="JJG 366-2004 接地电阻表"/>
    <hyperlink ref="B8" location="'JJG 445-1986 直流标准电压源检定规程'!A1" display="JJG 445-1986 直流标准电压源检定规程"/>
    <hyperlink ref="B9" location="'JJG(航天) 38-1987 直流标准电流源检定规程'!A1" display="JJG(航天) 38-1987 直流标准电流源检定规程"/>
    <hyperlink ref="B10" location="'JJG(航天)34-1999 交流数字电压表检定规程'!A1" display="JJG(航天)34-1999 交流数字电压表检定规程"/>
    <hyperlink ref="B11" location="'JJG 410-94 精密交流电压校准源检定规程'!A1" display="JJG 410-94 精密交流电压校准源检定规程"/>
    <hyperlink ref="B12" location="'JJG(航天) 51-1999 交流标准电流源检定规程'!A1" display="JJG(航天) 51-1999 交流标准电流源检定规程"/>
    <hyperlink ref="B13" location="'JJG 315-1983 直流数字电压表检定规程（试行）'!A1" display="JJG 315-1983 直流数字电压表检定规程（试行）"/>
    <hyperlink ref="B14" location="'JJG 598-1989 直流数字电流表检定规程（试行）'!A1" display="JJG 598-1989 直流数字电流表检定规程（试行）"/>
    <hyperlink ref="B15" location="'JJG 724-1991 直流数字式欧姆表检定规程'!A1" display="JJG 724-1991 直流数字式欧姆表检定规程"/>
    <hyperlink ref="B16" location="'JJG（航天）35-1999 交流数字电流表检定规程'!A1" display="JJG（航天）35-1999 交流数字电流表检定规程"/>
    <hyperlink ref="B17" location="'JJG 1052-2009 回路电阻测试仪、直阻仪检定'!A1" display="JJG 1052-2009 回路电阻测试仪、直阻仪检定"/>
    <hyperlink ref="B18" location="'JJG 166-1993直流电阻器'!A1" display="JJG 166-1993 直流电阻器"/>
    <hyperlink ref="B19" location="'JJG 125-2004 直流电桥检定规程'!A1" display="JJG 125-2004 直流电桥检定规程"/>
    <hyperlink ref="B20" location="'JJG 315-1983 直流数字电压表检定规程（试行）'!A1" display="JJG 315-1983 直流数字电压表检定规程（试行）"/>
    <hyperlink ref="B21" location="'JJG 982-2003 直流电阻箱检定规程'!A1" display="JJG 982-2003 直流电阻箱检定规程"/>
    <hyperlink ref="B22" location="'JJG 984-2004 接地导通电阻测试仪检定规程'!A1" display="JJG 984-2004 接地导通电阻测试仪检定规程"/>
    <hyperlink ref="B24" location="'JJG 1072-2011 直流高压高值电阻器'!A1" display="JJG 1072-2011 直流高压高值电阻器"/>
    <hyperlink ref="B37" location="'JJG 603-2006 频率表检定规程'!A1" display="JJG 603-2006 频率表检定规程"/>
    <hyperlink ref="B38" location="'JJG 440-2008 工频单相相位表检定规程'!A1" display="JJG 440-2008 工频单相相位表检定规程"/>
    <hyperlink ref="B40" location="'JJG 410-94 精密交流电压校准源检定'!A1" display="JJG 410-1994 精密交流电压源检定规程"/>
    <hyperlink ref="B45" location="'JJG 780-92 交流数字功率表检定规程'!A1" display="JJG 780-1992  交流数字功率表检定规程"/>
    <hyperlink ref="B46" location="国家电网公司交流采样测量装置校验规范!A1" display="Q/GDW 1899-2013 国家电网交流采样测量装置校验规范"/>
    <hyperlink ref="B27" location="'JJG 1085-2013《标准电能表检定规程》'!A1" display="JJG 1085-2013 标准电能表检定规程"/>
    <hyperlink ref="B28" location="'JJG 596-2012 电子式交流电能表检定规程'!A1" display="JJG 596-2012 电子式交流电能表检定规程  "/>
    <hyperlink ref="B29" location="'JJG 597-2005 交流电能表检定装置'!A1" display="JJG 597-2005 交流电能表检定装置"/>
    <hyperlink ref="B30" location="'JJG-313-2010测量用电流互感器'!A1" display="JJG-313-2010 测量用电流互感器检定规程"/>
    <hyperlink ref="B31" location="'JJF 1075-2001 钳形电流表校准规范'!A1" display="JJF-1075-2001 钳形电流表校准规范"/>
    <hyperlink ref="B32" location="'JJG970-2002《变压比电桥》'!A1" display="JJG 970-2002 变压比电桥检定规程"/>
    <hyperlink ref="B33" location="'JJG 169-2010《互感器校验仪》'!A1" display="JJG 169-2010 互感器校验仪"/>
    <hyperlink ref="B34" location="'JJF 1264-2010 互感器负荷箱校准规范'!A1" display="JJF 1264-2010 互感器负荷箱校准规范"/>
    <hyperlink ref="B47" location="'JJG126-1995 交流电量变换为直流电量电工测量变送器'!A1" display="JJG 126-1995 交流电量变换为直流电量电工测量变送器"/>
    <hyperlink ref="B36" location="'JJG 445-1986 直流标准电压源检定规程'!A1" display="JJG 445-1986  直流标准电压源检定规程"/>
    <hyperlink ref="B41" location="'JJG 315-1983 直流数字电压表检定规程（试行）'!A1" display="JJG 315-1983 直流数字电压表检定规程"/>
    <hyperlink ref="B42" location="'JJG 598-1989 直流数字电流表检定规程（试行）'!A1" display="JJG 598-1989 直流数字电流表检定规程"/>
    <hyperlink ref="B43" location="'JJG(航天)34-1999 交流数字电压表检定规程'!A1" display="JJG(航天)34-1999 交流数字电压表检定规程"/>
    <hyperlink ref="B44" location="'JJG（航天）35-1999 交流数字电流表检定规程'!A1" display="JJG(航天)35-1999 交流数字电流表检定规程"/>
    <hyperlink ref="B48" location="'JJG(航天) 38-1987 直流标准电流源检定规程'!A1" display="JJG(航天) 38-1987 直流标准电流源检定规程"/>
    <hyperlink ref="B23" location="'JJG 837-2003 直流低电阻表检定规程'!A1" display="JJG 837-2003 直流低电阻表检定规程"/>
    <hyperlink ref="B4" location="'JJG 603-2006 频率表'!A1" display="JJG 603-2006 频率表"/>
    <hyperlink ref="B3" location="'JJG 440-2008 工频单相相位表'!A1" display="JJG 440-2008 工频单相相位表"/>
    <hyperlink ref="B25" location="'JJF 1101-2003 环境试验设备温度、湿度校准规范'!A1" display="JJF 1101-2003 环境试验设备温度、湿度校准规范"/>
    <hyperlink ref="B26" location="'SD112-83 直流仪表检验装置检定方法'!A1" display="SD112-83 直流仪表检验装置检定方法"/>
    <hyperlink ref="N8" r:id="rId1"/>
    <hyperlink ref="N10" r:id="rId2"/>
    <hyperlink ref="N36" r:id="rId3"/>
    <hyperlink ref="C51" r:id="rId4"/>
    <hyperlink ref="B49" location="'JJG(航天) 51-1999 交流标准电流源检定规程'!A1" display="JJG(航天) 51-1999 交流标准电流源检定规程"/>
    <hyperlink ref="G41" location="'JJG 315-1983-直流电压测量-一列多通道（正负极性）'!A1" display="'JJG 315-1983-直流电压测量-一列多通道（正负极性）'!A1"/>
    <hyperlink ref="F41" location="'JJG 315-1983-直流电压测量-一列（正负极性）'!A1" display="'JJG 315-1983-直流电压测量-一列（正负极性）'!A1"/>
    <hyperlink ref="K41" location="'JJG 315-1983-直流电压测量-三列多通道'!A1" display="'JJG 315-1983-直流电压测量-三列多通道'!A1"/>
    <hyperlink ref="F42" location="'JJG 598-1989-直流电流测量-一列（正负极性）'!A1" display="'JJG 598-1989-直流电流测量-一列（正负极性）'!A1"/>
    <hyperlink ref="F43" location="'JJG(航天)34-1999 -交流电压测量-单相'!A1" display="'JJG(航天)34-1999 -交流电压测量-单相'!A1"/>
    <hyperlink ref="G43" location="'JJG(航天)34-1999 -交流电压测量-两相'!A1" display="'JJG(航天)34-1999 -交流电压测量-两相'!A1"/>
    <hyperlink ref="H43" location="'JJG(航天)34-1999 -交流电压测量-三相'!A1" display="'JJG(航天)34-1999 -交流电压测量-三相'!A1"/>
    <hyperlink ref="F44" location="'JJG(航天)35-1999-交流电流测量-单相'!A1" display="'JJG(航天)35-1999-交流电流测量-单相'!A1"/>
    <hyperlink ref="G44" location="'JJG(航天)35-1999-交流电流测量-两相'!A1" display="'JJG(航天)35-1999-交流电流测量-两相'!A1"/>
    <hyperlink ref="H44" location="'JJG(航天)35-1999-交流电流测量-三相'!A1" display="'JJG(航天)35-1999-交流电流测量-三相'!A1"/>
    <hyperlink ref="J42" location="'JJG 598-1989-直流电流测量-一列（非正负极）'!A1" display="'JJG 598-1989-直流电流测量-一列（非正负极）'!A1"/>
    <hyperlink ref="J41" location="'JJG 315-1983-直流电压测量-一列（非正负极）'!A1" display="'JJG 315-1983-直流电压测量-一列（非正负极）'!A1"/>
  </hyperlinks>
  <pageMargins left="0.75" right="0.75" top="1" bottom="1" header="0.5" footer="0.5"/>
</worksheet>
</file>

<file path=xl/worksheets/sheet4.xml><?xml version="1.0" encoding="utf-8"?>
<worksheet xmlns="http://schemas.openxmlformats.org/spreadsheetml/2006/main" xmlns:r="http://schemas.openxmlformats.org/officeDocument/2006/relationships">
  <dimension ref="A1:AR45"/>
  <sheetViews>
    <sheetView topLeftCell="A13" zoomScale="85" zoomScaleNormal="85" zoomScaleSheetLayoutView="100" workbookViewId="0">
      <selection activeCell="A17" sqref="A17:C32"/>
    </sheetView>
  </sheetViews>
  <sheetFormatPr defaultColWidth="9" defaultRowHeight="14.25" outlineLevelRow="1"/>
  <cols>
    <col min="1" max="1" width="25.5" customWidth="1"/>
    <col min="2" max="2" width="34.625" customWidth="1"/>
    <col min="3" max="3" width="11.75" customWidth="1"/>
    <col min="4" max="5" width="9" customWidth="1"/>
    <col min="6" max="6" width="3.75" customWidth="1"/>
    <col min="7" max="7" width="9" customWidth="1"/>
    <col min="8" max="8" width="5.375" customWidth="1"/>
    <col min="9" max="9" width="4.125" customWidth="1"/>
    <col min="10" max="10" width="2.5" customWidth="1"/>
    <col min="11" max="11" width="3.125" customWidth="1"/>
    <col min="12" max="12" width="4.5" customWidth="1"/>
    <col min="13" max="13" width="2.875" customWidth="1"/>
    <col min="14" max="14" width="2.625" customWidth="1"/>
    <col min="15" max="15" width="2.5" customWidth="1"/>
    <col min="16" max="16" width="3.375" customWidth="1"/>
    <col min="18" max="18" width="11.5" customWidth="1"/>
    <col min="25" max="25" width="11.375" customWidth="1"/>
    <col min="38" max="38" width="10.875" customWidth="1"/>
    <col min="44" max="44" width="16.5" customWidth="1"/>
    <col min="50" max="50" width="15.5" customWidth="1"/>
    <col min="51" max="51" width="16.625" customWidth="1"/>
    <col min="65" max="65" width="16.75" customWidth="1"/>
    <col min="66" max="66" width="19" customWidth="1"/>
  </cols>
  <sheetData>
    <row r="1" spans="1:33">
      <c r="A1" s="591" t="s">
        <v>43</v>
      </c>
      <c r="B1" s="15"/>
      <c r="D1" s="335" t="s">
        <v>942</v>
      </c>
      <c r="F1" s="581" t="s">
        <v>1547</v>
      </c>
    </row>
    <row r="2" spans="1:33" outlineLevel="1"/>
    <row r="3" spans="1:33" outlineLevel="1">
      <c r="A3" s="1814" t="s">
        <v>32</v>
      </c>
      <c r="B3" s="1714"/>
      <c r="C3" s="8"/>
      <c r="D3" s="9"/>
    </row>
    <row r="4" spans="1:33" ht="18.75" outlineLevel="1">
      <c r="A4" s="5" t="s">
        <v>33</v>
      </c>
      <c r="B4" s="1" t="s">
        <v>34</v>
      </c>
    </row>
    <row r="5" spans="1:33" ht="28.5" outlineLevel="1">
      <c r="A5" s="41" t="s">
        <v>71</v>
      </c>
      <c r="B5" s="595" t="s">
        <v>1540</v>
      </c>
      <c r="C5" s="157"/>
    </row>
    <row r="6" spans="1:33" ht="96" customHeight="1" outlineLevel="1">
      <c r="A6" s="1820" t="s">
        <v>941</v>
      </c>
      <c r="B6" s="1822" t="s">
        <v>1544</v>
      </c>
      <c r="C6" s="596"/>
    </row>
    <row r="7" spans="1:33" outlineLevel="1">
      <c r="A7" s="1821"/>
      <c r="B7" s="1823"/>
    </row>
    <row r="8" spans="1:33" ht="28.5" outlineLevel="1">
      <c r="A8" s="41" t="s">
        <v>1473</v>
      </c>
      <c r="B8" s="595" t="s">
        <v>1539</v>
      </c>
    </row>
    <row r="9" spans="1:33" outlineLevel="1">
      <c r="A9" s="10" t="s">
        <v>37</v>
      </c>
      <c r="B9" s="11" t="s">
        <v>38</v>
      </c>
    </row>
    <row r="10" spans="1:33" outlineLevel="1">
      <c r="A10" s="10" t="s">
        <v>39</v>
      </c>
      <c r="B10" s="11" t="s">
        <v>38</v>
      </c>
    </row>
    <row r="11" spans="1:33" outlineLevel="1">
      <c r="A11" s="10" t="s">
        <v>40</v>
      </c>
      <c r="B11" s="11" t="s">
        <v>38</v>
      </c>
    </row>
    <row r="12" spans="1:33" outlineLevel="1">
      <c r="A12" s="10" t="s">
        <v>41</v>
      </c>
      <c r="B12" s="11" t="s">
        <v>38</v>
      </c>
    </row>
    <row r="13" spans="1:33" outlineLevel="1">
      <c r="A13" s="10" t="s">
        <v>42</v>
      </c>
      <c r="B13" s="11" t="s">
        <v>38</v>
      </c>
    </row>
    <row r="14" spans="1:33" outlineLevel="1">
      <c r="A14" s="559"/>
      <c r="B14" s="560"/>
    </row>
    <row r="15" spans="1:33">
      <c r="A15" s="594" t="s">
        <v>1548</v>
      </c>
      <c r="W15" s="561"/>
      <c r="Z15" s="561"/>
    </row>
    <row r="16" spans="1:33">
      <c r="A16" s="599" t="s">
        <v>1550</v>
      </c>
      <c r="B16" s="573"/>
      <c r="C16" s="17"/>
      <c r="E16" s="12"/>
      <c r="F16" s="12"/>
      <c r="G16" s="12"/>
      <c r="H16" s="12"/>
      <c r="I16" s="12"/>
      <c r="J16" s="12"/>
      <c r="K16" s="12"/>
      <c r="L16" s="12"/>
      <c r="M16" s="12"/>
      <c r="N16" s="12"/>
      <c r="O16" s="12"/>
      <c r="P16" s="12"/>
      <c r="Q16" s="13"/>
      <c r="R16" s="13"/>
      <c r="W16" s="593" t="s">
        <v>1545</v>
      </c>
      <c r="AG16" s="591" t="s">
        <v>1546</v>
      </c>
    </row>
    <row r="17" spans="1:44" s="339" customFormat="1" ht="22.35" customHeight="1" outlineLevel="1">
      <c r="A17" s="1817" t="s">
        <v>925</v>
      </c>
      <c r="B17" s="1818"/>
      <c r="C17" s="1815" t="s">
        <v>1536</v>
      </c>
      <c r="D17" s="1807" t="s">
        <v>926</v>
      </c>
      <c r="E17" s="1809" t="s">
        <v>939</v>
      </c>
      <c r="F17" s="1810"/>
      <c r="G17" s="1810"/>
      <c r="H17" s="1811"/>
      <c r="I17" s="1799" t="s">
        <v>920</v>
      </c>
      <c r="J17" s="1799"/>
      <c r="K17" s="1799"/>
      <c r="L17" s="1799"/>
      <c r="M17" s="1801" t="s">
        <v>928</v>
      </c>
      <c r="N17" s="1802"/>
      <c r="O17" s="1802"/>
      <c r="P17" s="1803"/>
      <c r="Q17" s="1799" t="s">
        <v>929</v>
      </c>
      <c r="R17" s="1800" t="s">
        <v>1526</v>
      </c>
      <c r="S17" s="1764" t="s">
        <v>930</v>
      </c>
      <c r="T17" s="1762" t="s">
        <v>931</v>
      </c>
      <c r="U17" s="1762" t="s">
        <v>932</v>
      </c>
      <c r="V17" s="13"/>
      <c r="W17" s="1782" t="s">
        <v>1527</v>
      </c>
      <c r="X17" s="1783"/>
      <c r="Y17" s="1756" t="s">
        <v>1536</v>
      </c>
      <c r="Z17" s="1770" t="s">
        <v>926</v>
      </c>
      <c r="AA17" s="1776" t="s">
        <v>928</v>
      </c>
      <c r="AB17" s="1777"/>
      <c r="AC17" s="1777"/>
      <c r="AD17" s="1778"/>
      <c r="AE17" s="1758" t="s">
        <v>929</v>
      </c>
      <c r="AF17" s="414"/>
      <c r="AI17" s="1782" t="s">
        <v>1527</v>
      </c>
      <c r="AJ17" s="1783"/>
      <c r="AK17" s="1756" t="s">
        <v>1536</v>
      </c>
      <c r="AL17" s="1770" t="s">
        <v>926</v>
      </c>
      <c r="AM17" s="1776" t="s">
        <v>928</v>
      </c>
      <c r="AN17" s="1777"/>
      <c r="AO17" s="1777"/>
      <c r="AP17" s="1778"/>
      <c r="AQ17" s="1758" t="s">
        <v>929</v>
      </c>
      <c r="AR17" s="1791" t="s">
        <v>1541</v>
      </c>
    </row>
    <row r="18" spans="1:44" s="339" customFormat="1" ht="22.35" customHeight="1" outlineLevel="1">
      <c r="A18" s="1818"/>
      <c r="B18" s="1818"/>
      <c r="C18" s="1816"/>
      <c r="D18" s="1808"/>
      <c r="E18" s="1809" t="s">
        <v>933</v>
      </c>
      <c r="F18" s="1811"/>
      <c r="G18" s="1809" t="s">
        <v>934</v>
      </c>
      <c r="H18" s="1811"/>
      <c r="I18" s="1799"/>
      <c r="J18" s="1799"/>
      <c r="K18" s="1799"/>
      <c r="L18" s="1799"/>
      <c r="M18" s="1804"/>
      <c r="N18" s="1805"/>
      <c r="O18" s="1805"/>
      <c r="P18" s="1806"/>
      <c r="Q18" s="1799"/>
      <c r="R18" s="1792"/>
      <c r="S18" s="1763"/>
      <c r="T18" s="1763"/>
      <c r="U18" s="1763"/>
      <c r="V18" s="13"/>
      <c r="W18" s="1784"/>
      <c r="X18" s="1785"/>
      <c r="Y18" s="1757"/>
      <c r="Z18" s="1771"/>
      <c r="AA18" s="1779"/>
      <c r="AB18" s="1780"/>
      <c r="AC18" s="1780"/>
      <c r="AD18" s="1781"/>
      <c r="AE18" s="1758"/>
      <c r="AF18" s="414"/>
      <c r="AI18" s="1784"/>
      <c r="AJ18" s="1785"/>
      <c r="AK18" s="1789"/>
      <c r="AL18" s="1771"/>
      <c r="AM18" s="1779"/>
      <c r="AN18" s="1780"/>
      <c r="AO18" s="1780"/>
      <c r="AP18" s="1781"/>
      <c r="AQ18" s="1758"/>
      <c r="AR18" s="1792"/>
    </row>
    <row r="19" spans="1:44" s="13" customFormat="1" ht="19.5" customHeight="1" outlineLevel="1">
      <c r="A19" s="1718" t="s">
        <v>940</v>
      </c>
      <c r="B19" s="1720" t="s">
        <v>924</v>
      </c>
      <c r="C19" s="570"/>
      <c r="D19" s="341">
        <v>10</v>
      </c>
      <c r="E19" s="343" t="s">
        <v>935</v>
      </c>
      <c r="F19" s="344"/>
      <c r="G19" s="345"/>
      <c r="H19" s="346"/>
      <c r="I19" s="1702" t="str">
        <f>IF(E19="/","/",IF(F19=H19,(E19+G19)/2,IF(OR((F19="")*(H19="m"),(F19="m")*(H19="µ")),(E19+G19/1000)/2,IF(OR((F19="m")*(H19=""),(F19="µ")*(H19="m")),(E19+G19*1000)/2,"/"))))</f>
        <v>/</v>
      </c>
      <c r="J19" s="1703"/>
      <c r="K19" s="1703"/>
      <c r="L19" s="351" t="str">
        <f>IF(F19="","",F19)</f>
        <v/>
      </c>
      <c r="M19" s="1704" t="str">
        <f>IF(E19="/","/",IF(OR(LEFT(B19,1)=F19,(B19="A")*(F19=""),(B19="V")*(F19="")),(D19-I19*100/IF(OR(LEFT(A19,1)="A",LEFT(A19,1)="D"),MID(A19,3,LEN(A19)-2),MID(A19,1,LEN(A19))))/100,IF(OR((B19="mA")*(F19=""),(B19="mV")*(F19=""),(B19="µA")*(F19="m"),(B19="µV")*(F19="m")),(D19-I19*100/IF(OR(LEFT(A19,1)="A",LEFT(A19,1)="D"),MID(A19,3,LEN(A19)-2),MID(A19,1,LEN(A19)))*1000)/100,IF(OR((B19="mA")*(F19="µ"),(B19="mV")*(F19="µ"),(B19="A")*(F19="m"),(B19="V")*(F19="m")),(D19-I19*100/IF(OR(LEFT(A19,1)="A",LEFT(A19,1)="D"),MID(A19,3,LEN(A19)-2),MID(A19,1,LEN(A19)))/1000)/100,"/"))))</f>
        <v>/</v>
      </c>
      <c r="N19" s="1713"/>
      <c r="O19" s="1713"/>
      <c r="P19" s="1714"/>
      <c r="Q19" s="352" t="str">
        <f t="shared" ref="Q19:Q32" si="0">IF(E19="/","/",IF(F19=H19,IF(OR((B19="A")*(F19=""),(B19="V")*(F19=""),LEFT(B19,1)=F19),ABS(E19-G19)/IF(OR(LEFT(A19,1)="A",LEFT(A19,1)="D"),MID(A19,3,LEN(A19)-2),MID(A19,1,LEN(A19))),IF(OR(B19="A",B19="V",F19="µ"),ABS(E19-G19)/1000/IF(OR(LEFT(A19,1)="A",LEFT(A19,1)="D"),MID(A19,3,LEN(A19)-2),MID(A19,1,LEN(A19))),ABS(E19-G19)*1000/IF(OR(LEFT(A19,1)="A",LEFT(A19,1)="D"),MID(A19,3,LEN(A19)-2),MID(A19,1,LEN(A19))))),IF(OR((B19="A")*(F19=""),(B19="V")*(F19=""),LEFT(B19,1)=F19),IF(OR(B19="A",B19="V"),ABS(E19-G19/1000)/IF(OR(LEFT(A19,1)="A",LEFT(A19,1)="D"),MID(A19,3,LEN(A19)-2),MID(A19,1,LEN(A19))),ABS(E19-G19*1000)/IF(OR(LEFT(A19,1)="A",LEFT(A19,1)="D"),MID(A19,3,LEN(A19)-2),MID(A19,1,LEN(A19)))),IF(OR(B19="A",B19="V",F19="µ"),ABS(E19/1000-G19)/IF(OR(LEFT(A19,1)="A",LEFT(A19,1)="D"),MID(A19,3,LEN(A19)-2),MID(A19,1,LEN(A19))),ABS(E19*1000-G19)/IF(OR(LEFT(A19,1)="A",LEFT(A19,1)="D"),MID(A19,3,LEN(A19)-2),MID(A19,1,LEN(A19)))))))</f>
        <v>/</v>
      </c>
      <c r="R19" s="1715">
        <f>2*U19</f>
        <v>0</v>
      </c>
      <c r="S19" s="1765">
        <f>[1]不确定度评定附表!N7</f>
        <v>0</v>
      </c>
      <c r="T19" s="1754">
        <f>[1]不确定度评定附表!P7</f>
        <v>0</v>
      </c>
      <c r="U19" s="1754">
        <f>[1]不确定度评定附表!R7</f>
        <v>0</v>
      </c>
      <c r="W19" s="1772" t="s">
        <v>1528</v>
      </c>
      <c r="X19" s="1751" t="s">
        <v>924</v>
      </c>
      <c r="Y19" s="583"/>
      <c r="Z19" s="584">
        <v>10</v>
      </c>
      <c r="AA19" s="1759" t="e">
        <f>IF(#REF!="/","/",IF(OR(LEFT(X19,1)=#REF!,(X19="A")*(#REF!=""),(X19="V")*(#REF!="")),(Z19-#REF!*100/IF(OR(LEFT(W19,1)="A",LEFT(W19,1)="D"),MID(W19,3,LEN(W19)-2),MID(W19,1,LEN(W19))))/100,IF(OR((X19="mA")*(#REF!=""),(X19="mV")*(#REF!=""),(X19="µA")*(#REF!="m"),(X19="µV")*(#REF!="m")),(Z19-#REF!*100/IF(OR(LEFT(W19,1)="A",LEFT(W19,1)="D"),MID(W19,3,LEN(W19)-2),MID(W19,1,LEN(W19)))*1000)/100,IF(OR((X19="mA")*(#REF!="µ"),(X19="mV")*(#REF!="µ"),(X19="A")*(#REF!="m"),(X19="V")*(#REF!="m")),(Z19-#REF!*100/IF(OR(LEFT(W19,1)="A",LEFT(W19,1)="D"),MID(W19,3,LEN(W19)-2),MID(W19,1,LEN(W19)))/1000)/100,"/"))))</f>
        <v>#REF!</v>
      </c>
      <c r="AB19" s="1786"/>
      <c r="AC19" s="1786"/>
      <c r="AD19" s="1787"/>
      <c r="AE19" s="585" t="e">
        <f>IF(#REF!="/","/",IF(#REF!=#REF!,IF(OR((X19="A")*(#REF!=""),(X19="V")*(#REF!=""),LEFT(X19,1)=#REF!),ABS(#REF!-#REF!)/IF(OR(LEFT(W19,1)="A",LEFT(W19,1)="D"),MID(W19,3,LEN(W19)-2),MID(W19,1,LEN(W19))),IF(OR(X19="A",X19="V",#REF!="µ"),ABS(#REF!-#REF!)/1000/IF(OR(LEFT(W19,1)="A",LEFT(W19,1)="D"),MID(W19,3,LEN(W19)-2),MID(W19,1,LEN(W19))),ABS(#REF!-#REF!)*1000/IF(OR(LEFT(W19,1)="A",LEFT(W19,1)="D"),MID(W19,3,LEN(W19)-2),MID(W19,1,LEN(W19))))),IF(OR((X19="A")*(#REF!=""),(X19="V")*(#REF!=""),LEFT(X19,1)=#REF!),IF(OR(X19="A",X19="V"),ABS(#REF!-#REF!/1000)/IF(OR(LEFT(W19,1)="A",LEFT(W19,1)="D"),MID(W19,3,LEN(W19)-2),MID(W19,1,LEN(W19))),ABS(#REF!-#REF!*1000)/IF(OR(LEFT(W19,1)="A",LEFT(W19,1)="D"),MID(W19,3,LEN(W19)-2),MID(W19,1,LEN(W19)))),IF(OR(X19="A",X19="V",#REF!="µ"),ABS(#REF!/1000-#REF!)/IF(OR(LEFT(W19,1)="A",LEFT(W19,1)="D"),MID(W19,3,LEN(W19)-2),MID(W19,1,LEN(W19))),ABS(#REF!*1000-#REF!)/IF(OR(LEFT(W19,1)="A",LEFT(W19,1)="D"),MID(W19,3,LEN(W19)-2),MID(W19,1,LEN(W19)))))))</f>
        <v>#REF!</v>
      </c>
      <c r="AF19" s="415"/>
      <c r="AI19" s="1772" t="s">
        <v>1528</v>
      </c>
      <c r="AJ19" s="1751" t="s">
        <v>924</v>
      </c>
      <c r="AK19" s="1774">
        <v>0.5</v>
      </c>
      <c r="AL19" s="584">
        <v>10</v>
      </c>
      <c r="AM19" s="1759" t="e">
        <f>IF(#REF!="/","/",IF(OR(LEFT(AJ19,1)=#REF!,(AJ19="A")*(#REF!=""),(AJ19="V")*(#REF!="")),(AL19-#REF!*100/IF(OR(LEFT(AI19,1)="A",LEFT(AI19,1)="D"),MID(AI19,3,LEN(AI19)-2),MID(AI19,1,LEN(AI19))))/100,IF(OR((AJ19="mA")*(#REF!=""),(AJ19="mV")*(#REF!=""),(AJ19="µA")*(#REF!="m"),(AJ19="µV")*(#REF!="m")),(AL19-#REF!*100/IF(OR(LEFT(AI19,1)="A",LEFT(AI19,1)="D"),MID(AI19,3,LEN(AI19)-2),MID(AI19,1,LEN(AI19)))*1000)/100,IF(OR((AJ19="mA")*(#REF!="µ"),(AJ19="mV")*(#REF!="µ"),(AJ19="A")*(#REF!="m"),(AJ19="V")*(#REF!="m")),(AL19-#REF!*100/IF(OR(LEFT(AI19,1)="A",LEFT(AI19,1)="D"),MID(AI19,3,LEN(AI19)-2),MID(AI19,1,LEN(AI19)))/1000)/100,"/"))))</f>
        <v>#REF!</v>
      </c>
      <c r="AN19" s="1786"/>
      <c r="AO19" s="1786"/>
      <c r="AP19" s="1787"/>
      <c r="AQ19" s="585" t="e">
        <f>IF(#REF!="/","/",IF(#REF!=#REF!,IF(OR((AJ19="A")*(#REF!=""),(AJ19="V")*(#REF!=""),LEFT(AJ19,1)=#REF!),ABS(#REF!-#REF!)/IF(OR(LEFT(AI19,1)="A",LEFT(AI19,1)="D"),MID(AI19,3,LEN(AI19)-2),MID(AI19,1,LEN(AI19))),IF(OR(AJ19="A",AJ19="V",#REF!="µ"),ABS(#REF!-#REF!)/1000/IF(OR(LEFT(AI19,1)="A",LEFT(AI19,1)="D"),MID(AI19,3,LEN(AI19)-2),MID(AI19,1,LEN(AI19))),ABS(#REF!-#REF!)*1000/IF(OR(LEFT(AI19,1)="A",LEFT(AI19,1)="D"),MID(AI19,3,LEN(AI19)-2),MID(AI19,1,LEN(AI19))))),IF(OR((AJ19="A")*(#REF!=""),(AJ19="V")*(#REF!=""),LEFT(AJ19,1)=#REF!),IF(OR(AJ19="A",AJ19="V"),ABS(#REF!-#REF!/1000)/IF(OR(LEFT(AI19,1)="A",LEFT(AI19,1)="D"),MID(AI19,3,LEN(AI19)-2),MID(AI19,1,LEN(AI19))),ABS(#REF!-#REF!*1000)/IF(OR(LEFT(AI19,1)="A",LEFT(AI19,1)="D"),MID(AI19,3,LEN(AI19)-2),MID(AI19,1,LEN(AI19)))),IF(OR(AJ19="A",AJ19="V",#REF!="µ"),ABS(#REF!/1000-#REF!)/IF(OR(LEFT(AI19,1)="A",LEFT(AI19,1)="D"),MID(AI19,3,LEN(AI19)-2),MID(AI19,1,LEN(AI19))),ABS(#REF!*1000-#REF!)/IF(OR(LEFT(AI19,1)="A",LEFT(AI19,1)="D"),MID(AI19,3,LEN(AI19)-2),MID(AI19,1,LEN(AI19)))))))</f>
        <v>#REF!</v>
      </c>
      <c r="AR19" s="1826"/>
    </row>
    <row r="20" spans="1:44" s="13" customFormat="1" ht="18.600000000000001" customHeight="1" outlineLevel="1">
      <c r="A20" s="1719" t="str">
        <f t="shared" ref="A20:B28" si="1">A19</f>
        <v>DC1</v>
      </c>
      <c r="B20" s="1721" t="str">
        <f t="shared" si="1"/>
        <v>A</v>
      </c>
      <c r="C20" s="571"/>
      <c r="D20" s="341">
        <v>20</v>
      </c>
      <c r="E20" s="345">
        <v>200.40299999999999</v>
      </c>
      <c r="F20" s="346" t="s">
        <v>923</v>
      </c>
      <c r="G20" s="345">
        <v>200.375</v>
      </c>
      <c r="H20" s="346" t="s">
        <v>923</v>
      </c>
      <c r="I20" s="1702">
        <f t="shared" ref="I20:I32" si="2">IF(E20="/","/",IF(F20=H20,(E20+G20)/2,IF(OR((F20="")*(H20="m"),(F20="m")*(H20="µ")),(E20+G20/1000)/2,IF(OR((F20="m")*(H20=""),(F20="µ")*(H20="m")),(E20+G20*1000)/2,"/"))))</f>
        <v>200.38900000000001</v>
      </c>
      <c r="J20" s="1703"/>
      <c r="K20" s="1703"/>
      <c r="L20" s="351" t="str">
        <f t="shared" ref="L20:L34" si="3">IF(F20="","",F20)</f>
        <v>mA</v>
      </c>
      <c r="M20" s="1819">
        <f t="shared" ref="M20:M34" si="4">IF(E20="/","/",IF(OR(LEFT(B20,1)=F20,(B20="A")*(F20=""),(B20="V")*(F20="")),(D20-I20*100/IF(OR(LEFT(A20,1)="A",LEFT(A20,1)="D"),MID(A20,3,LEN(A20)-2),MID(A20,1,LEN(A20))))/100,IF(OR((B20="mA")*(F20=""),(B20="mV")*(F20=""),(B20="µA")*(F20="m"),(B20="µV")*(F20="m")),(D20-I20*100/IF(OR(LEFT(A20,1)="A",LEFT(A20,1)="D"),MID(A20,3,LEN(A20)-2),MID(A20,1,LEN(A20)))*1000)/100,IF(OR((B20="mA")*(F20="µ"),(B20="mV")*(F20="µ"),(B20="A")*(F20="mA"),(B20="V")*(F20="m")),(D20-I20*100/IF(OR(LEFT(A20,1)="A",LEFT(A20,1)="D"),MID(A20,3,LEN(A20)-2),MID(A20,1,LEN(A20)))/1000)/100,"/"))))</f>
        <v>-3.890000000000171E-4</v>
      </c>
      <c r="N20" s="1713"/>
      <c r="O20" s="1713"/>
      <c r="P20" s="1714"/>
      <c r="Q20" s="354">
        <f t="shared" si="0"/>
        <v>2.7999999999991587E-5</v>
      </c>
      <c r="R20" s="1812"/>
      <c r="S20" s="1766"/>
      <c r="T20" s="1768"/>
      <c r="U20" s="1768"/>
      <c r="W20" s="1788" t="str">
        <f t="shared" ref="W20:W28" si="5">W19</f>
        <v>DC1</v>
      </c>
      <c r="X20" s="1752" t="str">
        <f t="shared" ref="X20:X28" si="6">X19</f>
        <v>A</v>
      </c>
      <c r="Y20" s="586"/>
      <c r="Z20" s="584">
        <v>20</v>
      </c>
      <c r="AA20" s="1790" t="e">
        <f>IF(#REF!="/","/",IF(OR(LEFT(X20,1)=#REF!,(X20="A")*(#REF!=""),(X20="V")*(#REF!="")),(Z20-#REF!*100/IF(OR(LEFT(W20,1)="A",LEFT(W20,1)="D"),MID(W20,3,LEN(W20)-2),MID(W20,1,LEN(W20))))/100,IF(OR((X20="mA")*(#REF!=""),(X20="mV")*(#REF!=""),(X20="µA")*(#REF!="m"),(X20="µV")*(#REF!="m")),(Z20-#REF!*100/IF(OR(LEFT(W20,1)="A",LEFT(W20,1)="D"),MID(W20,3,LEN(W20)-2),MID(W20,1,LEN(W20)))*1000)/100,IF(OR((X20="mA")*(#REF!="µ"),(X20="mV")*(#REF!="µ"),(X20="A")*(#REF!="mA"),(X20="V")*(#REF!="m")),(Z20-#REF!*100/IF(OR(LEFT(W20,1)="A",LEFT(W20,1)="D"),MID(W20,3,LEN(W20)-2),MID(W20,1,LEN(W20)))/1000)/100,"/"))))</f>
        <v>#REF!</v>
      </c>
      <c r="AB20" s="1786"/>
      <c r="AC20" s="1786"/>
      <c r="AD20" s="1787"/>
      <c r="AE20" s="587" t="e">
        <f>IF(#REF!="/","/",IF(#REF!=#REF!,IF(OR((X20="A")*(#REF!=""),(X20="V")*(#REF!=""),LEFT(X20,1)=#REF!),ABS(#REF!-#REF!)/IF(OR(LEFT(W20,1)="A",LEFT(W20,1)="D"),MID(W20,3,LEN(W20)-2),MID(W20,1,LEN(W20))),IF(OR(X20="A",X20="V",#REF!="µ"),ABS(#REF!-#REF!)/1000/IF(OR(LEFT(W20,1)="A",LEFT(W20,1)="D"),MID(W20,3,LEN(W20)-2),MID(W20,1,LEN(W20))),ABS(#REF!-#REF!)*1000/IF(OR(LEFT(W20,1)="A",LEFT(W20,1)="D"),MID(W20,3,LEN(W20)-2),MID(W20,1,LEN(W20))))),IF(OR((X20="A")*(#REF!=""),(X20="V")*(#REF!=""),LEFT(X20,1)=#REF!),IF(OR(X20="A",X20="V"),ABS(#REF!-#REF!/1000)/IF(OR(LEFT(W20,1)="A",LEFT(W20,1)="D"),MID(W20,3,LEN(W20)-2),MID(W20,1,LEN(W20))),ABS(#REF!-#REF!*1000)/IF(OR(LEFT(W20,1)="A",LEFT(W20,1)="D"),MID(W20,3,LEN(W20)-2),MID(W20,1,LEN(W20)))),IF(OR(X20="A",X20="V",#REF!="µ"),ABS(#REF!/1000-#REF!)/IF(OR(LEFT(W20,1)="A",LEFT(W20,1)="D"),MID(W20,3,LEN(W20)-2),MID(W20,1,LEN(W20))),ABS(#REF!*1000-#REF!)/IF(OR(LEFT(W20,1)="A",LEFT(W20,1)="D"),MID(W20,3,LEN(W20)-2),MID(W20,1,LEN(W20)))))))</f>
        <v>#REF!</v>
      </c>
      <c r="AF20" s="415"/>
      <c r="AI20" s="1788" t="str">
        <f t="shared" ref="AI20:AI28" si="7">AI19</f>
        <v>DC1</v>
      </c>
      <c r="AJ20" s="1752" t="str">
        <f t="shared" ref="AJ20:AJ28" si="8">AJ19</f>
        <v>A</v>
      </c>
      <c r="AK20" s="1794"/>
      <c r="AL20" s="584">
        <v>20</v>
      </c>
      <c r="AM20" s="1790" t="e">
        <f>IF(#REF!="/","/",IF(OR(LEFT(AJ20,1)=#REF!,(AJ20="A")*(#REF!=""),(AJ20="V")*(#REF!="")),(AL20-#REF!*100/IF(OR(LEFT(AI20,1)="A",LEFT(AI20,1)="D"),MID(AI20,3,LEN(AI20)-2),MID(AI20,1,LEN(AI20))))/100,IF(OR((AJ20="mA")*(#REF!=""),(AJ20="mV")*(#REF!=""),(AJ20="µA")*(#REF!="m"),(AJ20="µV")*(#REF!="m")),(AL20-#REF!*100/IF(OR(LEFT(AI20,1)="A",LEFT(AI20,1)="D"),MID(AI20,3,LEN(AI20)-2),MID(AI20,1,LEN(AI20)))*1000)/100,IF(OR((AJ20="mA")*(#REF!="µ"),(AJ20="mV")*(#REF!="µ"),(AJ20="A")*(#REF!="mA"),(AJ20="V")*(#REF!="m")),(AL20-#REF!*100/IF(OR(LEFT(AI20,1)="A",LEFT(AI20,1)="D"),MID(AI20,3,LEN(AI20)-2),MID(AI20,1,LEN(AI20)))/1000)/100,"/"))))</f>
        <v>#REF!</v>
      </c>
      <c r="AN20" s="1786"/>
      <c r="AO20" s="1786"/>
      <c r="AP20" s="1787"/>
      <c r="AQ20" s="587" t="e">
        <f>IF(#REF!="/","/",IF(#REF!=#REF!,IF(OR((AJ20="A")*(#REF!=""),(AJ20="V")*(#REF!=""),LEFT(AJ20,1)=#REF!),ABS(#REF!-#REF!)/IF(OR(LEFT(AI20,1)="A",LEFT(AI20,1)="D"),MID(AI20,3,LEN(AI20)-2),MID(AI20,1,LEN(AI20))),IF(OR(AJ20="A",AJ20="V",#REF!="µ"),ABS(#REF!-#REF!)/1000/IF(OR(LEFT(AI20,1)="A",LEFT(AI20,1)="D"),MID(AI20,3,LEN(AI20)-2),MID(AI20,1,LEN(AI20))),ABS(#REF!-#REF!)*1000/IF(OR(LEFT(AI20,1)="A",LEFT(AI20,1)="D"),MID(AI20,3,LEN(AI20)-2),MID(AI20,1,LEN(AI20))))),IF(OR((AJ20="A")*(#REF!=""),(AJ20="V")*(#REF!=""),LEFT(AJ20,1)=#REF!),IF(OR(AJ20="A",AJ20="V"),ABS(#REF!-#REF!/1000)/IF(OR(LEFT(AI20,1)="A",LEFT(AI20,1)="D"),MID(AI20,3,LEN(AI20)-2),MID(AI20,1,LEN(AI20))),ABS(#REF!-#REF!*1000)/IF(OR(LEFT(AI20,1)="A",LEFT(AI20,1)="D"),MID(AI20,3,LEN(AI20)-2),MID(AI20,1,LEN(AI20)))),IF(OR(AJ20="A",AJ20="V",#REF!="µ"),ABS(#REF!/1000-#REF!)/IF(OR(LEFT(AI20,1)="A",LEFT(AI20,1)="D"),MID(AI20,3,LEN(AI20)-2),MID(AI20,1,LEN(AI20))),ABS(#REF!*1000-#REF!)/IF(OR(LEFT(AI20,1)="A",LEFT(AI20,1)="D"),MID(AI20,3,LEN(AI20)-2),MID(AI20,1,LEN(AI20)))))))</f>
        <v>#REF!</v>
      </c>
      <c r="AR20" s="1827"/>
    </row>
    <row r="21" spans="1:44" s="13" customFormat="1" ht="18.600000000000001" customHeight="1" outlineLevel="1">
      <c r="A21" s="1719" t="str">
        <f t="shared" si="1"/>
        <v>DC1</v>
      </c>
      <c r="B21" s="1721" t="str">
        <f t="shared" si="1"/>
        <v>A</v>
      </c>
      <c r="C21" s="571"/>
      <c r="D21" s="341">
        <v>30</v>
      </c>
      <c r="E21" s="345">
        <v>300.077</v>
      </c>
      <c r="F21" s="346" t="s">
        <v>923</v>
      </c>
      <c r="G21" s="345">
        <v>300.089</v>
      </c>
      <c r="H21" s="346" t="s">
        <v>923</v>
      </c>
      <c r="I21" s="1702">
        <f t="shared" si="2"/>
        <v>300.08299999999997</v>
      </c>
      <c r="J21" s="1703"/>
      <c r="K21" s="1703"/>
      <c r="L21" s="351" t="str">
        <f t="shared" si="3"/>
        <v>mA</v>
      </c>
      <c r="M21" s="1704">
        <f t="shared" si="4"/>
        <v>-8.2999999999948675E-5</v>
      </c>
      <c r="N21" s="1705"/>
      <c r="O21" s="1705"/>
      <c r="P21" s="1706"/>
      <c r="Q21" s="354">
        <f t="shared" si="0"/>
        <v>1.2000000000000454E-5</v>
      </c>
      <c r="R21" s="1812"/>
      <c r="S21" s="1766"/>
      <c r="T21" s="1768"/>
      <c r="U21" s="1768"/>
      <c r="W21" s="1788" t="str">
        <f t="shared" si="5"/>
        <v>DC1</v>
      </c>
      <c r="X21" s="1752" t="str">
        <f t="shared" si="6"/>
        <v>A</v>
      </c>
      <c r="Y21" s="586"/>
      <c r="Z21" s="584">
        <v>30</v>
      </c>
      <c r="AA21" s="1759" t="e">
        <f>IF(#REF!="/","/",IF(OR(LEFT(X21,1)=#REF!,(X21="A")*(#REF!=""),(X21="V")*(#REF!="")),(Z21-#REF!*100/IF(OR(LEFT(W21,1)="A",LEFT(W21,1)="D"),MID(W21,3,LEN(W21)-2),MID(W21,1,LEN(W21))))/100,IF(OR((X21="mA")*(#REF!=""),(X21="mV")*(#REF!=""),(X21="µA")*(#REF!="m"),(X21="µV")*(#REF!="m")),(Z21-#REF!*100/IF(OR(LEFT(W21,1)="A",LEFT(W21,1)="D"),MID(W21,3,LEN(W21)-2),MID(W21,1,LEN(W21)))*1000)/100,IF(OR((X21="mA")*(#REF!="µ"),(X21="mV")*(#REF!="µ"),(X21="A")*(#REF!="mA"),(X21="V")*(#REF!="m")),(Z21-#REF!*100/IF(OR(LEFT(W21,1)="A",LEFT(W21,1)="D"),MID(W21,3,LEN(W21)-2),MID(W21,1,LEN(W21)))/1000)/100,"/"))))</f>
        <v>#REF!</v>
      </c>
      <c r="AB21" s="1760"/>
      <c r="AC21" s="1760"/>
      <c r="AD21" s="1761"/>
      <c r="AE21" s="587" t="e">
        <f>IF(#REF!="/","/",IF(#REF!=#REF!,IF(OR((X21="A")*(#REF!=""),(X21="V")*(#REF!=""),LEFT(X21,1)=#REF!),ABS(#REF!-#REF!)/IF(OR(LEFT(W21,1)="A",LEFT(W21,1)="D"),MID(W21,3,LEN(W21)-2),MID(W21,1,LEN(W21))),IF(OR(X21="A",X21="V",#REF!="µ"),ABS(#REF!-#REF!)/1000/IF(OR(LEFT(W21,1)="A",LEFT(W21,1)="D"),MID(W21,3,LEN(W21)-2),MID(W21,1,LEN(W21))),ABS(#REF!-#REF!)*1000/IF(OR(LEFT(W21,1)="A",LEFT(W21,1)="D"),MID(W21,3,LEN(W21)-2),MID(W21,1,LEN(W21))))),IF(OR((X21="A")*(#REF!=""),(X21="V")*(#REF!=""),LEFT(X21,1)=#REF!),IF(OR(X21="A",X21="V"),ABS(#REF!-#REF!/1000)/IF(OR(LEFT(W21,1)="A",LEFT(W21,1)="D"),MID(W21,3,LEN(W21)-2),MID(W21,1,LEN(W21))),ABS(#REF!-#REF!*1000)/IF(OR(LEFT(W21,1)="A",LEFT(W21,1)="D"),MID(W21,3,LEN(W21)-2),MID(W21,1,LEN(W21)))),IF(OR(X21="A",X21="V",#REF!="µ"),ABS(#REF!/1000-#REF!)/IF(OR(LEFT(W21,1)="A",LEFT(W21,1)="D"),MID(W21,3,LEN(W21)-2),MID(W21,1,LEN(W21))),ABS(#REF!*1000-#REF!)/IF(OR(LEFT(W21,1)="A",LEFT(W21,1)="D"),MID(W21,3,LEN(W21)-2),MID(W21,1,LEN(W21)))))))</f>
        <v>#REF!</v>
      </c>
      <c r="AF21" s="415"/>
      <c r="AI21" s="1788" t="str">
        <f t="shared" si="7"/>
        <v>DC1</v>
      </c>
      <c r="AJ21" s="1752" t="str">
        <f t="shared" si="8"/>
        <v>A</v>
      </c>
      <c r="AK21" s="1794"/>
      <c r="AL21" s="584">
        <v>30</v>
      </c>
      <c r="AM21" s="1759" t="e">
        <f>IF(#REF!="/","/",IF(OR(LEFT(AJ21,1)=#REF!,(AJ21="A")*(#REF!=""),(AJ21="V")*(#REF!="")),(AL21-#REF!*100/IF(OR(LEFT(AI21,1)="A",LEFT(AI21,1)="D"),MID(AI21,3,LEN(AI21)-2),MID(AI21,1,LEN(AI21))))/100,IF(OR((AJ21="mA")*(#REF!=""),(AJ21="mV")*(#REF!=""),(AJ21="µA")*(#REF!="m"),(AJ21="µV")*(#REF!="m")),(AL21-#REF!*100/IF(OR(LEFT(AI21,1)="A",LEFT(AI21,1)="D"),MID(AI21,3,LEN(AI21)-2),MID(AI21,1,LEN(AI21)))*1000)/100,IF(OR((AJ21="mA")*(#REF!="µ"),(AJ21="mV")*(#REF!="µ"),(AJ21="A")*(#REF!="mA"),(AJ21="V")*(#REF!="m")),(AL21-#REF!*100/IF(OR(LEFT(AI21,1)="A",LEFT(AI21,1)="D"),MID(AI21,3,LEN(AI21)-2),MID(AI21,1,LEN(AI21)))/1000)/100,"/"))))</f>
        <v>#REF!</v>
      </c>
      <c r="AN21" s="1760"/>
      <c r="AO21" s="1760"/>
      <c r="AP21" s="1761"/>
      <c r="AQ21" s="587" t="e">
        <f>IF(#REF!="/","/",IF(#REF!=#REF!,IF(OR((AJ21="A")*(#REF!=""),(AJ21="V")*(#REF!=""),LEFT(AJ21,1)=#REF!),ABS(#REF!-#REF!)/IF(OR(LEFT(AI21,1)="A",LEFT(AI21,1)="D"),MID(AI21,3,LEN(AI21)-2),MID(AI21,1,LEN(AI21))),IF(OR(AJ21="A",AJ21="V",#REF!="µ"),ABS(#REF!-#REF!)/1000/IF(OR(LEFT(AI21,1)="A",LEFT(AI21,1)="D"),MID(AI21,3,LEN(AI21)-2),MID(AI21,1,LEN(AI21))),ABS(#REF!-#REF!)*1000/IF(OR(LEFT(AI21,1)="A",LEFT(AI21,1)="D"),MID(AI21,3,LEN(AI21)-2),MID(AI21,1,LEN(AI21))))),IF(OR((AJ21="A")*(#REF!=""),(AJ21="V")*(#REF!=""),LEFT(AJ21,1)=#REF!),IF(OR(AJ21="A",AJ21="V"),ABS(#REF!-#REF!/1000)/IF(OR(LEFT(AI21,1)="A",LEFT(AI21,1)="D"),MID(AI21,3,LEN(AI21)-2),MID(AI21,1,LEN(AI21))),ABS(#REF!-#REF!*1000)/IF(OR(LEFT(AI21,1)="A",LEFT(AI21,1)="D"),MID(AI21,3,LEN(AI21)-2),MID(AI21,1,LEN(AI21)))),IF(OR(AJ21="A",AJ21="V",#REF!="µ"),ABS(#REF!/1000-#REF!)/IF(OR(LEFT(AI21,1)="A",LEFT(AI21,1)="D"),MID(AI21,3,LEN(AI21)-2),MID(AI21,1,LEN(AI21))),ABS(#REF!*1000-#REF!)/IF(OR(LEFT(AI21,1)="A",LEFT(AI21,1)="D"),MID(AI21,3,LEN(AI21)-2),MID(AI21,1,LEN(AI21)))))))</f>
        <v>#REF!</v>
      </c>
      <c r="AR21" s="1715">
        <f>2*AU21</f>
        <v>0</v>
      </c>
    </row>
    <row r="22" spans="1:44" s="13" customFormat="1" ht="18.600000000000001" customHeight="1" outlineLevel="1">
      <c r="A22" s="1719" t="str">
        <f t="shared" si="1"/>
        <v>DC1</v>
      </c>
      <c r="B22" s="1721" t="str">
        <f t="shared" si="1"/>
        <v>A</v>
      </c>
      <c r="C22" s="571"/>
      <c r="D22" s="341">
        <v>40</v>
      </c>
      <c r="E22" s="345">
        <v>399.68900000000002</v>
      </c>
      <c r="F22" s="346" t="s">
        <v>923</v>
      </c>
      <c r="G22" s="345">
        <v>399.69900000000001</v>
      </c>
      <c r="H22" s="346" t="s">
        <v>923</v>
      </c>
      <c r="I22" s="1702">
        <f t="shared" si="2"/>
        <v>399.69400000000002</v>
      </c>
      <c r="J22" s="1703"/>
      <c r="K22" s="1703"/>
      <c r="L22" s="351" t="str">
        <f t="shared" si="3"/>
        <v>mA</v>
      </c>
      <c r="M22" s="1704">
        <f t="shared" si="4"/>
        <v>3.0599999999999741E-4</v>
      </c>
      <c r="N22" s="1705"/>
      <c r="O22" s="1705"/>
      <c r="P22" s="1706"/>
      <c r="Q22" s="354">
        <f t="shared" si="0"/>
        <v>9.9999999999909054E-6</v>
      </c>
      <c r="R22" s="1812"/>
      <c r="S22" s="1766"/>
      <c r="T22" s="1768"/>
      <c r="U22" s="1768"/>
      <c r="W22" s="1788" t="str">
        <f t="shared" si="5"/>
        <v>DC1</v>
      </c>
      <c r="X22" s="1752" t="str">
        <f t="shared" si="6"/>
        <v>A</v>
      </c>
      <c r="Y22" s="586"/>
      <c r="Z22" s="584">
        <v>40</v>
      </c>
      <c r="AA22" s="1759" t="e">
        <f>IF(#REF!="/","/",IF(OR(LEFT(X22,1)=#REF!,(X22="A")*(#REF!=""),(X22="V")*(#REF!="")),(Z22-#REF!*100/IF(OR(LEFT(W22,1)="A",LEFT(W22,1)="D"),MID(W22,3,LEN(W22)-2),MID(W22,1,LEN(W22))))/100,IF(OR((X22="mA")*(#REF!=""),(X22="mV")*(#REF!=""),(X22="µA")*(#REF!="m"),(X22="µV")*(#REF!="m")),(Z22-#REF!*100/IF(OR(LEFT(W22,1)="A",LEFT(W22,1)="D"),MID(W22,3,LEN(W22)-2),MID(W22,1,LEN(W22)))*1000)/100,IF(OR((X22="mA")*(#REF!="µ"),(X22="mV")*(#REF!="µ"),(X22="A")*(#REF!="mA"),(X22="V")*(#REF!="m")),(Z22-#REF!*100/IF(OR(LEFT(W22,1)="A",LEFT(W22,1)="D"),MID(W22,3,LEN(W22)-2),MID(W22,1,LEN(W22)))/1000)/100,"/"))))</f>
        <v>#REF!</v>
      </c>
      <c r="AB22" s="1760"/>
      <c r="AC22" s="1760"/>
      <c r="AD22" s="1761"/>
      <c r="AE22" s="587" t="e">
        <f>IF(#REF!="/","/",IF(#REF!=#REF!,IF(OR((X22="A")*(#REF!=""),(X22="V")*(#REF!=""),LEFT(X22,1)=#REF!),ABS(#REF!-#REF!)/IF(OR(LEFT(W22,1)="A",LEFT(W22,1)="D"),MID(W22,3,LEN(W22)-2),MID(W22,1,LEN(W22))),IF(OR(X22="A",X22="V",#REF!="µ"),ABS(#REF!-#REF!)/1000/IF(OR(LEFT(W22,1)="A",LEFT(W22,1)="D"),MID(W22,3,LEN(W22)-2),MID(W22,1,LEN(W22))),ABS(#REF!-#REF!)*1000/IF(OR(LEFT(W22,1)="A",LEFT(W22,1)="D"),MID(W22,3,LEN(W22)-2),MID(W22,1,LEN(W22))))),IF(OR((X22="A")*(#REF!=""),(X22="V")*(#REF!=""),LEFT(X22,1)=#REF!),IF(OR(X22="A",X22="V"),ABS(#REF!-#REF!/1000)/IF(OR(LEFT(W22,1)="A",LEFT(W22,1)="D"),MID(W22,3,LEN(W22)-2),MID(W22,1,LEN(W22))),ABS(#REF!-#REF!*1000)/IF(OR(LEFT(W22,1)="A",LEFT(W22,1)="D"),MID(W22,3,LEN(W22)-2),MID(W22,1,LEN(W22)))),IF(OR(X22="A",X22="V",#REF!="µ"),ABS(#REF!/1000-#REF!)/IF(OR(LEFT(W22,1)="A",LEFT(W22,1)="D"),MID(W22,3,LEN(W22)-2),MID(W22,1,LEN(W22))),ABS(#REF!*1000-#REF!)/IF(OR(LEFT(W22,1)="A",LEFT(W22,1)="D"),MID(W22,3,LEN(W22)-2),MID(W22,1,LEN(W22)))))))</f>
        <v>#REF!</v>
      </c>
      <c r="AF22" s="415"/>
      <c r="AI22" s="1788" t="str">
        <f t="shared" si="7"/>
        <v>DC1</v>
      </c>
      <c r="AJ22" s="1752" t="str">
        <f t="shared" si="8"/>
        <v>A</v>
      </c>
      <c r="AK22" s="1794"/>
      <c r="AL22" s="584">
        <v>40</v>
      </c>
      <c r="AM22" s="1759" t="e">
        <f>IF(#REF!="/","/",IF(OR(LEFT(AJ22,1)=#REF!,(AJ22="A")*(#REF!=""),(AJ22="V")*(#REF!="")),(AL22-#REF!*100/IF(OR(LEFT(AI22,1)="A",LEFT(AI22,1)="D"),MID(AI22,3,LEN(AI22)-2),MID(AI22,1,LEN(AI22))))/100,IF(OR((AJ22="mA")*(#REF!=""),(AJ22="mV")*(#REF!=""),(AJ22="µA")*(#REF!="m"),(AJ22="µV")*(#REF!="m")),(AL22-#REF!*100/IF(OR(LEFT(AI22,1)="A",LEFT(AI22,1)="D"),MID(AI22,3,LEN(AI22)-2),MID(AI22,1,LEN(AI22)))*1000)/100,IF(OR((AJ22="mA")*(#REF!="µ"),(AJ22="mV")*(#REF!="µ"),(AJ22="A")*(#REF!="mA"),(AJ22="V")*(#REF!="m")),(AL22-#REF!*100/IF(OR(LEFT(AI22,1)="A",LEFT(AI22,1)="D"),MID(AI22,3,LEN(AI22)-2),MID(AI22,1,LEN(AI22)))/1000)/100,"/"))))</f>
        <v>#REF!</v>
      </c>
      <c r="AN22" s="1760"/>
      <c r="AO22" s="1760"/>
      <c r="AP22" s="1761"/>
      <c r="AQ22" s="587" t="e">
        <f>IF(#REF!="/","/",IF(#REF!=#REF!,IF(OR((AJ22="A")*(#REF!=""),(AJ22="V")*(#REF!=""),LEFT(AJ22,1)=#REF!),ABS(#REF!-#REF!)/IF(OR(LEFT(AI22,1)="A",LEFT(AI22,1)="D"),MID(AI22,3,LEN(AI22)-2),MID(AI22,1,LEN(AI22))),IF(OR(AJ22="A",AJ22="V",#REF!="µ"),ABS(#REF!-#REF!)/1000/IF(OR(LEFT(AI22,1)="A",LEFT(AI22,1)="D"),MID(AI22,3,LEN(AI22)-2),MID(AI22,1,LEN(AI22))),ABS(#REF!-#REF!)*1000/IF(OR(LEFT(AI22,1)="A",LEFT(AI22,1)="D"),MID(AI22,3,LEN(AI22)-2),MID(AI22,1,LEN(AI22))))),IF(OR((AJ22="A")*(#REF!=""),(AJ22="V")*(#REF!=""),LEFT(AJ22,1)=#REF!),IF(OR(AJ22="A",AJ22="V"),ABS(#REF!-#REF!/1000)/IF(OR(LEFT(AI22,1)="A",LEFT(AI22,1)="D"),MID(AI22,3,LEN(AI22)-2),MID(AI22,1,LEN(AI22))),ABS(#REF!-#REF!*1000)/IF(OR(LEFT(AI22,1)="A",LEFT(AI22,1)="D"),MID(AI22,3,LEN(AI22)-2),MID(AI22,1,LEN(AI22)))),IF(OR(AJ22="A",AJ22="V",#REF!="µ"),ABS(#REF!/1000-#REF!)/IF(OR(LEFT(AI22,1)="A",LEFT(AI22,1)="D"),MID(AI22,3,LEN(AI22)-2),MID(AI22,1,LEN(AI22))),ABS(#REF!*1000-#REF!)/IF(OR(LEFT(AI22,1)="A",LEFT(AI22,1)="D"),MID(AI22,3,LEN(AI22)-2),MID(AI22,1,LEN(AI22)))))))</f>
        <v>#REF!</v>
      </c>
      <c r="AR22" s="1793"/>
    </row>
    <row r="23" spans="1:44" s="13" customFormat="1" ht="18.600000000000001" customHeight="1" outlineLevel="1">
      <c r="A23" s="1719" t="str">
        <f t="shared" si="1"/>
        <v>DC1</v>
      </c>
      <c r="B23" s="1721" t="str">
        <f t="shared" si="1"/>
        <v>A</v>
      </c>
      <c r="C23" s="582">
        <v>0.5</v>
      </c>
      <c r="D23" s="341">
        <v>50</v>
      </c>
      <c r="E23" s="345">
        <v>499.58499999999998</v>
      </c>
      <c r="F23" s="346" t="s">
        <v>923</v>
      </c>
      <c r="G23" s="345">
        <v>499.59100000000001</v>
      </c>
      <c r="H23" s="346" t="s">
        <v>923</v>
      </c>
      <c r="I23" s="1702">
        <f t="shared" si="2"/>
        <v>499.58799999999997</v>
      </c>
      <c r="J23" s="1703"/>
      <c r="K23" s="1703"/>
      <c r="L23" s="351" t="str">
        <f t="shared" si="3"/>
        <v>mA</v>
      </c>
      <c r="M23" s="1704">
        <f t="shared" si="4"/>
        <v>4.1200000000003457E-4</v>
      </c>
      <c r="N23" s="1705"/>
      <c r="O23" s="1705"/>
      <c r="P23" s="1706"/>
      <c r="Q23" s="354">
        <f t="shared" si="0"/>
        <v>6.0000000000286493E-6</v>
      </c>
      <c r="R23" s="1812"/>
      <c r="S23" s="1766"/>
      <c r="T23" s="1768"/>
      <c r="U23" s="1768"/>
      <c r="W23" s="1788" t="str">
        <f t="shared" si="5"/>
        <v>DC1</v>
      </c>
      <c r="X23" s="1752" t="str">
        <f t="shared" si="6"/>
        <v>A</v>
      </c>
      <c r="Y23" s="586">
        <v>0.5</v>
      </c>
      <c r="Z23" s="584">
        <v>50</v>
      </c>
      <c r="AA23" s="1759" t="e">
        <f>IF(#REF!="/","/",IF(OR(LEFT(X23,1)=#REF!,(X23="A")*(#REF!=""),(X23="V")*(#REF!="")),(Z23-#REF!*100/IF(OR(LEFT(W23,1)="A",LEFT(W23,1)="D"),MID(W23,3,LEN(W23)-2),MID(W23,1,LEN(W23))))/100,IF(OR((X23="mA")*(#REF!=""),(X23="mV")*(#REF!=""),(X23="µA")*(#REF!="m"),(X23="µV")*(#REF!="m")),(Z23-#REF!*100/IF(OR(LEFT(W23,1)="A",LEFT(W23,1)="D"),MID(W23,3,LEN(W23)-2),MID(W23,1,LEN(W23)))*1000)/100,IF(OR((X23="mA")*(#REF!="µ"),(X23="mV")*(#REF!="µ"),(X23="A")*(#REF!="mA"),(X23="V")*(#REF!="m")),(Z23-#REF!*100/IF(OR(LEFT(W23,1)="A",LEFT(W23,1)="D"),MID(W23,3,LEN(W23)-2),MID(W23,1,LEN(W23)))/1000)/100,"/"))))</f>
        <v>#REF!</v>
      </c>
      <c r="AB23" s="1760"/>
      <c r="AC23" s="1760"/>
      <c r="AD23" s="1761"/>
      <c r="AE23" s="587" t="e">
        <f>IF(#REF!="/","/",IF(#REF!=#REF!,IF(OR((X23="A")*(#REF!=""),(X23="V")*(#REF!=""),LEFT(X23,1)=#REF!),ABS(#REF!-#REF!)/IF(OR(LEFT(W23,1)="A",LEFT(W23,1)="D"),MID(W23,3,LEN(W23)-2),MID(W23,1,LEN(W23))),IF(OR(X23="A",X23="V",#REF!="µ"),ABS(#REF!-#REF!)/1000/IF(OR(LEFT(W23,1)="A",LEFT(W23,1)="D"),MID(W23,3,LEN(W23)-2),MID(W23,1,LEN(W23))),ABS(#REF!-#REF!)*1000/IF(OR(LEFT(W23,1)="A",LEFT(W23,1)="D"),MID(W23,3,LEN(W23)-2),MID(W23,1,LEN(W23))))),IF(OR((X23="A")*(#REF!=""),(X23="V")*(#REF!=""),LEFT(X23,1)=#REF!),IF(OR(X23="A",X23="V"),ABS(#REF!-#REF!/1000)/IF(OR(LEFT(W23,1)="A",LEFT(W23,1)="D"),MID(W23,3,LEN(W23)-2),MID(W23,1,LEN(W23))),ABS(#REF!-#REF!*1000)/IF(OR(LEFT(W23,1)="A",LEFT(W23,1)="D"),MID(W23,3,LEN(W23)-2),MID(W23,1,LEN(W23)))),IF(OR(X23="A",X23="V",#REF!="µ"),ABS(#REF!/1000-#REF!)/IF(OR(LEFT(W23,1)="A",LEFT(W23,1)="D"),MID(W23,3,LEN(W23)-2),MID(W23,1,LEN(W23))),ABS(#REF!*1000-#REF!)/IF(OR(LEFT(W23,1)="A",LEFT(W23,1)="D"),MID(W23,3,LEN(W23)-2),MID(W23,1,LEN(W23)))))))</f>
        <v>#REF!</v>
      </c>
      <c r="AF23" s="415"/>
      <c r="AI23" s="1788" t="str">
        <f t="shared" si="7"/>
        <v>DC1</v>
      </c>
      <c r="AJ23" s="1752" t="str">
        <f t="shared" si="8"/>
        <v>A</v>
      </c>
      <c r="AK23" s="1794"/>
      <c r="AL23" s="584">
        <v>50</v>
      </c>
      <c r="AM23" s="1759" t="e">
        <f>IF(#REF!="/","/",IF(OR(LEFT(AJ23,1)=#REF!,(AJ23="A")*(#REF!=""),(AJ23="V")*(#REF!="")),(AL23-#REF!*100/IF(OR(LEFT(AI23,1)="A",LEFT(AI23,1)="D"),MID(AI23,3,LEN(AI23)-2),MID(AI23,1,LEN(AI23))))/100,IF(OR((AJ23="mA")*(#REF!=""),(AJ23="mV")*(#REF!=""),(AJ23="µA")*(#REF!="m"),(AJ23="µV")*(#REF!="m")),(AL23-#REF!*100/IF(OR(LEFT(AI23,1)="A",LEFT(AI23,1)="D"),MID(AI23,3,LEN(AI23)-2),MID(AI23,1,LEN(AI23)))*1000)/100,IF(OR((AJ23="mA")*(#REF!="µ"),(AJ23="mV")*(#REF!="µ"),(AJ23="A")*(#REF!="mA"),(AJ23="V")*(#REF!="m")),(AL23-#REF!*100/IF(OR(LEFT(AI23,1)="A",LEFT(AI23,1)="D"),MID(AI23,3,LEN(AI23)-2),MID(AI23,1,LEN(AI23)))/1000)/100,"/"))))</f>
        <v>#REF!</v>
      </c>
      <c r="AN23" s="1760"/>
      <c r="AO23" s="1760"/>
      <c r="AP23" s="1761"/>
      <c r="AQ23" s="587" t="e">
        <f>IF(#REF!="/","/",IF(#REF!=#REF!,IF(OR((AJ23="A")*(#REF!=""),(AJ23="V")*(#REF!=""),LEFT(AJ23,1)=#REF!),ABS(#REF!-#REF!)/IF(OR(LEFT(AI23,1)="A",LEFT(AI23,1)="D"),MID(AI23,3,LEN(AI23)-2),MID(AI23,1,LEN(AI23))),IF(OR(AJ23="A",AJ23="V",#REF!="µ"),ABS(#REF!-#REF!)/1000/IF(OR(LEFT(AI23,1)="A",LEFT(AI23,1)="D"),MID(AI23,3,LEN(AI23)-2),MID(AI23,1,LEN(AI23))),ABS(#REF!-#REF!)*1000/IF(OR(LEFT(AI23,1)="A",LEFT(AI23,1)="D"),MID(AI23,3,LEN(AI23)-2),MID(AI23,1,LEN(AI23))))),IF(OR((AJ23="A")*(#REF!=""),(AJ23="V")*(#REF!=""),LEFT(AJ23,1)=#REF!),IF(OR(AJ23="A",AJ23="V"),ABS(#REF!-#REF!/1000)/IF(OR(LEFT(AI23,1)="A",LEFT(AI23,1)="D"),MID(AI23,3,LEN(AI23)-2),MID(AI23,1,LEN(AI23))),ABS(#REF!-#REF!*1000)/IF(OR(LEFT(AI23,1)="A",LEFT(AI23,1)="D"),MID(AI23,3,LEN(AI23)-2),MID(AI23,1,LEN(AI23)))),IF(OR(AJ23="A",AJ23="V",#REF!="µ"),ABS(#REF!/1000-#REF!)/IF(OR(LEFT(AI23,1)="A",LEFT(AI23,1)="D"),MID(AI23,3,LEN(AI23)-2),MID(AI23,1,LEN(AI23))),ABS(#REF!*1000-#REF!)/IF(OR(LEFT(AI23,1)="A",LEFT(AI23,1)="D"),MID(AI23,3,LEN(AI23)-2),MID(AI23,1,LEN(AI23)))))))</f>
        <v>#REF!</v>
      </c>
      <c r="AR23" s="1793"/>
    </row>
    <row r="24" spans="1:44" s="13" customFormat="1" ht="18.600000000000001" customHeight="1" outlineLevel="1">
      <c r="A24" s="1719" t="str">
        <f t="shared" si="1"/>
        <v>DC1</v>
      </c>
      <c r="B24" s="1721" t="str">
        <f t="shared" si="1"/>
        <v>A</v>
      </c>
      <c r="C24" s="571"/>
      <c r="D24" s="341">
        <v>60</v>
      </c>
      <c r="E24" s="345">
        <v>598.99199999999996</v>
      </c>
      <c r="F24" s="346" t="s">
        <v>923</v>
      </c>
      <c r="G24" s="345">
        <v>599.00199999999995</v>
      </c>
      <c r="H24" s="346" t="s">
        <v>923</v>
      </c>
      <c r="I24" s="1702">
        <f t="shared" si="2"/>
        <v>598.99699999999996</v>
      </c>
      <c r="J24" s="1703"/>
      <c r="K24" s="1703"/>
      <c r="L24" s="351" t="str">
        <f t="shared" si="3"/>
        <v>mA</v>
      </c>
      <c r="M24" s="1704">
        <f t="shared" si="4"/>
        <v>1.0030000000000427E-3</v>
      </c>
      <c r="N24" s="1705"/>
      <c r="O24" s="1705"/>
      <c r="P24" s="1706"/>
      <c r="Q24" s="354">
        <f t="shared" si="0"/>
        <v>9.9999999999909054E-6</v>
      </c>
      <c r="R24" s="1812"/>
      <c r="S24" s="1766"/>
      <c r="T24" s="1768"/>
      <c r="U24" s="1768"/>
      <c r="W24" s="1788" t="str">
        <f t="shared" si="5"/>
        <v>DC1</v>
      </c>
      <c r="X24" s="1752" t="str">
        <f t="shared" si="6"/>
        <v>A</v>
      </c>
      <c r="Y24" s="586"/>
      <c r="Z24" s="584">
        <v>60</v>
      </c>
      <c r="AA24" s="1759" t="e">
        <f>IF(#REF!="/","/",IF(OR(LEFT(X24,1)=#REF!,(X24="A")*(#REF!=""),(X24="V")*(#REF!="")),(Z24-#REF!*100/IF(OR(LEFT(W24,1)="A",LEFT(W24,1)="D"),MID(W24,3,LEN(W24)-2),MID(W24,1,LEN(W24))))/100,IF(OR((X24="mA")*(#REF!=""),(X24="mV")*(#REF!=""),(X24="µA")*(#REF!="m"),(X24="µV")*(#REF!="m")),(Z24-#REF!*100/IF(OR(LEFT(W24,1)="A",LEFT(W24,1)="D"),MID(W24,3,LEN(W24)-2),MID(W24,1,LEN(W24)))*1000)/100,IF(OR((X24="mA")*(#REF!="µ"),(X24="mV")*(#REF!="µ"),(X24="A")*(#REF!="mA"),(X24="V")*(#REF!="m")),(Z24-#REF!*100/IF(OR(LEFT(W24,1)="A",LEFT(W24,1)="D"),MID(W24,3,LEN(W24)-2),MID(W24,1,LEN(W24)))/1000)/100,"/"))))</f>
        <v>#REF!</v>
      </c>
      <c r="AB24" s="1760"/>
      <c r="AC24" s="1760"/>
      <c r="AD24" s="1761"/>
      <c r="AE24" s="587" t="e">
        <f>IF(#REF!="/","/",IF(#REF!=#REF!,IF(OR((X24="A")*(#REF!=""),(X24="V")*(#REF!=""),LEFT(X24,1)=#REF!),ABS(#REF!-#REF!)/IF(OR(LEFT(W24,1)="A",LEFT(W24,1)="D"),MID(W24,3,LEN(W24)-2),MID(W24,1,LEN(W24))),IF(OR(X24="A",X24="V",#REF!="µ"),ABS(#REF!-#REF!)/1000/IF(OR(LEFT(W24,1)="A",LEFT(W24,1)="D"),MID(W24,3,LEN(W24)-2),MID(W24,1,LEN(W24))),ABS(#REF!-#REF!)*1000/IF(OR(LEFT(W24,1)="A",LEFT(W24,1)="D"),MID(W24,3,LEN(W24)-2),MID(W24,1,LEN(W24))))),IF(OR((X24="A")*(#REF!=""),(X24="V")*(#REF!=""),LEFT(X24,1)=#REF!),IF(OR(X24="A",X24="V"),ABS(#REF!-#REF!/1000)/IF(OR(LEFT(W24,1)="A",LEFT(W24,1)="D"),MID(W24,3,LEN(W24)-2),MID(W24,1,LEN(W24))),ABS(#REF!-#REF!*1000)/IF(OR(LEFT(W24,1)="A",LEFT(W24,1)="D"),MID(W24,3,LEN(W24)-2),MID(W24,1,LEN(W24)))),IF(OR(X24="A",X24="V",#REF!="µ"),ABS(#REF!/1000-#REF!)/IF(OR(LEFT(W24,1)="A",LEFT(W24,1)="D"),MID(W24,3,LEN(W24)-2),MID(W24,1,LEN(W24))),ABS(#REF!*1000-#REF!)/IF(OR(LEFT(W24,1)="A",LEFT(W24,1)="D"),MID(W24,3,LEN(W24)-2),MID(W24,1,LEN(W24)))))))</f>
        <v>#REF!</v>
      </c>
      <c r="AF24" s="415"/>
      <c r="AI24" s="1788" t="str">
        <f t="shared" si="7"/>
        <v>DC1</v>
      </c>
      <c r="AJ24" s="1752" t="str">
        <f t="shared" si="8"/>
        <v>A</v>
      </c>
      <c r="AK24" s="1794"/>
      <c r="AL24" s="584">
        <v>60</v>
      </c>
      <c r="AM24" s="1759" t="e">
        <f>IF(#REF!="/","/",IF(OR(LEFT(AJ24,1)=#REF!,(AJ24="A")*(#REF!=""),(AJ24="V")*(#REF!="")),(AL24-#REF!*100/IF(OR(LEFT(AI24,1)="A",LEFT(AI24,1)="D"),MID(AI24,3,LEN(AI24)-2),MID(AI24,1,LEN(AI24))))/100,IF(OR((AJ24="mA")*(#REF!=""),(AJ24="mV")*(#REF!=""),(AJ24="µA")*(#REF!="m"),(AJ24="µV")*(#REF!="m")),(AL24-#REF!*100/IF(OR(LEFT(AI24,1)="A",LEFT(AI24,1)="D"),MID(AI24,3,LEN(AI24)-2),MID(AI24,1,LEN(AI24)))*1000)/100,IF(OR((AJ24="mA")*(#REF!="µ"),(AJ24="mV")*(#REF!="µ"),(AJ24="A")*(#REF!="mA"),(AJ24="V")*(#REF!="m")),(AL24-#REF!*100/IF(OR(LEFT(AI24,1)="A",LEFT(AI24,1)="D"),MID(AI24,3,LEN(AI24)-2),MID(AI24,1,LEN(AI24)))/1000)/100,"/"))))</f>
        <v>#REF!</v>
      </c>
      <c r="AN24" s="1760"/>
      <c r="AO24" s="1760"/>
      <c r="AP24" s="1761"/>
      <c r="AQ24" s="587" t="e">
        <f>IF(#REF!="/","/",IF(#REF!=#REF!,IF(OR((AJ24="A")*(#REF!=""),(AJ24="V")*(#REF!=""),LEFT(AJ24,1)=#REF!),ABS(#REF!-#REF!)/IF(OR(LEFT(AI24,1)="A",LEFT(AI24,1)="D"),MID(AI24,3,LEN(AI24)-2),MID(AI24,1,LEN(AI24))),IF(OR(AJ24="A",AJ24="V",#REF!="µ"),ABS(#REF!-#REF!)/1000/IF(OR(LEFT(AI24,1)="A",LEFT(AI24,1)="D"),MID(AI24,3,LEN(AI24)-2),MID(AI24,1,LEN(AI24))),ABS(#REF!-#REF!)*1000/IF(OR(LEFT(AI24,1)="A",LEFT(AI24,1)="D"),MID(AI24,3,LEN(AI24)-2),MID(AI24,1,LEN(AI24))))),IF(OR((AJ24="A")*(#REF!=""),(AJ24="V")*(#REF!=""),LEFT(AJ24,1)=#REF!),IF(OR(AJ24="A",AJ24="V"),ABS(#REF!-#REF!/1000)/IF(OR(LEFT(AI24,1)="A",LEFT(AI24,1)="D"),MID(AI24,3,LEN(AI24)-2),MID(AI24,1,LEN(AI24))),ABS(#REF!-#REF!*1000)/IF(OR(LEFT(AI24,1)="A",LEFT(AI24,1)="D"),MID(AI24,3,LEN(AI24)-2),MID(AI24,1,LEN(AI24)))),IF(OR(AJ24="A",AJ24="V",#REF!="µ"),ABS(#REF!/1000-#REF!)/IF(OR(LEFT(AI24,1)="A",LEFT(AI24,1)="D"),MID(AI24,3,LEN(AI24)-2),MID(AI24,1,LEN(AI24))),ABS(#REF!*1000-#REF!)/IF(OR(LEFT(AI24,1)="A",LEFT(AI24,1)="D"),MID(AI24,3,LEN(AI24)-2),MID(AI24,1,LEN(AI24)))))))</f>
        <v>#REF!</v>
      </c>
      <c r="AR24" s="1793"/>
    </row>
    <row r="25" spans="1:44" s="13" customFormat="1" ht="18.600000000000001" customHeight="1" outlineLevel="1">
      <c r="A25" s="1719" t="str">
        <f t="shared" si="1"/>
        <v>DC1</v>
      </c>
      <c r="B25" s="1721" t="str">
        <f t="shared" si="1"/>
        <v>A</v>
      </c>
      <c r="C25" s="571"/>
      <c r="D25" s="341">
        <v>70</v>
      </c>
      <c r="E25" s="345">
        <v>697.49099999999999</v>
      </c>
      <c r="F25" s="346" t="s">
        <v>923</v>
      </c>
      <c r="G25" s="345">
        <v>697.49699999999996</v>
      </c>
      <c r="H25" s="346" t="s">
        <v>923</v>
      </c>
      <c r="I25" s="1702">
        <f t="shared" si="2"/>
        <v>697.49399999999991</v>
      </c>
      <c r="J25" s="1703"/>
      <c r="K25" s="1703"/>
      <c r="L25" s="351" t="str">
        <f t="shared" si="3"/>
        <v>mA</v>
      </c>
      <c r="M25" s="1704">
        <f t="shared" si="4"/>
        <v>2.5060000000000572E-3</v>
      </c>
      <c r="N25" s="1705"/>
      <c r="O25" s="1705"/>
      <c r="P25" s="1706"/>
      <c r="Q25" s="354">
        <f t="shared" si="0"/>
        <v>5.9999999999718058E-6</v>
      </c>
      <c r="R25" s="1812"/>
      <c r="S25" s="1766"/>
      <c r="T25" s="1768"/>
      <c r="U25" s="1768"/>
      <c r="W25" s="1788" t="str">
        <f t="shared" si="5"/>
        <v>DC1</v>
      </c>
      <c r="X25" s="1752" t="str">
        <f t="shared" si="6"/>
        <v>A</v>
      </c>
      <c r="Y25" s="586"/>
      <c r="Z25" s="584">
        <v>70</v>
      </c>
      <c r="AA25" s="1759" t="e">
        <f>IF(#REF!="/","/",IF(OR(LEFT(X25,1)=#REF!,(X25="A")*(#REF!=""),(X25="V")*(#REF!="")),(Z25-#REF!*100/IF(OR(LEFT(W25,1)="A",LEFT(W25,1)="D"),MID(W25,3,LEN(W25)-2),MID(W25,1,LEN(W25))))/100,IF(OR((X25="mA")*(#REF!=""),(X25="mV")*(#REF!=""),(X25="µA")*(#REF!="m"),(X25="µV")*(#REF!="m")),(Z25-#REF!*100/IF(OR(LEFT(W25,1)="A",LEFT(W25,1)="D"),MID(W25,3,LEN(W25)-2),MID(W25,1,LEN(W25)))*1000)/100,IF(OR((X25="mA")*(#REF!="µ"),(X25="mV")*(#REF!="µ"),(X25="A")*(#REF!="mA"),(X25="V")*(#REF!="m")),(Z25-#REF!*100/IF(OR(LEFT(W25,1)="A",LEFT(W25,1)="D"),MID(W25,3,LEN(W25)-2),MID(W25,1,LEN(W25)))/1000)/100,"/"))))</f>
        <v>#REF!</v>
      </c>
      <c r="AB25" s="1760"/>
      <c r="AC25" s="1760"/>
      <c r="AD25" s="1761"/>
      <c r="AE25" s="587" t="e">
        <f>IF(#REF!="/","/",IF(#REF!=#REF!,IF(OR((X25="A")*(#REF!=""),(X25="V")*(#REF!=""),LEFT(X25,1)=#REF!),ABS(#REF!-#REF!)/IF(OR(LEFT(W25,1)="A",LEFT(W25,1)="D"),MID(W25,3,LEN(W25)-2),MID(W25,1,LEN(W25))),IF(OR(X25="A",X25="V",#REF!="µ"),ABS(#REF!-#REF!)/1000/IF(OR(LEFT(W25,1)="A",LEFT(W25,1)="D"),MID(W25,3,LEN(W25)-2),MID(W25,1,LEN(W25))),ABS(#REF!-#REF!)*1000/IF(OR(LEFT(W25,1)="A",LEFT(W25,1)="D"),MID(W25,3,LEN(W25)-2),MID(W25,1,LEN(W25))))),IF(OR((X25="A")*(#REF!=""),(X25="V")*(#REF!=""),LEFT(X25,1)=#REF!),IF(OR(X25="A",X25="V"),ABS(#REF!-#REF!/1000)/IF(OR(LEFT(W25,1)="A",LEFT(W25,1)="D"),MID(W25,3,LEN(W25)-2),MID(W25,1,LEN(W25))),ABS(#REF!-#REF!*1000)/IF(OR(LEFT(W25,1)="A",LEFT(W25,1)="D"),MID(W25,3,LEN(W25)-2),MID(W25,1,LEN(W25)))),IF(OR(X25="A",X25="V",#REF!="µ"),ABS(#REF!/1000-#REF!)/IF(OR(LEFT(W25,1)="A",LEFT(W25,1)="D"),MID(W25,3,LEN(W25)-2),MID(W25,1,LEN(W25))),ABS(#REF!*1000-#REF!)/IF(OR(LEFT(W25,1)="A",LEFT(W25,1)="D"),MID(W25,3,LEN(W25)-2),MID(W25,1,LEN(W25)))))))</f>
        <v>#REF!</v>
      </c>
      <c r="AF25" s="415"/>
      <c r="AI25" s="1788" t="str">
        <f t="shared" si="7"/>
        <v>DC1</v>
      </c>
      <c r="AJ25" s="1752" t="str">
        <f t="shared" si="8"/>
        <v>A</v>
      </c>
      <c r="AK25" s="1794"/>
      <c r="AL25" s="584">
        <v>70</v>
      </c>
      <c r="AM25" s="1759" t="e">
        <f>IF(#REF!="/","/",IF(OR(LEFT(AJ25,1)=#REF!,(AJ25="A")*(#REF!=""),(AJ25="V")*(#REF!="")),(AL25-#REF!*100/IF(OR(LEFT(AI25,1)="A",LEFT(AI25,1)="D"),MID(AI25,3,LEN(AI25)-2),MID(AI25,1,LEN(AI25))))/100,IF(OR((AJ25="mA")*(#REF!=""),(AJ25="mV")*(#REF!=""),(AJ25="µA")*(#REF!="m"),(AJ25="µV")*(#REF!="m")),(AL25-#REF!*100/IF(OR(LEFT(AI25,1)="A",LEFT(AI25,1)="D"),MID(AI25,3,LEN(AI25)-2),MID(AI25,1,LEN(AI25)))*1000)/100,IF(OR((AJ25="mA")*(#REF!="µ"),(AJ25="mV")*(#REF!="µ"),(AJ25="A")*(#REF!="mA"),(AJ25="V")*(#REF!="m")),(AL25-#REF!*100/IF(OR(LEFT(AI25,1)="A",LEFT(AI25,1)="D"),MID(AI25,3,LEN(AI25)-2),MID(AI25,1,LEN(AI25)))/1000)/100,"/"))))</f>
        <v>#REF!</v>
      </c>
      <c r="AN25" s="1760"/>
      <c r="AO25" s="1760"/>
      <c r="AP25" s="1761"/>
      <c r="AQ25" s="587" t="e">
        <f>IF(#REF!="/","/",IF(#REF!=#REF!,IF(OR((AJ25="A")*(#REF!=""),(AJ25="V")*(#REF!=""),LEFT(AJ25,1)=#REF!),ABS(#REF!-#REF!)/IF(OR(LEFT(AI25,1)="A",LEFT(AI25,1)="D"),MID(AI25,3,LEN(AI25)-2),MID(AI25,1,LEN(AI25))),IF(OR(AJ25="A",AJ25="V",#REF!="µ"),ABS(#REF!-#REF!)/1000/IF(OR(LEFT(AI25,1)="A",LEFT(AI25,1)="D"),MID(AI25,3,LEN(AI25)-2),MID(AI25,1,LEN(AI25))),ABS(#REF!-#REF!)*1000/IF(OR(LEFT(AI25,1)="A",LEFT(AI25,1)="D"),MID(AI25,3,LEN(AI25)-2),MID(AI25,1,LEN(AI25))))),IF(OR((AJ25="A")*(#REF!=""),(AJ25="V")*(#REF!=""),LEFT(AJ25,1)=#REF!),IF(OR(AJ25="A",AJ25="V"),ABS(#REF!-#REF!/1000)/IF(OR(LEFT(AI25,1)="A",LEFT(AI25,1)="D"),MID(AI25,3,LEN(AI25)-2),MID(AI25,1,LEN(AI25))),ABS(#REF!-#REF!*1000)/IF(OR(LEFT(AI25,1)="A",LEFT(AI25,1)="D"),MID(AI25,3,LEN(AI25)-2),MID(AI25,1,LEN(AI25)))),IF(OR(AJ25="A",AJ25="V",#REF!="µ"),ABS(#REF!/1000-#REF!)/IF(OR(LEFT(AI25,1)="A",LEFT(AI25,1)="D"),MID(AI25,3,LEN(AI25)-2),MID(AI25,1,LEN(AI25))),ABS(#REF!*1000-#REF!)/IF(OR(LEFT(AI25,1)="A",LEFT(AI25,1)="D"),MID(AI25,3,LEN(AI25)-2),MID(AI25,1,LEN(AI25)))))))</f>
        <v>#REF!</v>
      </c>
      <c r="AR25" s="1793"/>
    </row>
    <row r="26" spans="1:44" s="13" customFormat="1" ht="18.600000000000001" customHeight="1" outlineLevel="1">
      <c r="A26" s="1719" t="str">
        <f t="shared" si="1"/>
        <v>DC1</v>
      </c>
      <c r="B26" s="1721" t="str">
        <f t="shared" si="1"/>
        <v>A</v>
      </c>
      <c r="C26" s="571"/>
      <c r="D26" s="341">
        <v>80</v>
      </c>
      <c r="E26" s="345">
        <v>797.96900000000005</v>
      </c>
      <c r="F26" s="346" t="s">
        <v>923</v>
      </c>
      <c r="G26" s="345">
        <v>797.95500000000004</v>
      </c>
      <c r="H26" s="346" t="s">
        <v>923</v>
      </c>
      <c r="I26" s="1702">
        <f t="shared" si="2"/>
        <v>797.96199999999999</v>
      </c>
      <c r="J26" s="1703"/>
      <c r="K26" s="1703"/>
      <c r="L26" s="351" t="str">
        <f t="shared" si="3"/>
        <v>mA</v>
      </c>
      <c r="M26" s="1704">
        <f t="shared" si="4"/>
        <v>2.0380000000000107E-3</v>
      </c>
      <c r="N26" s="1705"/>
      <c r="O26" s="1705"/>
      <c r="P26" s="1706"/>
      <c r="Q26" s="354">
        <f t="shared" si="0"/>
        <v>1.4000000000010005E-5</v>
      </c>
      <c r="R26" s="1812"/>
      <c r="S26" s="1766"/>
      <c r="T26" s="1768"/>
      <c r="U26" s="1768"/>
      <c r="W26" s="1788" t="str">
        <f t="shared" si="5"/>
        <v>DC1</v>
      </c>
      <c r="X26" s="1752" t="str">
        <f t="shared" si="6"/>
        <v>A</v>
      </c>
      <c r="Y26" s="586"/>
      <c r="Z26" s="584">
        <v>80</v>
      </c>
      <c r="AA26" s="1759" t="e">
        <f>IF(#REF!="/","/",IF(OR(LEFT(X26,1)=#REF!,(X26="A")*(#REF!=""),(X26="V")*(#REF!="")),(Z26-#REF!*100/IF(OR(LEFT(W26,1)="A",LEFT(W26,1)="D"),MID(W26,3,LEN(W26)-2),MID(W26,1,LEN(W26))))/100,IF(OR((X26="mA")*(#REF!=""),(X26="mV")*(#REF!=""),(X26="µA")*(#REF!="m"),(X26="µV")*(#REF!="m")),(Z26-#REF!*100/IF(OR(LEFT(W26,1)="A",LEFT(W26,1)="D"),MID(W26,3,LEN(W26)-2),MID(W26,1,LEN(W26)))*1000)/100,IF(OR((X26="mA")*(#REF!="µ"),(X26="mV")*(#REF!="µ"),(X26="A")*(#REF!="mA"),(X26="V")*(#REF!="m")),(Z26-#REF!*100/IF(OR(LEFT(W26,1)="A",LEFT(W26,1)="D"),MID(W26,3,LEN(W26)-2),MID(W26,1,LEN(W26)))/1000)/100,"/"))))</f>
        <v>#REF!</v>
      </c>
      <c r="AB26" s="1760"/>
      <c r="AC26" s="1760"/>
      <c r="AD26" s="1761"/>
      <c r="AE26" s="587" t="e">
        <f>IF(#REF!="/","/",IF(#REF!=#REF!,IF(OR((X26="A")*(#REF!=""),(X26="V")*(#REF!=""),LEFT(X26,1)=#REF!),ABS(#REF!-#REF!)/IF(OR(LEFT(W26,1)="A",LEFT(W26,1)="D"),MID(W26,3,LEN(W26)-2),MID(W26,1,LEN(W26))),IF(OR(X26="A",X26="V",#REF!="µ"),ABS(#REF!-#REF!)/1000/IF(OR(LEFT(W26,1)="A",LEFT(W26,1)="D"),MID(W26,3,LEN(W26)-2),MID(W26,1,LEN(W26))),ABS(#REF!-#REF!)*1000/IF(OR(LEFT(W26,1)="A",LEFT(W26,1)="D"),MID(W26,3,LEN(W26)-2),MID(W26,1,LEN(W26))))),IF(OR((X26="A")*(#REF!=""),(X26="V")*(#REF!=""),LEFT(X26,1)=#REF!),IF(OR(X26="A",X26="V"),ABS(#REF!-#REF!/1000)/IF(OR(LEFT(W26,1)="A",LEFT(W26,1)="D"),MID(W26,3,LEN(W26)-2),MID(W26,1,LEN(W26))),ABS(#REF!-#REF!*1000)/IF(OR(LEFT(W26,1)="A",LEFT(W26,1)="D"),MID(W26,3,LEN(W26)-2),MID(W26,1,LEN(W26)))),IF(OR(X26="A",X26="V",#REF!="µ"),ABS(#REF!/1000-#REF!)/IF(OR(LEFT(W26,1)="A",LEFT(W26,1)="D"),MID(W26,3,LEN(W26)-2),MID(W26,1,LEN(W26))),ABS(#REF!*1000-#REF!)/IF(OR(LEFT(W26,1)="A",LEFT(W26,1)="D"),MID(W26,3,LEN(W26)-2),MID(W26,1,LEN(W26)))))))</f>
        <v>#REF!</v>
      </c>
      <c r="AF26" s="415"/>
      <c r="AI26" s="1788" t="str">
        <f t="shared" si="7"/>
        <v>DC1</v>
      </c>
      <c r="AJ26" s="1752" t="str">
        <f t="shared" si="8"/>
        <v>A</v>
      </c>
      <c r="AK26" s="1794"/>
      <c r="AL26" s="584">
        <v>80</v>
      </c>
      <c r="AM26" s="1759" t="e">
        <f>IF(#REF!="/","/",IF(OR(LEFT(AJ26,1)=#REF!,(AJ26="A")*(#REF!=""),(AJ26="V")*(#REF!="")),(AL26-#REF!*100/IF(OR(LEFT(AI26,1)="A",LEFT(AI26,1)="D"),MID(AI26,3,LEN(AI26)-2),MID(AI26,1,LEN(AI26))))/100,IF(OR((AJ26="mA")*(#REF!=""),(AJ26="mV")*(#REF!=""),(AJ26="µA")*(#REF!="m"),(AJ26="µV")*(#REF!="m")),(AL26-#REF!*100/IF(OR(LEFT(AI26,1)="A",LEFT(AI26,1)="D"),MID(AI26,3,LEN(AI26)-2),MID(AI26,1,LEN(AI26)))*1000)/100,IF(OR((AJ26="mA")*(#REF!="µ"),(AJ26="mV")*(#REF!="µ"),(AJ26="A")*(#REF!="mA"),(AJ26="V")*(#REF!="m")),(AL26-#REF!*100/IF(OR(LEFT(AI26,1)="A",LEFT(AI26,1)="D"),MID(AI26,3,LEN(AI26)-2),MID(AI26,1,LEN(AI26)))/1000)/100,"/"))))</f>
        <v>#REF!</v>
      </c>
      <c r="AN26" s="1760"/>
      <c r="AO26" s="1760"/>
      <c r="AP26" s="1761"/>
      <c r="AQ26" s="587" t="e">
        <f>IF(#REF!="/","/",IF(#REF!=#REF!,IF(OR((AJ26="A")*(#REF!=""),(AJ26="V")*(#REF!=""),LEFT(AJ26,1)=#REF!),ABS(#REF!-#REF!)/IF(OR(LEFT(AI26,1)="A",LEFT(AI26,1)="D"),MID(AI26,3,LEN(AI26)-2),MID(AI26,1,LEN(AI26))),IF(OR(AJ26="A",AJ26="V",#REF!="µ"),ABS(#REF!-#REF!)/1000/IF(OR(LEFT(AI26,1)="A",LEFT(AI26,1)="D"),MID(AI26,3,LEN(AI26)-2),MID(AI26,1,LEN(AI26))),ABS(#REF!-#REF!)*1000/IF(OR(LEFT(AI26,1)="A",LEFT(AI26,1)="D"),MID(AI26,3,LEN(AI26)-2),MID(AI26,1,LEN(AI26))))),IF(OR((AJ26="A")*(#REF!=""),(AJ26="V")*(#REF!=""),LEFT(AJ26,1)=#REF!),IF(OR(AJ26="A",AJ26="V"),ABS(#REF!-#REF!/1000)/IF(OR(LEFT(AI26,1)="A",LEFT(AI26,1)="D"),MID(AI26,3,LEN(AI26)-2),MID(AI26,1,LEN(AI26))),ABS(#REF!-#REF!*1000)/IF(OR(LEFT(AI26,1)="A",LEFT(AI26,1)="D"),MID(AI26,3,LEN(AI26)-2),MID(AI26,1,LEN(AI26)))),IF(OR(AJ26="A",AJ26="V",#REF!="µ"),ABS(#REF!/1000-#REF!)/IF(OR(LEFT(AI26,1)="A",LEFT(AI26,1)="D"),MID(AI26,3,LEN(AI26)-2),MID(AI26,1,LEN(AI26))),ABS(#REF!*1000-#REF!)/IF(OR(LEFT(AI26,1)="A",LEFT(AI26,1)="D"),MID(AI26,3,LEN(AI26)-2),MID(AI26,1,LEN(AI26)))))))</f>
        <v>#REF!</v>
      </c>
      <c r="AR26" s="1793"/>
    </row>
    <row r="27" spans="1:44" s="13" customFormat="1" ht="18.600000000000001" customHeight="1" outlineLevel="1">
      <c r="A27" s="1719" t="str">
        <f t="shared" si="1"/>
        <v>DC1</v>
      </c>
      <c r="B27" s="1721" t="str">
        <f t="shared" si="1"/>
        <v>A</v>
      </c>
      <c r="C27" s="571"/>
      <c r="D27" s="341">
        <v>90</v>
      </c>
      <c r="E27" s="345">
        <v>897.35400000000004</v>
      </c>
      <c r="F27" s="346" t="s">
        <v>923</v>
      </c>
      <c r="G27" s="345">
        <v>897.34799999999996</v>
      </c>
      <c r="H27" s="346" t="s">
        <v>923</v>
      </c>
      <c r="I27" s="1702">
        <f t="shared" si="2"/>
        <v>897.351</v>
      </c>
      <c r="J27" s="1703"/>
      <c r="K27" s="1703"/>
      <c r="L27" s="351" t="str">
        <f t="shared" si="3"/>
        <v>mA</v>
      </c>
      <c r="M27" s="1704">
        <f t="shared" si="4"/>
        <v>2.6489999999999726E-3</v>
      </c>
      <c r="N27" s="1705"/>
      <c r="O27" s="1705"/>
      <c r="P27" s="1706"/>
      <c r="Q27" s="354">
        <f t="shared" si="0"/>
        <v>6.0000000000854929E-6</v>
      </c>
      <c r="R27" s="1812"/>
      <c r="S27" s="1766"/>
      <c r="T27" s="1768"/>
      <c r="U27" s="1768"/>
      <c r="W27" s="1788" t="str">
        <f t="shared" si="5"/>
        <v>DC1</v>
      </c>
      <c r="X27" s="1752" t="str">
        <f t="shared" si="6"/>
        <v>A</v>
      </c>
      <c r="Y27" s="586"/>
      <c r="Z27" s="584">
        <v>90</v>
      </c>
      <c r="AA27" s="1759" t="e">
        <f>IF(#REF!="/","/",IF(OR(LEFT(X27,1)=#REF!,(X27="A")*(#REF!=""),(X27="V")*(#REF!="")),(Z27-#REF!*100/IF(OR(LEFT(W27,1)="A",LEFT(W27,1)="D"),MID(W27,3,LEN(W27)-2),MID(W27,1,LEN(W27))))/100,IF(OR((X27="mA")*(#REF!=""),(X27="mV")*(#REF!=""),(X27="µA")*(#REF!="m"),(X27="µV")*(#REF!="m")),(Z27-#REF!*100/IF(OR(LEFT(W27,1)="A",LEFT(W27,1)="D"),MID(W27,3,LEN(W27)-2),MID(W27,1,LEN(W27)))*1000)/100,IF(OR((X27="mA")*(#REF!="µ"),(X27="mV")*(#REF!="µ"),(X27="A")*(#REF!="mA"),(X27="V")*(#REF!="m")),(Z27-#REF!*100/IF(OR(LEFT(W27,1)="A",LEFT(W27,1)="D"),MID(W27,3,LEN(W27)-2),MID(W27,1,LEN(W27)))/1000)/100,"/"))))</f>
        <v>#REF!</v>
      </c>
      <c r="AB27" s="1760"/>
      <c r="AC27" s="1760"/>
      <c r="AD27" s="1761"/>
      <c r="AE27" s="587" t="e">
        <f>IF(#REF!="/","/",IF(#REF!=#REF!,IF(OR((X27="A")*(#REF!=""),(X27="V")*(#REF!=""),LEFT(X27,1)=#REF!),ABS(#REF!-#REF!)/IF(OR(LEFT(W27,1)="A",LEFT(W27,1)="D"),MID(W27,3,LEN(W27)-2),MID(W27,1,LEN(W27))),IF(OR(X27="A",X27="V",#REF!="µ"),ABS(#REF!-#REF!)/1000/IF(OR(LEFT(W27,1)="A",LEFT(W27,1)="D"),MID(W27,3,LEN(W27)-2),MID(W27,1,LEN(W27))),ABS(#REF!-#REF!)*1000/IF(OR(LEFT(W27,1)="A",LEFT(W27,1)="D"),MID(W27,3,LEN(W27)-2),MID(W27,1,LEN(W27))))),IF(OR((X27="A")*(#REF!=""),(X27="V")*(#REF!=""),LEFT(X27,1)=#REF!),IF(OR(X27="A",X27="V"),ABS(#REF!-#REF!/1000)/IF(OR(LEFT(W27,1)="A",LEFT(W27,1)="D"),MID(W27,3,LEN(W27)-2),MID(W27,1,LEN(W27))),ABS(#REF!-#REF!*1000)/IF(OR(LEFT(W27,1)="A",LEFT(W27,1)="D"),MID(W27,3,LEN(W27)-2),MID(W27,1,LEN(W27)))),IF(OR(X27="A",X27="V",#REF!="µ"),ABS(#REF!/1000-#REF!)/IF(OR(LEFT(W27,1)="A",LEFT(W27,1)="D"),MID(W27,3,LEN(W27)-2),MID(W27,1,LEN(W27))),ABS(#REF!*1000-#REF!)/IF(OR(LEFT(W27,1)="A",LEFT(W27,1)="D"),MID(W27,3,LEN(W27)-2),MID(W27,1,LEN(W27)))))))</f>
        <v>#REF!</v>
      </c>
      <c r="AF27" s="415"/>
      <c r="AI27" s="1788" t="str">
        <f t="shared" si="7"/>
        <v>DC1</v>
      </c>
      <c r="AJ27" s="1752" t="str">
        <f t="shared" si="8"/>
        <v>A</v>
      </c>
      <c r="AK27" s="1794"/>
      <c r="AL27" s="584">
        <v>90</v>
      </c>
      <c r="AM27" s="1759" t="e">
        <f>IF(#REF!="/","/",IF(OR(LEFT(AJ27,1)=#REF!,(AJ27="A")*(#REF!=""),(AJ27="V")*(#REF!="")),(AL27-#REF!*100/IF(OR(LEFT(AI27,1)="A",LEFT(AI27,1)="D"),MID(AI27,3,LEN(AI27)-2),MID(AI27,1,LEN(AI27))))/100,IF(OR((AJ27="mA")*(#REF!=""),(AJ27="mV")*(#REF!=""),(AJ27="µA")*(#REF!="m"),(AJ27="µV")*(#REF!="m")),(AL27-#REF!*100/IF(OR(LEFT(AI27,1)="A",LEFT(AI27,1)="D"),MID(AI27,3,LEN(AI27)-2),MID(AI27,1,LEN(AI27)))*1000)/100,IF(OR((AJ27="mA")*(#REF!="µ"),(AJ27="mV")*(#REF!="µ"),(AJ27="A")*(#REF!="mA"),(AJ27="V")*(#REF!="m")),(AL27-#REF!*100/IF(OR(LEFT(AI27,1)="A",LEFT(AI27,1)="D"),MID(AI27,3,LEN(AI27)-2),MID(AI27,1,LEN(AI27)))/1000)/100,"/"))))</f>
        <v>#REF!</v>
      </c>
      <c r="AN27" s="1760"/>
      <c r="AO27" s="1760"/>
      <c r="AP27" s="1761"/>
      <c r="AQ27" s="587" t="e">
        <f>IF(#REF!="/","/",IF(#REF!=#REF!,IF(OR((AJ27="A")*(#REF!=""),(AJ27="V")*(#REF!=""),LEFT(AJ27,1)=#REF!),ABS(#REF!-#REF!)/IF(OR(LEFT(AI27,1)="A",LEFT(AI27,1)="D"),MID(AI27,3,LEN(AI27)-2),MID(AI27,1,LEN(AI27))),IF(OR(AJ27="A",AJ27="V",#REF!="µ"),ABS(#REF!-#REF!)/1000/IF(OR(LEFT(AI27,1)="A",LEFT(AI27,1)="D"),MID(AI27,3,LEN(AI27)-2),MID(AI27,1,LEN(AI27))),ABS(#REF!-#REF!)*1000/IF(OR(LEFT(AI27,1)="A",LEFT(AI27,1)="D"),MID(AI27,3,LEN(AI27)-2),MID(AI27,1,LEN(AI27))))),IF(OR((AJ27="A")*(#REF!=""),(AJ27="V")*(#REF!=""),LEFT(AJ27,1)=#REF!),IF(OR(AJ27="A",AJ27="V"),ABS(#REF!-#REF!/1000)/IF(OR(LEFT(AI27,1)="A",LEFT(AI27,1)="D"),MID(AI27,3,LEN(AI27)-2),MID(AI27,1,LEN(AI27))),ABS(#REF!-#REF!*1000)/IF(OR(LEFT(AI27,1)="A",LEFT(AI27,1)="D"),MID(AI27,3,LEN(AI27)-2),MID(AI27,1,LEN(AI27)))),IF(OR(AJ27="A",AJ27="V",#REF!="µ"),ABS(#REF!/1000-#REF!)/IF(OR(LEFT(AI27,1)="A",LEFT(AI27,1)="D"),MID(AI27,3,LEN(AI27)-2),MID(AI27,1,LEN(AI27))),ABS(#REF!*1000-#REF!)/IF(OR(LEFT(AI27,1)="A",LEFT(AI27,1)="D"),MID(AI27,3,LEN(AI27)-2),MID(AI27,1,LEN(AI27)))))))</f>
        <v>#REF!</v>
      </c>
      <c r="AR27" s="1793"/>
    </row>
    <row r="28" spans="1:44" s="13" customFormat="1" ht="18.600000000000001" customHeight="1" outlineLevel="1">
      <c r="A28" s="1719" t="str">
        <f t="shared" si="1"/>
        <v>DC1</v>
      </c>
      <c r="B28" s="1722" t="str">
        <f t="shared" si="1"/>
        <v>A</v>
      </c>
      <c r="C28" s="572"/>
      <c r="D28" s="341">
        <v>100</v>
      </c>
      <c r="E28" s="345">
        <v>994.47299999999996</v>
      </c>
      <c r="F28" s="346" t="s">
        <v>923</v>
      </c>
      <c r="G28" s="345">
        <v>995.45299999999997</v>
      </c>
      <c r="H28" s="346" t="s">
        <v>923</v>
      </c>
      <c r="I28" s="1702">
        <f t="shared" si="2"/>
        <v>994.96299999999997</v>
      </c>
      <c r="J28" s="1703"/>
      <c r="K28" s="1703"/>
      <c r="L28" s="351" t="str">
        <f t="shared" si="3"/>
        <v>mA</v>
      </c>
      <c r="M28" s="1704">
        <f t="shared" si="4"/>
        <v>5.0369999999999495E-3</v>
      </c>
      <c r="N28" s="1705"/>
      <c r="O28" s="1705"/>
      <c r="P28" s="1706"/>
      <c r="Q28" s="354">
        <f t="shared" si="0"/>
        <v>9.8000000000001818E-4</v>
      </c>
      <c r="R28" s="1813"/>
      <c r="S28" s="1767"/>
      <c r="T28" s="1769"/>
      <c r="U28" s="1769"/>
      <c r="W28" s="1773" t="str">
        <f t="shared" si="5"/>
        <v>DC1</v>
      </c>
      <c r="X28" s="1753" t="str">
        <f t="shared" si="6"/>
        <v>A</v>
      </c>
      <c r="Y28" s="588"/>
      <c r="Z28" s="584">
        <v>100</v>
      </c>
      <c r="AA28" s="1759" t="e">
        <f>IF(#REF!="/","/",IF(OR(LEFT(X28,1)=#REF!,(X28="A")*(#REF!=""),(X28="V")*(#REF!="")),(Z28-#REF!*100/IF(OR(LEFT(W28,1)="A",LEFT(W28,1)="D"),MID(W28,3,LEN(W28)-2),MID(W28,1,LEN(W28))))/100,IF(OR((X28="mA")*(#REF!=""),(X28="mV")*(#REF!=""),(X28="µA")*(#REF!="m"),(X28="µV")*(#REF!="m")),(Z28-#REF!*100/IF(OR(LEFT(W28,1)="A",LEFT(W28,1)="D"),MID(W28,3,LEN(W28)-2),MID(W28,1,LEN(W28)))*1000)/100,IF(OR((X28="mA")*(#REF!="µ"),(X28="mV")*(#REF!="µ"),(X28="A")*(#REF!="mA"),(X28="V")*(#REF!="m")),(Z28-#REF!*100/IF(OR(LEFT(W28,1)="A",LEFT(W28,1)="D"),MID(W28,3,LEN(W28)-2),MID(W28,1,LEN(W28)))/1000)/100,"/"))))</f>
        <v>#REF!</v>
      </c>
      <c r="AB28" s="1760"/>
      <c r="AC28" s="1760"/>
      <c r="AD28" s="1761"/>
      <c r="AE28" s="587" t="e">
        <f>IF(#REF!="/","/",IF(#REF!=#REF!,IF(OR((X28="A")*(#REF!=""),(X28="V")*(#REF!=""),LEFT(X28,1)=#REF!),ABS(#REF!-#REF!)/IF(OR(LEFT(W28,1)="A",LEFT(W28,1)="D"),MID(W28,3,LEN(W28)-2),MID(W28,1,LEN(W28))),IF(OR(X28="A",X28="V",#REF!="µ"),ABS(#REF!-#REF!)/1000/IF(OR(LEFT(W28,1)="A",LEFT(W28,1)="D"),MID(W28,3,LEN(W28)-2),MID(W28,1,LEN(W28))),ABS(#REF!-#REF!)*1000/IF(OR(LEFT(W28,1)="A",LEFT(W28,1)="D"),MID(W28,3,LEN(W28)-2),MID(W28,1,LEN(W28))))),IF(OR((X28="A")*(#REF!=""),(X28="V")*(#REF!=""),LEFT(X28,1)=#REF!),IF(OR(X28="A",X28="V"),ABS(#REF!-#REF!/1000)/IF(OR(LEFT(W28,1)="A",LEFT(W28,1)="D"),MID(W28,3,LEN(W28)-2),MID(W28,1,LEN(W28))),ABS(#REF!-#REF!*1000)/IF(OR(LEFT(W28,1)="A",LEFT(W28,1)="D"),MID(W28,3,LEN(W28)-2),MID(W28,1,LEN(W28)))),IF(OR(X28="A",X28="V",#REF!="µ"),ABS(#REF!/1000-#REF!)/IF(OR(LEFT(W28,1)="A",LEFT(W28,1)="D"),MID(W28,3,LEN(W28)-2),MID(W28,1,LEN(W28))),ABS(#REF!*1000-#REF!)/IF(OR(LEFT(W28,1)="A",LEFT(W28,1)="D"),MID(W28,3,LEN(W28)-2),MID(W28,1,LEN(W28)))))))</f>
        <v>#REF!</v>
      </c>
      <c r="AF28" s="415"/>
      <c r="AI28" s="1773" t="str">
        <f t="shared" si="7"/>
        <v>DC1</v>
      </c>
      <c r="AJ28" s="1753" t="str">
        <f t="shared" si="8"/>
        <v>A</v>
      </c>
      <c r="AK28" s="1775"/>
      <c r="AL28" s="584">
        <v>100</v>
      </c>
      <c r="AM28" s="1759" t="e">
        <f>IF(#REF!="/","/",IF(OR(LEFT(AJ28,1)=#REF!,(AJ28="A")*(#REF!=""),(AJ28="V")*(#REF!="")),(AL28-#REF!*100/IF(OR(LEFT(AI28,1)="A",LEFT(AI28,1)="D"),MID(AI28,3,LEN(AI28)-2),MID(AI28,1,LEN(AI28))))/100,IF(OR((AJ28="mA")*(#REF!=""),(AJ28="mV")*(#REF!=""),(AJ28="µA")*(#REF!="m"),(AJ28="µV")*(#REF!="m")),(AL28-#REF!*100/IF(OR(LEFT(AI28,1)="A",LEFT(AI28,1)="D"),MID(AI28,3,LEN(AI28)-2),MID(AI28,1,LEN(AI28)))*1000)/100,IF(OR((AJ28="mA")*(#REF!="µ"),(AJ28="mV")*(#REF!="µ"),(AJ28="A")*(#REF!="mA"),(AJ28="V")*(#REF!="m")),(AL28-#REF!*100/IF(OR(LEFT(AI28,1)="A",LEFT(AI28,1)="D"),MID(AI28,3,LEN(AI28)-2),MID(AI28,1,LEN(AI28)))/1000)/100,"/"))))</f>
        <v>#REF!</v>
      </c>
      <c r="AN28" s="1760"/>
      <c r="AO28" s="1760"/>
      <c r="AP28" s="1761"/>
      <c r="AQ28" s="587" t="e">
        <f>IF(#REF!="/","/",IF(#REF!=#REF!,IF(OR((AJ28="A")*(#REF!=""),(AJ28="V")*(#REF!=""),LEFT(AJ28,1)=#REF!),ABS(#REF!-#REF!)/IF(OR(LEFT(AI28,1)="A",LEFT(AI28,1)="D"),MID(AI28,3,LEN(AI28)-2),MID(AI28,1,LEN(AI28))),IF(OR(AJ28="A",AJ28="V",#REF!="µ"),ABS(#REF!-#REF!)/1000/IF(OR(LEFT(AI28,1)="A",LEFT(AI28,1)="D"),MID(AI28,3,LEN(AI28)-2),MID(AI28,1,LEN(AI28))),ABS(#REF!-#REF!)*1000/IF(OR(LEFT(AI28,1)="A",LEFT(AI28,1)="D"),MID(AI28,3,LEN(AI28)-2),MID(AI28,1,LEN(AI28))))),IF(OR((AJ28="A")*(#REF!=""),(AJ28="V")*(#REF!=""),LEFT(AJ28,1)=#REF!),IF(OR(AJ28="A",AJ28="V"),ABS(#REF!-#REF!/1000)/IF(OR(LEFT(AI28,1)="A",LEFT(AI28,1)="D"),MID(AI28,3,LEN(AI28)-2),MID(AI28,1,LEN(AI28))),ABS(#REF!-#REF!*1000)/IF(OR(LEFT(AI28,1)="A",LEFT(AI28,1)="D"),MID(AI28,3,LEN(AI28)-2),MID(AI28,1,LEN(AI28)))),IF(OR(AJ28="A",AJ28="V",#REF!="µ"),ABS(#REF!/1000-#REF!)/IF(OR(LEFT(AI28,1)="A",LEFT(AI28,1)="D"),MID(AI28,3,LEN(AI28)-2),MID(AI28,1,LEN(AI28))),ABS(#REF!*1000-#REF!)/IF(OR(LEFT(AI28,1)="A",LEFT(AI28,1)="D"),MID(AI28,3,LEN(AI28)-2),MID(AI28,1,LEN(AI28)))))))</f>
        <v>#REF!</v>
      </c>
      <c r="AR28" s="1716"/>
    </row>
    <row r="29" spans="1:44" s="13" customFormat="1" ht="18.600000000000001" customHeight="1" outlineLevel="1">
      <c r="A29" s="1717" t="s">
        <v>936</v>
      </c>
      <c r="B29" s="1707" t="s">
        <v>924</v>
      </c>
      <c r="C29" s="1795">
        <v>0.5</v>
      </c>
      <c r="D29" s="341">
        <v>100</v>
      </c>
      <c r="E29" s="345">
        <v>1.99149</v>
      </c>
      <c r="F29" s="346" t="s">
        <v>924</v>
      </c>
      <c r="G29" s="345">
        <v>1.9915499999999999</v>
      </c>
      <c r="H29" s="346" t="s">
        <v>924</v>
      </c>
      <c r="I29" s="1702">
        <f t="shared" si="2"/>
        <v>1.99152</v>
      </c>
      <c r="J29" s="1703"/>
      <c r="K29" s="1703"/>
      <c r="L29" s="351" t="str">
        <f t="shared" si="3"/>
        <v>A</v>
      </c>
      <c r="M29" s="1704">
        <f t="shared" si="4"/>
        <v>4.2400000000000658E-3</v>
      </c>
      <c r="N29" s="1705"/>
      <c r="O29" s="1705"/>
      <c r="P29" s="1706"/>
      <c r="Q29" s="354">
        <f t="shared" si="0"/>
        <v>2.9999999999974492E-5</v>
      </c>
      <c r="R29" s="1715">
        <f>2*U29</f>
        <v>0</v>
      </c>
      <c r="S29" s="1754">
        <f>[1]不确定度评定附表!N11</f>
        <v>0</v>
      </c>
      <c r="T29" s="1754">
        <f>[1]不确定度评定附表!P11</f>
        <v>0</v>
      </c>
      <c r="U29" s="1754">
        <f>[1]不确定度评定附表!R11</f>
        <v>0</v>
      </c>
      <c r="W29" s="1772" t="s">
        <v>936</v>
      </c>
      <c r="X29" s="1751" t="s">
        <v>924</v>
      </c>
      <c r="Y29" s="589">
        <v>0.5</v>
      </c>
      <c r="Z29" s="584">
        <v>100</v>
      </c>
      <c r="AA29" s="1759" t="e">
        <f>IF(#REF!="/","/",IF(OR(LEFT(X29,1)=#REF!,(X29="A")*(#REF!=""),(X29="V")*(#REF!="")),(Z29-#REF!*100/IF(OR(LEFT(W29,1)="A",LEFT(W29,1)="D"),MID(W29,3,LEN(W29)-2),MID(W29,1,LEN(W29))))/100,IF(OR((X29="mA")*(#REF!=""),(X29="mV")*(#REF!=""),(X29="µA")*(#REF!="m"),(X29="µV")*(#REF!="m")),(Z29-#REF!*100/IF(OR(LEFT(W29,1)="A",LEFT(W29,1)="D"),MID(W29,3,LEN(W29)-2),MID(W29,1,LEN(W29)))*1000)/100,IF(OR((X29="mA")*(#REF!="µ"),(X29="mV")*(#REF!="µ"),(X29="A")*(#REF!="mA"),(X29="V")*(#REF!="m")),(Z29-#REF!*100/IF(OR(LEFT(W29,1)="A",LEFT(W29,1)="D"),MID(W29,3,LEN(W29)-2),MID(W29,1,LEN(W29)))/1000)/100,"/"))))</f>
        <v>#REF!</v>
      </c>
      <c r="AB29" s="1760"/>
      <c r="AC29" s="1760"/>
      <c r="AD29" s="1761"/>
      <c r="AE29" s="587" t="e">
        <f>IF(#REF!="/","/",IF(#REF!=#REF!,IF(OR((X29="A")*(#REF!=""),(X29="V")*(#REF!=""),LEFT(X29,1)=#REF!),ABS(#REF!-#REF!)/IF(OR(LEFT(W29,1)="A",LEFT(W29,1)="D"),MID(W29,3,LEN(W29)-2),MID(W29,1,LEN(W29))),IF(OR(X29="A",X29="V",#REF!="µ"),ABS(#REF!-#REF!)/1000/IF(OR(LEFT(W29,1)="A",LEFT(W29,1)="D"),MID(W29,3,LEN(W29)-2),MID(W29,1,LEN(W29))),ABS(#REF!-#REF!)*1000/IF(OR(LEFT(W29,1)="A",LEFT(W29,1)="D"),MID(W29,3,LEN(W29)-2),MID(W29,1,LEN(W29))))),IF(OR((X29="A")*(#REF!=""),(X29="V")*(#REF!=""),LEFT(X29,1)=#REF!),IF(OR(X29="A",X29="V"),ABS(#REF!-#REF!/1000)/IF(OR(LEFT(W29,1)="A",LEFT(W29,1)="D"),MID(W29,3,LEN(W29)-2),MID(W29,1,LEN(W29))),ABS(#REF!-#REF!*1000)/IF(OR(LEFT(W29,1)="A",LEFT(W29,1)="D"),MID(W29,3,LEN(W29)-2),MID(W29,1,LEN(W29)))),IF(OR(X29="A",X29="V",#REF!="µ"),ABS(#REF!/1000-#REF!)/IF(OR(LEFT(W29,1)="A",LEFT(W29,1)="D"),MID(W29,3,LEN(W29)-2),MID(W29,1,LEN(W29))),ABS(#REF!*1000-#REF!)/IF(OR(LEFT(W29,1)="A",LEFT(W29,1)="D"),MID(W29,3,LEN(W29)-2),MID(W29,1,LEN(W29)))))))</f>
        <v>#REF!</v>
      </c>
      <c r="AF29" s="415"/>
      <c r="AI29" s="1772" t="s">
        <v>936</v>
      </c>
      <c r="AJ29" s="1751" t="s">
        <v>924</v>
      </c>
      <c r="AK29" s="1774">
        <v>0.5</v>
      </c>
      <c r="AL29" s="584">
        <v>100</v>
      </c>
      <c r="AM29" s="1759" t="e">
        <f>IF(#REF!="/","/",IF(OR(LEFT(AJ29,1)=#REF!,(AJ29="A")*(#REF!=""),(AJ29="V")*(#REF!="")),(AL29-#REF!*100/IF(OR(LEFT(AI29,1)="A",LEFT(AI29,1)="D"),MID(AI29,3,LEN(AI29)-2),MID(AI29,1,LEN(AI29))))/100,IF(OR((AJ29="mA")*(#REF!=""),(AJ29="mV")*(#REF!=""),(AJ29="µA")*(#REF!="m"),(AJ29="µV")*(#REF!="m")),(AL29-#REF!*100/IF(OR(LEFT(AI29,1)="A",LEFT(AI29,1)="D"),MID(AI29,3,LEN(AI29)-2),MID(AI29,1,LEN(AI29)))*1000)/100,IF(OR((AJ29="mA")*(#REF!="µ"),(AJ29="mV")*(#REF!="µ"),(AJ29="A")*(#REF!="mA"),(AJ29="V")*(#REF!="m")),(AL29-#REF!*100/IF(OR(LEFT(AI29,1)="A",LEFT(AI29,1)="D"),MID(AI29,3,LEN(AI29)-2),MID(AI29,1,LEN(AI29)))/1000)/100,"/"))))</f>
        <v>#REF!</v>
      </c>
      <c r="AN29" s="1760"/>
      <c r="AO29" s="1760"/>
      <c r="AP29" s="1761"/>
      <c r="AQ29" s="587" t="e">
        <f>IF(#REF!="/","/",IF(#REF!=#REF!,IF(OR((AJ29="A")*(#REF!=""),(AJ29="V")*(#REF!=""),LEFT(AJ29,1)=#REF!),ABS(#REF!-#REF!)/IF(OR(LEFT(AI29,1)="A",LEFT(AI29,1)="D"),MID(AI29,3,LEN(AI29)-2),MID(AI29,1,LEN(AI29))),IF(OR(AJ29="A",AJ29="V",#REF!="µ"),ABS(#REF!-#REF!)/1000/IF(OR(LEFT(AI29,1)="A",LEFT(AI29,1)="D"),MID(AI29,3,LEN(AI29)-2),MID(AI29,1,LEN(AI29))),ABS(#REF!-#REF!)*1000/IF(OR(LEFT(AI29,1)="A",LEFT(AI29,1)="D"),MID(AI29,3,LEN(AI29)-2),MID(AI29,1,LEN(AI29))))),IF(OR((AJ29="A")*(#REF!=""),(AJ29="V")*(#REF!=""),LEFT(AJ29,1)=#REF!),IF(OR(AJ29="A",AJ29="V"),ABS(#REF!-#REF!/1000)/IF(OR(LEFT(AI29,1)="A",LEFT(AI29,1)="D"),MID(AI29,3,LEN(AI29)-2),MID(AI29,1,LEN(AI29))),ABS(#REF!-#REF!*1000)/IF(OR(LEFT(AI29,1)="A",LEFT(AI29,1)="D"),MID(AI29,3,LEN(AI29)-2),MID(AI29,1,LEN(AI29)))),IF(OR(AJ29="A",AJ29="V",#REF!="µ"),ABS(#REF!/1000-#REF!)/IF(OR(LEFT(AI29,1)="A",LEFT(AI29,1)="D"),MID(AI29,3,LEN(AI29)-2),MID(AI29,1,LEN(AI29))),ABS(#REF!*1000-#REF!)/IF(OR(LEFT(AI29,1)="A",LEFT(AI29,1)="D"),MID(AI29,3,LEN(AI29)-2),MID(AI29,1,LEN(AI29)))))))</f>
        <v>#REF!</v>
      </c>
      <c r="AR29" s="1715">
        <f>2*AU29</f>
        <v>0</v>
      </c>
    </row>
    <row r="30" spans="1:44" s="13" customFormat="1" ht="18.600000000000001" customHeight="1" outlineLevel="1">
      <c r="A30" s="1717" t="str">
        <f>A29</f>
        <v>DC2</v>
      </c>
      <c r="B30" s="1707" t="str">
        <f>B29</f>
        <v>A</v>
      </c>
      <c r="C30" s="1796"/>
      <c r="D30" s="341">
        <v>90</v>
      </c>
      <c r="E30" s="345">
        <v>1.7926500000000001</v>
      </c>
      <c r="F30" s="346" t="s">
        <v>924</v>
      </c>
      <c r="G30" s="345">
        <v>1.79271</v>
      </c>
      <c r="H30" s="346" t="s">
        <v>924</v>
      </c>
      <c r="I30" s="1702">
        <f t="shared" si="2"/>
        <v>1.7926800000000001</v>
      </c>
      <c r="J30" s="1703"/>
      <c r="K30" s="1703"/>
      <c r="L30" s="351" t="str">
        <f t="shared" si="3"/>
        <v>A</v>
      </c>
      <c r="M30" s="1704">
        <f t="shared" si="4"/>
        <v>3.6599999999999966E-3</v>
      </c>
      <c r="N30" s="1705"/>
      <c r="O30" s="1705"/>
      <c r="P30" s="1706"/>
      <c r="Q30" s="354">
        <f t="shared" si="0"/>
        <v>2.9999999999974492E-5</v>
      </c>
      <c r="R30" s="1716"/>
      <c r="S30" s="1755"/>
      <c r="T30" s="1755"/>
      <c r="U30" s="1755"/>
      <c r="W30" s="1773" t="str">
        <f>W29</f>
        <v>DC2</v>
      </c>
      <c r="X30" s="1753" t="str">
        <f>X29</f>
        <v>A</v>
      </c>
      <c r="Y30" s="588"/>
      <c r="Z30" s="584">
        <v>90</v>
      </c>
      <c r="AA30" s="1759" t="e">
        <f>IF(#REF!="/","/",IF(OR(LEFT(X30,1)=#REF!,(X30="A")*(#REF!=""),(X30="V")*(#REF!="")),(Z30-#REF!*100/IF(OR(LEFT(W30,1)="A",LEFT(W30,1)="D"),MID(W30,3,LEN(W30)-2),MID(W30,1,LEN(W30))))/100,IF(OR((X30="mA")*(#REF!=""),(X30="mV")*(#REF!=""),(X30="µA")*(#REF!="m"),(X30="µV")*(#REF!="m")),(Z30-#REF!*100/IF(OR(LEFT(W30,1)="A",LEFT(W30,1)="D"),MID(W30,3,LEN(W30)-2),MID(W30,1,LEN(W30)))*1000)/100,IF(OR((X30="mA")*(#REF!="µ"),(X30="mV")*(#REF!="µ"),(X30="A")*(#REF!="mA"),(X30="V")*(#REF!="m")),(Z30-#REF!*100/IF(OR(LEFT(W30,1)="A",LEFT(W30,1)="D"),MID(W30,3,LEN(W30)-2),MID(W30,1,LEN(W30)))/1000)/100,"/"))))</f>
        <v>#REF!</v>
      </c>
      <c r="AB30" s="1760"/>
      <c r="AC30" s="1760"/>
      <c r="AD30" s="1761"/>
      <c r="AE30" s="587" t="e">
        <f>IF(#REF!="/","/",IF(#REF!=#REF!,IF(OR((X30="A")*(#REF!=""),(X30="V")*(#REF!=""),LEFT(X30,1)=#REF!),ABS(#REF!-#REF!)/IF(OR(LEFT(W30,1)="A",LEFT(W30,1)="D"),MID(W30,3,LEN(W30)-2),MID(W30,1,LEN(W30))),IF(OR(X30="A",X30="V",#REF!="µ"),ABS(#REF!-#REF!)/1000/IF(OR(LEFT(W30,1)="A",LEFT(W30,1)="D"),MID(W30,3,LEN(W30)-2),MID(W30,1,LEN(W30))),ABS(#REF!-#REF!)*1000/IF(OR(LEFT(W30,1)="A",LEFT(W30,1)="D"),MID(W30,3,LEN(W30)-2),MID(W30,1,LEN(W30))))),IF(OR((X30="A")*(#REF!=""),(X30="V")*(#REF!=""),LEFT(X30,1)=#REF!),IF(OR(X30="A",X30="V"),ABS(#REF!-#REF!/1000)/IF(OR(LEFT(W30,1)="A",LEFT(W30,1)="D"),MID(W30,3,LEN(W30)-2),MID(W30,1,LEN(W30))),ABS(#REF!-#REF!*1000)/IF(OR(LEFT(W30,1)="A",LEFT(W30,1)="D"),MID(W30,3,LEN(W30)-2),MID(W30,1,LEN(W30)))),IF(OR(X30="A",X30="V",#REF!="µ"),ABS(#REF!/1000-#REF!)/IF(OR(LEFT(W30,1)="A",LEFT(W30,1)="D"),MID(W30,3,LEN(W30)-2),MID(W30,1,LEN(W30))),ABS(#REF!*1000-#REF!)/IF(OR(LEFT(W30,1)="A",LEFT(W30,1)="D"),MID(W30,3,LEN(W30)-2),MID(W30,1,LEN(W30)))))))</f>
        <v>#REF!</v>
      </c>
      <c r="AF30" s="415"/>
      <c r="AI30" s="1773" t="str">
        <f>AI29</f>
        <v>DC2</v>
      </c>
      <c r="AJ30" s="1753" t="str">
        <f>AJ29</f>
        <v>A</v>
      </c>
      <c r="AK30" s="1775"/>
      <c r="AL30" s="584">
        <v>90</v>
      </c>
      <c r="AM30" s="1759" t="e">
        <f>IF(#REF!="/","/",IF(OR(LEFT(AJ30,1)=#REF!,(AJ30="A")*(#REF!=""),(AJ30="V")*(#REF!="")),(AL30-#REF!*100/IF(OR(LEFT(AI30,1)="A",LEFT(AI30,1)="D"),MID(AI30,3,LEN(AI30)-2),MID(AI30,1,LEN(AI30))))/100,IF(OR((AJ30="mA")*(#REF!=""),(AJ30="mV")*(#REF!=""),(AJ30="µA")*(#REF!="m"),(AJ30="µV")*(#REF!="m")),(AL30-#REF!*100/IF(OR(LEFT(AI30,1)="A",LEFT(AI30,1)="D"),MID(AI30,3,LEN(AI30)-2),MID(AI30,1,LEN(AI30)))*1000)/100,IF(OR((AJ30="mA")*(#REF!="µ"),(AJ30="mV")*(#REF!="µ"),(AJ30="A")*(#REF!="mA"),(AJ30="V")*(#REF!="m")),(AL30-#REF!*100/IF(OR(LEFT(AI30,1)="A",LEFT(AI30,1)="D"),MID(AI30,3,LEN(AI30)-2),MID(AI30,1,LEN(AI30)))/1000)/100,"/"))))</f>
        <v>#REF!</v>
      </c>
      <c r="AN30" s="1760"/>
      <c r="AO30" s="1760"/>
      <c r="AP30" s="1761"/>
      <c r="AQ30" s="587" t="e">
        <f>IF(#REF!="/","/",IF(#REF!=#REF!,IF(OR((AJ30="A")*(#REF!=""),(AJ30="V")*(#REF!=""),LEFT(AJ30,1)=#REF!),ABS(#REF!-#REF!)/IF(OR(LEFT(AI30,1)="A",LEFT(AI30,1)="D"),MID(AI30,3,LEN(AI30)-2),MID(AI30,1,LEN(AI30))),IF(OR(AJ30="A",AJ30="V",#REF!="µ"),ABS(#REF!-#REF!)/1000/IF(OR(LEFT(AI30,1)="A",LEFT(AI30,1)="D"),MID(AI30,3,LEN(AI30)-2),MID(AI30,1,LEN(AI30))),ABS(#REF!-#REF!)*1000/IF(OR(LEFT(AI30,1)="A",LEFT(AI30,1)="D"),MID(AI30,3,LEN(AI30)-2),MID(AI30,1,LEN(AI30))))),IF(OR((AJ30="A")*(#REF!=""),(AJ30="V")*(#REF!=""),LEFT(AJ30,1)=#REF!),IF(OR(AJ30="A",AJ30="V"),ABS(#REF!-#REF!/1000)/IF(OR(LEFT(AI30,1)="A",LEFT(AI30,1)="D"),MID(AI30,3,LEN(AI30)-2),MID(AI30,1,LEN(AI30))),ABS(#REF!-#REF!*1000)/IF(OR(LEFT(AI30,1)="A",LEFT(AI30,1)="D"),MID(AI30,3,LEN(AI30)-2),MID(AI30,1,LEN(AI30)))),IF(OR(AJ30="A",AJ30="V",#REF!="µ"),ABS(#REF!/1000-#REF!)/IF(OR(LEFT(AI30,1)="A",LEFT(AI30,1)="D"),MID(AI30,3,LEN(AI30)-2),MID(AI30,1,LEN(AI30))),ABS(#REF!*1000-#REF!)/IF(OR(LEFT(AI30,1)="A",LEFT(AI30,1)="D"),MID(AI30,3,LEN(AI30)-2),MID(AI30,1,LEN(AI30)))))))</f>
        <v>#REF!</v>
      </c>
      <c r="AR30" s="1716"/>
    </row>
    <row r="31" spans="1:44" s="13" customFormat="1" ht="18.600000000000001" customHeight="1" outlineLevel="1">
      <c r="A31" s="1717" t="s">
        <v>937</v>
      </c>
      <c r="B31" s="1707" t="s">
        <v>924</v>
      </c>
      <c r="C31" s="1795">
        <v>0.5</v>
      </c>
      <c r="D31" s="341">
        <f>D29</f>
        <v>100</v>
      </c>
      <c r="E31" s="345">
        <v>1.9938199999999999</v>
      </c>
      <c r="F31" s="346" t="s">
        <v>924</v>
      </c>
      <c r="G31" s="345">
        <v>1.9937199999999999</v>
      </c>
      <c r="H31" s="346" t="s">
        <v>924</v>
      </c>
      <c r="I31" s="1702">
        <f t="shared" si="2"/>
        <v>1.99377</v>
      </c>
      <c r="J31" s="1703"/>
      <c r="K31" s="1703"/>
      <c r="L31" s="351" t="str">
        <f t="shared" si="3"/>
        <v>A</v>
      </c>
      <c r="M31" s="1704">
        <f t="shared" si="4"/>
        <v>3.1149999999999524E-3</v>
      </c>
      <c r="N31" s="1705"/>
      <c r="O31" s="1705"/>
      <c r="P31" s="1706"/>
      <c r="Q31" s="354">
        <f t="shared" si="0"/>
        <v>4.9999999999994493E-5</v>
      </c>
      <c r="R31" s="1715">
        <f>2*U31</f>
        <v>0</v>
      </c>
      <c r="S31" s="1754">
        <f>[1]不确定度评定附表!N19</f>
        <v>0</v>
      </c>
      <c r="T31" s="1754">
        <f>[1]不确定度评定附表!P19</f>
        <v>0</v>
      </c>
      <c r="U31" s="1754">
        <f>[1]不确定度评定附表!R19</f>
        <v>0</v>
      </c>
      <c r="W31" s="1772" t="s">
        <v>937</v>
      </c>
      <c r="X31" s="1751" t="s">
        <v>924</v>
      </c>
      <c r="Y31" s="589">
        <v>0.5</v>
      </c>
      <c r="Z31" s="584">
        <f>Z29</f>
        <v>100</v>
      </c>
      <c r="AA31" s="1759" t="e">
        <f>IF(#REF!="/","/",IF(OR(LEFT(X31,1)=#REF!,(X31="A")*(#REF!=""),(X31="V")*(#REF!="")),(Z31-#REF!*100/IF(OR(LEFT(W31,1)="A",LEFT(W31,1)="D"),MID(W31,3,LEN(W31)-2),MID(W31,1,LEN(W31))))/100,IF(OR((X31="mA")*(#REF!=""),(X31="mV")*(#REF!=""),(X31="µA")*(#REF!="m"),(X31="µV")*(#REF!="m")),(Z31-#REF!*100/IF(OR(LEFT(W31,1)="A",LEFT(W31,1)="D"),MID(W31,3,LEN(W31)-2),MID(W31,1,LEN(W31)))*1000)/100,IF(OR((X31="mA")*(#REF!="µ"),(X31="mV")*(#REF!="µ"),(X31="A")*(#REF!="mA"),(X31="V")*(#REF!="m")),(Z31-#REF!*100/IF(OR(LEFT(W31,1)="A",LEFT(W31,1)="D"),MID(W31,3,LEN(W31)-2),MID(W31,1,LEN(W31)))/1000)/100,"/"))))</f>
        <v>#REF!</v>
      </c>
      <c r="AB31" s="1760"/>
      <c r="AC31" s="1760"/>
      <c r="AD31" s="1761"/>
      <c r="AE31" s="587" t="e">
        <f>IF(#REF!="/","/",IF(#REF!=#REF!,IF(OR((X31="A")*(#REF!=""),(X31="V")*(#REF!=""),LEFT(X31,1)=#REF!),ABS(#REF!-#REF!)/IF(OR(LEFT(W31,1)="A",LEFT(W31,1)="D"),MID(W31,3,LEN(W31)-2),MID(W31,1,LEN(W31))),IF(OR(X31="A",X31="V",#REF!="µ"),ABS(#REF!-#REF!)/1000/IF(OR(LEFT(W31,1)="A",LEFT(W31,1)="D"),MID(W31,3,LEN(W31)-2),MID(W31,1,LEN(W31))),ABS(#REF!-#REF!)*1000/IF(OR(LEFT(W31,1)="A",LEFT(W31,1)="D"),MID(W31,3,LEN(W31)-2),MID(W31,1,LEN(W31))))),IF(OR((X31="A")*(#REF!=""),(X31="V")*(#REF!=""),LEFT(X31,1)=#REF!),IF(OR(X31="A",X31="V"),ABS(#REF!-#REF!/1000)/IF(OR(LEFT(W31,1)="A",LEFT(W31,1)="D"),MID(W31,3,LEN(W31)-2),MID(W31,1,LEN(W31))),ABS(#REF!-#REF!*1000)/IF(OR(LEFT(W31,1)="A",LEFT(W31,1)="D"),MID(W31,3,LEN(W31)-2),MID(W31,1,LEN(W31)))),IF(OR(X31="A",X31="V",#REF!="µ"),ABS(#REF!/1000-#REF!)/IF(OR(LEFT(W31,1)="A",LEFT(W31,1)="D"),MID(W31,3,LEN(W31)-2),MID(W31,1,LEN(W31))),ABS(#REF!*1000-#REF!)/IF(OR(LEFT(W31,1)="A",LEFT(W31,1)="D"),MID(W31,3,LEN(W31)-2),MID(W31,1,LEN(W31)))))))</f>
        <v>#REF!</v>
      </c>
      <c r="AF31" s="415"/>
      <c r="AI31" s="1772" t="s">
        <v>937</v>
      </c>
      <c r="AJ31" s="1751" t="s">
        <v>924</v>
      </c>
      <c r="AK31" s="1774">
        <v>0.5</v>
      </c>
      <c r="AL31" s="584">
        <f>AL29</f>
        <v>100</v>
      </c>
      <c r="AM31" s="1759" t="e">
        <f>IF(#REF!="/","/",IF(OR(LEFT(AJ31,1)=#REF!,(AJ31="A")*(#REF!=""),(AJ31="V")*(#REF!="")),(AL31-#REF!*100/IF(OR(LEFT(AI31,1)="A",LEFT(AI31,1)="D"),MID(AI31,3,LEN(AI31)-2),MID(AI31,1,LEN(AI31))))/100,IF(OR((AJ31="mA")*(#REF!=""),(AJ31="mV")*(#REF!=""),(AJ31="µA")*(#REF!="m"),(AJ31="µV")*(#REF!="m")),(AL31-#REF!*100/IF(OR(LEFT(AI31,1)="A",LEFT(AI31,1)="D"),MID(AI31,3,LEN(AI31)-2),MID(AI31,1,LEN(AI31)))*1000)/100,IF(OR((AJ31="mA")*(#REF!="µ"),(AJ31="mV")*(#REF!="µ"),(AJ31="A")*(#REF!="mA"),(AJ31="V")*(#REF!="m")),(AL31-#REF!*100/IF(OR(LEFT(AI31,1)="A",LEFT(AI31,1)="D"),MID(AI31,3,LEN(AI31)-2),MID(AI31,1,LEN(AI31)))/1000)/100,"/"))))</f>
        <v>#REF!</v>
      </c>
      <c r="AN31" s="1760"/>
      <c r="AO31" s="1760"/>
      <c r="AP31" s="1761"/>
      <c r="AQ31" s="587" t="e">
        <f>IF(#REF!="/","/",IF(#REF!=#REF!,IF(OR((AJ31="A")*(#REF!=""),(AJ31="V")*(#REF!=""),LEFT(AJ31,1)=#REF!),ABS(#REF!-#REF!)/IF(OR(LEFT(AI31,1)="A",LEFT(AI31,1)="D"),MID(AI31,3,LEN(AI31)-2),MID(AI31,1,LEN(AI31))),IF(OR(AJ31="A",AJ31="V",#REF!="µ"),ABS(#REF!-#REF!)/1000/IF(OR(LEFT(AI31,1)="A",LEFT(AI31,1)="D"),MID(AI31,3,LEN(AI31)-2),MID(AI31,1,LEN(AI31))),ABS(#REF!-#REF!)*1000/IF(OR(LEFT(AI31,1)="A",LEFT(AI31,1)="D"),MID(AI31,3,LEN(AI31)-2),MID(AI31,1,LEN(AI31))))),IF(OR((AJ31="A")*(#REF!=""),(AJ31="V")*(#REF!=""),LEFT(AJ31,1)=#REF!),IF(OR(AJ31="A",AJ31="V"),ABS(#REF!-#REF!/1000)/IF(OR(LEFT(AI31,1)="A",LEFT(AI31,1)="D"),MID(AI31,3,LEN(AI31)-2),MID(AI31,1,LEN(AI31))),ABS(#REF!-#REF!*1000)/IF(OR(LEFT(AI31,1)="A",LEFT(AI31,1)="D"),MID(AI31,3,LEN(AI31)-2),MID(AI31,1,LEN(AI31)))),IF(OR(AJ31="A",AJ31="V",#REF!="µ"),ABS(#REF!/1000-#REF!)/IF(OR(LEFT(AI31,1)="A",LEFT(AI31,1)="D"),MID(AI31,3,LEN(AI31)-2),MID(AI31,1,LEN(AI31))),ABS(#REF!*1000-#REF!)/IF(OR(LEFT(AI31,1)="A",LEFT(AI31,1)="D"),MID(AI31,3,LEN(AI31)-2),MID(AI31,1,LEN(AI31)))))))</f>
        <v>#REF!</v>
      </c>
      <c r="AR31" s="1715">
        <f>2*AU31</f>
        <v>0</v>
      </c>
    </row>
    <row r="32" spans="1:44" s="13" customFormat="1" ht="18.600000000000001" customHeight="1" outlineLevel="1">
      <c r="A32" s="1717" t="str">
        <f>A31</f>
        <v>AC2</v>
      </c>
      <c r="B32" s="1707" t="str">
        <f>B31</f>
        <v>A</v>
      </c>
      <c r="C32" s="1796"/>
      <c r="D32" s="341">
        <f>D30</f>
        <v>90</v>
      </c>
      <c r="E32" s="345">
        <v>1.7961100000000001</v>
      </c>
      <c r="F32" s="346" t="s">
        <v>924</v>
      </c>
      <c r="G32" s="345">
        <v>1.79603</v>
      </c>
      <c r="H32" s="346" t="s">
        <v>924</v>
      </c>
      <c r="I32" s="1702">
        <f t="shared" si="2"/>
        <v>1.7960700000000001</v>
      </c>
      <c r="J32" s="1703"/>
      <c r="K32" s="1703"/>
      <c r="L32" s="351" t="str">
        <f t="shared" si="3"/>
        <v>A</v>
      </c>
      <c r="M32" s="1704">
        <f t="shared" si="4"/>
        <v>1.9650000000000032E-3</v>
      </c>
      <c r="N32" s="1705"/>
      <c r="O32" s="1705"/>
      <c r="P32" s="1706"/>
      <c r="Q32" s="354">
        <f t="shared" si="0"/>
        <v>4.0000000000040004E-5</v>
      </c>
      <c r="R32" s="1716"/>
      <c r="S32" s="1755"/>
      <c r="T32" s="1755"/>
      <c r="U32" s="1755"/>
      <c r="W32" s="1773" t="str">
        <f>W31</f>
        <v>AC2</v>
      </c>
      <c r="X32" s="1753" t="str">
        <f>X31</f>
        <v>A</v>
      </c>
      <c r="Y32" s="588"/>
      <c r="Z32" s="584">
        <f>Z30</f>
        <v>90</v>
      </c>
      <c r="AA32" s="1759" t="e">
        <f>IF(#REF!="/","/",IF(OR(LEFT(X32,1)=#REF!,(X32="A")*(#REF!=""),(X32="V")*(#REF!="")),(Z32-#REF!*100/IF(OR(LEFT(W32,1)="A",LEFT(W32,1)="D"),MID(W32,3,LEN(W32)-2),MID(W32,1,LEN(W32))))/100,IF(OR((X32="mA")*(#REF!=""),(X32="mV")*(#REF!=""),(X32="µA")*(#REF!="m"),(X32="µV")*(#REF!="m")),(Z32-#REF!*100/IF(OR(LEFT(W32,1)="A",LEFT(W32,1)="D"),MID(W32,3,LEN(W32)-2),MID(W32,1,LEN(W32)))*1000)/100,IF(OR((X32="mA")*(#REF!="µ"),(X32="mV")*(#REF!="µ"),(X32="A")*(#REF!="mA"),(X32="V")*(#REF!="m")),(Z32-#REF!*100/IF(OR(LEFT(W32,1)="A",LEFT(W32,1)="D"),MID(W32,3,LEN(W32)-2),MID(W32,1,LEN(W32)))/1000)/100,"/"))))</f>
        <v>#REF!</v>
      </c>
      <c r="AB32" s="1760"/>
      <c r="AC32" s="1760"/>
      <c r="AD32" s="1761"/>
      <c r="AE32" s="587" t="e">
        <f>IF(#REF!="/","/",IF(#REF!=#REF!,IF(OR((X32="A")*(#REF!=""),(X32="V")*(#REF!=""),LEFT(X32,1)=#REF!),ABS(#REF!-#REF!)/IF(OR(LEFT(W32,1)="A",LEFT(W32,1)="D"),MID(W32,3,LEN(W32)-2),MID(W32,1,LEN(W32))),IF(OR(X32="A",X32="V",#REF!="µ"),ABS(#REF!-#REF!)/1000/IF(OR(LEFT(W32,1)="A",LEFT(W32,1)="D"),MID(W32,3,LEN(W32)-2),MID(W32,1,LEN(W32))),ABS(#REF!-#REF!)*1000/IF(OR(LEFT(W32,1)="A",LEFT(W32,1)="D"),MID(W32,3,LEN(W32)-2),MID(W32,1,LEN(W32))))),IF(OR((X32="A")*(#REF!=""),(X32="V")*(#REF!=""),LEFT(X32,1)=#REF!),IF(OR(X32="A",X32="V"),ABS(#REF!-#REF!/1000)/IF(OR(LEFT(W32,1)="A",LEFT(W32,1)="D"),MID(W32,3,LEN(W32)-2),MID(W32,1,LEN(W32))),ABS(#REF!-#REF!*1000)/IF(OR(LEFT(W32,1)="A",LEFT(W32,1)="D"),MID(W32,3,LEN(W32)-2),MID(W32,1,LEN(W32)))),IF(OR(X32="A",X32="V",#REF!="µ"),ABS(#REF!/1000-#REF!)/IF(OR(LEFT(W32,1)="A",LEFT(W32,1)="D"),MID(W32,3,LEN(W32)-2),MID(W32,1,LEN(W32))),ABS(#REF!*1000-#REF!)/IF(OR(LEFT(W32,1)="A",LEFT(W32,1)="D"),MID(W32,3,LEN(W32)-2),MID(W32,1,LEN(W32)))))))</f>
        <v>#REF!</v>
      </c>
      <c r="AF32" s="415"/>
      <c r="AI32" s="1773" t="str">
        <f>AI31</f>
        <v>AC2</v>
      </c>
      <c r="AJ32" s="1753" t="str">
        <f>AJ31</f>
        <v>A</v>
      </c>
      <c r="AK32" s="1775"/>
      <c r="AL32" s="584">
        <f>AL30</f>
        <v>90</v>
      </c>
      <c r="AM32" s="1759" t="e">
        <f>IF(#REF!="/","/",IF(OR(LEFT(AJ32,1)=#REF!,(AJ32="A")*(#REF!=""),(AJ32="V")*(#REF!="")),(AL32-#REF!*100/IF(OR(LEFT(AI32,1)="A",LEFT(AI32,1)="D"),MID(AI32,3,LEN(AI32)-2),MID(AI32,1,LEN(AI32))))/100,IF(OR((AJ32="mA")*(#REF!=""),(AJ32="mV")*(#REF!=""),(AJ32="µA")*(#REF!="m"),(AJ32="µV")*(#REF!="m")),(AL32-#REF!*100/IF(OR(LEFT(AI32,1)="A",LEFT(AI32,1)="D"),MID(AI32,3,LEN(AI32)-2),MID(AI32,1,LEN(AI32)))*1000)/100,IF(OR((AJ32="mA")*(#REF!="µ"),(AJ32="mV")*(#REF!="µ"),(AJ32="A")*(#REF!="mA"),(AJ32="V")*(#REF!="m")),(AL32-#REF!*100/IF(OR(LEFT(AI32,1)="A",LEFT(AI32,1)="D"),MID(AI32,3,LEN(AI32)-2),MID(AI32,1,LEN(AI32)))/1000)/100,"/"))))</f>
        <v>#REF!</v>
      </c>
      <c r="AN32" s="1760"/>
      <c r="AO32" s="1760"/>
      <c r="AP32" s="1761"/>
      <c r="AQ32" s="587" t="e">
        <f>IF(#REF!="/","/",IF(#REF!=#REF!,IF(OR((AJ32="A")*(#REF!=""),(AJ32="V")*(#REF!=""),LEFT(AJ32,1)=#REF!),ABS(#REF!-#REF!)/IF(OR(LEFT(AI32,1)="A",LEFT(AI32,1)="D"),MID(AI32,3,LEN(AI32)-2),MID(AI32,1,LEN(AI32))),IF(OR(AJ32="A",AJ32="V",#REF!="µ"),ABS(#REF!-#REF!)/1000/IF(OR(LEFT(AI32,1)="A",LEFT(AI32,1)="D"),MID(AI32,3,LEN(AI32)-2),MID(AI32,1,LEN(AI32))),ABS(#REF!-#REF!)*1000/IF(OR(LEFT(AI32,1)="A",LEFT(AI32,1)="D"),MID(AI32,3,LEN(AI32)-2),MID(AI32,1,LEN(AI32))))),IF(OR((AJ32="A")*(#REF!=""),(AJ32="V")*(#REF!=""),LEFT(AJ32,1)=#REF!),IF(OR(AJ32="A",AJ32="V"),ABS(#REF!-#REF!/1000)/IF(OR(LEFT(AI32,1)="A",LEFT(AI32,1)="D"),MID(AI32,3,LEN(AI32)-2),MID(AI32,1,LEN(AI32))),ABS(#REF!-#REF!*1000)/IF(OR(LEFT(AI32,1)="A",LEFT(AI32,1)="D"),MID(AI32,3,LEN(AI32)-2),MID(AI32,1,LEN(AI32)))),IF(OR(AJ32="A",AJ32="V",#REF!="µ"),ABS(#REF!/1000-#REF!)/IF(OR(LEFT(AI32,1)="A",LEFT(AI32,1)="D"),MID(AI32,3,LEN(AI32)-2),MID(AI32,1,LEN(AI32))),ABS(#REF!*1000-#REF!)/IF(OR(LEFT(AI32,1)="A",LEFT(AI32,1)="D"),MID(AI32,3,LEN(AI32)-2),MID(AI32,1,LEN(AI32)))))))</f>
        <v>#REF!</v>
      </c>
      <c r="AR32" s="1716"/>
    </row>
    <row r="33" spans="1:44" s="13" customFormat="1" ht="18.600000000000001" customHeight="1" outlineLevel="1">
      <c r="A33" s="1717" t="s">
        <v>938</v>
      </c>
      <c r="B33" s="1707" t="s">
        <v>924</v>
      </c>
      <c r="C33" s="1795">
        <v>0.5</v>
      </c>
      <c r="D33" s="341">
        <f>D31</f>
        <v>100</v>
      </c>
      <c r="E33" s="345">
        <v>997.16600000000005</v>
      </c>
      <c r="F33" s="346" t="s">
        <v>923</v>
      </c>
      <c r="G33" s="345">
        <v>997.18200000000002</v>
      </c>
      <c r="H33" s="346" t="s">
        <v>923</v>
      </c>
      <c r="I33" s="1702">
        <f>IF(G33="/","/",IF(F33=H33,(G33+E33)/2,IF(OR((F33="")*(H33="m"),(F33="m")*(H33="µ")),(G33+E33/1000)/2,IF(OR((F33="m")*(H33=""),(F33="µ")*(H33="m")),(G33+E33*1000)/2,"/"))))</f>
        <v>997.17399999999998</v>
      </c>
      <c r="J33" s="1703"/>
      <c r="K33" s="1703"/>
      <c r="L33" s="351" t="str">
        <f t="shared" si="3"/>
        <v>mA</v>
      </c>
      <c r="M33" s="1704">
        <f t="shared" si="4"/>
        <v>2.8260000000000216E-3</v>
      </c>
      <c r="N33" s="1705"/>
      <c r="O33" s="1705"/>
      <c r="P33" s="1706"/>
      <c r="Q33" s="354">
        <f>IF(G33="/","/",IF(F33=H33,IF(OR((B33="A")*(F33=""),(B33="V")*(F33=""),LEFT(B33,1)=F33),ABS(G33-E33)/IF(OR(LEFT(A33,1)="A",LEFT(A33,1)="D"),MID(A33,3,LEN(A33)-2),MID(A33,1,LEN(A33))),IF(OR(B33="A",B33="V",F33="µ"),ABS(G33-E33)/1000/IF(OR(LEFT(A33,1)="A",LEFT(A33,1)="D"),MID(A33,3,LEN(A33)-2),MID(A33,1,LEN(A33))),ABS(G33-E33)*1000/IF(OR(LEFT(A33,1)="A",LEFT(A33,1)="D"),MID(A33,3,LEN(A33)-2),MID(A33,1,LEN(A33))))),IF(OR((B33="A")*(F33=""),(B33="V")*(F33=""),LEFT(B33,1)=F33),IF(OR(B33="A",B33="V"),ABS(G33-E33/1000)/IF(OR(LEFT(A33,1)="A",LEFT(A33,1)="D"),MID(A33,3,LEN(A33)-2),MID(A33,1,LEN(A33))),ABS(G33-E33*1000)/IF(OR(LEFT(A33,1)="A",LEFT(A33,1)="D"),MID(A33,3,LEN(A33)-2),MID(A33,1,LEN(A33)))),IF(OR(B33="A",B33="V",F33="µ"),ABS(G33/1000-E33)/IF(OR(LEFT(A33,1)="A",LEFT(A33,1)="D"),MID(A33,3,LEN(A33)-2),MID(A33,1,LEN(A33))),ABS(G33*1000-E33)/IF(OR(LEFT(A33,1)="A",LEFT(A33,1)="D"),MID(A33,3,LEN(A33)-2),MID(A33,1,LEN(A33)))))))</f>
        <v>1.5999999999962709E-5</v>
      </c>
      <c r="R33" s="1715">
        <f>2*U33</f>
        <v>0</v>
      </c>
      <c r="S33" s="1754">
        <f>[1]不确定度评定附表!N15</f>
        <v>0</v>
      </c>
      <c r="T33" s="1754">
        <f>[1]不确定度评定附表!P15</f>
        <v>0</v>
      </c>
      <c r="U33" s="1754">
        <f>[1]不确定度评定附表!R15</f>
        <v>0</v>
      </c>
      <c r="W33" s="1772" t="s">
        <v>938</v>
      </c>
      <c r="X33" s="1751" t="s">
        <v>924</v>
      </c>
      <c r="Y33" s="589">
        <v>0.5</v>
      </c>
      <c r="Z33" s="584">
        <f>Z31</f>
        <v>100</v>
      </c>
      <c r="AA33" s="1759" t="e">
        <f>IF(#REF!="/","/",IF(OR(LEFT(X33,1)=#REF!,(X33="A")*(#REF!=""),(X33="V")*(#REF!="")),(Z33-#REF!*100/IF(OR(LEFT(W33,1)="A",LEFT(W33,1)="D"),MID(W33,3,LEN(W33)-2),MID(W33,1,LEN(W33))))/100,IF(OR((X33="mA")*(#REF!=""),(X33="mV")*(#REF!=""),(X33="µA")*(#REF!="m"),(X33="µV")*(#REF!="m")),(Z33-#REF!*100/IF(OR(LEFT(W33,1)="A",LEFT(W33,1)="D"),MID(W33,3,LEN(W33)-2),MID(W33,1,LEN(W33)))*1000)/100,IF(OR((X33="mA")*(#REF!="µ"),(X33="mV")*(#REF!="µ"),(X33="A")*(#REF!="mA"),(X33="V")*(#REF!="m")),(Z33-#REF!*100/IF(OR(LEFT(W33,1)="A",LEFT(W33,1)="D"),MID(W33,3,LEN(W33)-2),MID(W33,1,LEN(W33)))/1000)/100,"/"))))</f>
        <v>#REF!</v>
      </c>
      <c r="AB33" s="1760"/>
      <c r="AC33" s="1760"/>
      <c r="AD33" s="1761"/>
      <c r="AE33" s="587" t="e">
        <f>IF(#REF!="/","/",IF(#REF!=#REF!,IF(OR((X33="A")*(#REF!=""),(X33="V")*(#REF!=""),LEFT(X33,1)=#REF!),ABS(#REF!-#REF!)/IF(OR(LEFT(W33,1)="A",LEFT(W33,1)="D"),MID(W33,3,LEN(W33)-2),MID(W33,1,LEN(W33))),IF(OR(X33="A",X33="V",#REF!="µ"),ABS(#REF!-#REF!)/1000/IF(OR(LEFT(W33,1)="A",LEFT(W33,1)="D"),MID(W33,3,LEN(W33)-2),MID(W33,1,LEN(W33))),ABS(#REF!-#REF!)*1000/IF(OR(LEFT(W33,1)="A",LEFT(W33,1)="D"),MID(W33,3,LEN(W33)-2),MID(W33,1,LEN(W33))))),IF(OR((X33="A")*(#REF!=""),(X33="V")*(#REF!=""),LEFT(X33,1)=#REF!),IF(OR(X33="A",X33="V"),ABS(#REF!-#REF!/1000)/IF(OR(LEFT(W33,1)="A",LEFT(W33,1)="D"),MID(W33,3,LEN(W33)-2),MID(W33,1,LEN(W33))),ABS(#REF!-#REF!*1000)/IF(OR(LEFT(W33,1)="A",LEFT(W33,1)="D"),MID(W33,3,LEN(W33)-2),MID(W33,1,LEN(W33)))),IF(OR(X33="A",X33="V",#REF!="µ"),ABS(#REF!/1000-#REF!)/IF(OR(LEFT(W33,1)="A",LEFT(W33,1)="D"),MID(W33,3,LEN(W33)-2),MID(W33,1,LEN(W33))),ABS(#REF!*1000-#REF!)/IF(OR(LEFT(W33,1)="A",LEFT(W33,1)="D"),MID(W33,3,LEN(W33)-2),MID(W33,1,LEN(W33)))))))</f>
        <v>#REF!</v>
      </c>
      <c r="AF33" s="415"/>
      <c r="AI33" s="1772" t="s">
        <v>938</v>
      </c>
      <c r="AJ33" s="1751" t="s">
        <v>924</v>
      </c>
      <c r="AK33" s="1774">
        <v>0.5</v>
      </c>
      <c r="AL33" s="584">
        <f>AL31</f>
        <v>100</v>
      </c>
      <c r="AM33" s="1759" t="e">
        <f>IF(#REF!="/","/",IF(OR(LEFT(AJ33,1)=#REF!,(AJ33="A")*(#REF!=""),(AJ33="V")*(#REF!="")),(AL33-#REF!*100/IF(OR(LEFT(AI33,1)="A",LEFT(AI33,1)="D"),MID(AI33,3,LEN(AI33)-2),MID(AI33,1,LEN(AI33))))/100,IF(OR((AJ33="mA")*(#REF!=""),(AJ33="mV")*(#REF!=""),(AJ33="µA")*(#REF!="m"),(AJ33="µV")*(#REF!="m")),(AL33-#REF!*100/IF(OR(LEFT(AI33,1)="A",LEFT(AI33,1)="D"),MID(AI33,3,LEN(AI33)-2),MID(AI33,1,LEN(AI33)))*1000)/100,IF(OR((AJ33="mA")*(#REF!="µ"),(AJ33="mV")*(#REF!="µ"),(AJ33="A")*(#REF!="mA"),(AJ33="V")*(#REF!="m")),(AL33-#REF!*100/IF(OR(LEFT(AI33,1)="A",LEFT(AI33,1)="D"),MID(AI33,3,LEN(AI33)-2),MID(AI33,1,LEN(AI33)))/1000)/100,"/"))))</f>
        <v>#REF!</v>
      </c>
      <c r="AN33" s="1760"/>
      <c r="AO33" s="1760"/>
      <c r="AP33" s="1761"/>
      <c r="AQ33" s="587" t="e">
        <f>IF(#REF!="/","/",IF(#REF!=#REF!,IF(OR((AJ33="A")*(#REF!=""),(AJ33="V")*(#REF!=""),LEFT(AJ33,1)=#REF!),ABS(#REF!-#REF!)/IF(OR(LEFT(AI33,1)="A",LEFT(AI33,1)="D"),MID(AI33,3,LEN(AI33)-2),MID(AI33,1,LEN(AI33))),IF(OR(AJ33="A",AJ33="V",#REF!="µ"),ABS(#REF!-#REF!)/1000/IF(OR(LEFT(AI33,1)="A",LEFT(AI33,1)="D"),MID(AI33,3,LEN(AI33)-2),MID(AI33,1,LEN(AI33))),ABS(#REF!-#REF!)*1000/IF(OR(LEFT(AI33,1)="A",LEFT(AI33,1)="D"),MID(AI33,3,LEN(AI33)-2),MID(AI33,1,LEN(AI33))))),IF(OR((AJ33="A")*(#REF!=""),(AJ33="V")*(#REF!=""),LEFT(AJ33,1)=#REF!),IF(OR(AJ33="A",AJ33="V"),ABS(#REF!-#REF!/1000)/IF(OR(LEFT(AI33,1)="A",LEFT(AI33,1)="D"),MID(AI33,3,LEN(AI33)-2),MID(AI33,1,LEN(AI33))),ABS(#REF!-#REF!*1000)/IF(OR(LEFT(AI33,1)="A",LEFT(AI33,1)="D"),MID(AI33,3,LEN(AI33)-2),MID(AI33,1,LEN(AI33)))),IF(OR(AJ33="A",AJ33="V",#REF!="µ"),ABS(#REF!/1000-#REF!)/IF(OR(LEFT(AI33,1)="A",LEFT(AI33,1)="D"),MID(AI33,3,LEN(AI33)-2),MID(AI33,1,LEN(AI33))),ABS(#REF!*1000-#REF!)/IF(OR(LEFT(AI33,1)="A",LEFT(AI33,1)="D"),MID(AI33,3,LEN(AI33)-2),MID(AI33,1,LEN(AI33)))))))</f>
        <v>#REF!</v>
      </c>
      <c r="AR33" s="1715">
        <f>2*AU33</f>
        <v>0</v>
      </c>
    </row>
    <row r="34" spans="1:44" s="13" customFormat="1" ht="18.600000000000001" customHeight="1" outlineLevel="1">
      <c r="A34" s="1717" t="str">
        <f>A33</f>
        <v>AC1</v>
      </c>
      <c r="B34" s="1707" t="str">
        <f>B33</f>
        <v>A</v>
      </c>
      <c r="C34" s="1796"/>
      <c r="D34" s="341">
        <f>D32</f>
        <v>90</v>
      </c>
      <c r="E34" s="345">
        <v>897.59400000000005</v>
      </c>
      <c r="F34" s="346" t="s">
        <v>923</v>
      </c>
      <c r="G34" s="345">
        <v>897.62800000000004</v>
      </c>
      <c r="H34" s="346" t="s">
        <v>923</v>
      </c>
      <c r="I34" s="1702">
        <f>IF(E34="/","/",IF(F34=H34,(E34+G34)/2,IF(OR((F34="")*(H34="m"),(F34="m")*(H34="µ")),(E34+G34/1000)/2,IF(OR((F34="m")*(H34=""),(F34="µ")*(H34="m")),(E34+G34*1000)/2,"/"))))</f>
        <v>897.6110000000001</v>
      </c>
      <c r="J34" s="1703"/>
      <c r="K34" s="1703"/>
      <c r="L34" s="351" t="str">
        <f t="shared" si="3"/>
        <v>mA</v>
      </c>
      <c r="M34" s="1704">
        <f t="shared" si="4"/>
        <v>2.38900000000001E-3</v>
      </c>
      <c r="N34" s="1705"/>
      <c r="O34" s="1705"/>
      <c r="P34" s="1706"/>
      <c r="Q34" s="354">
        <f>IF(E34="/","/",IF(F34=H34,IF(OR((B34="A")*(F34=""),(B34="V")*(F34=""),LEFT(B34,1)=F34),ABS(E34-G34)/IF(OR(LEFT(A34,1)="A",LEFT(A34,1)="D"),MID(A34,3,LEN(A34)-2),MID(A34,1,LEN(A34))),IF(OR(B34="A",B34="V",F34="µ"),ABS(E34-G34)/1000/IF(OR(LEFT(A34,1)="A",LEFT(A34,1)="D"),MID(A34,3,LEN(A34)-2),MID(A34,1,LEN(A34))),ABS(E34-G34)*1000/IF(OR(LEFT(A34,1)="A",LEFT(A34,1)="D"),MID(A34,3,LEN(A34)-2),MID(A34,1,LEN(A34))))),IF(OR((B34="A")*(F34=""),(B34="V")*(F34=""),LEFT(B34,1)=F34),IF(OR(B34="A",B34="V"),ABS(E34-G34/1000)/IF(OR(LEFT(A34,1)="A",LEFT(A34,1)="D"),MID(A34,3,LEN(A34)-2),MID(A34,1,LEN(A34))),ABS(E34-G34*1000)/IF(OR(LEFT(A34,1)="A",LEFT(A34,1)="D"),MID(A34,3,LEN(A34)-2),MID(A34,1,LEN(A34)))),IF(OR(B34="A",B34="V",F34="µ"),ABS(E34/1000-G34)/IF(OR(LEFT(A34,1)="A",LEFT(A34,1)="D"),MID(A34,3,LEN(A34)-2),MID(A34,1,LEN(A34))),ABS(E34*1000-G34)/IF(OR(LEFT(A34,1)="A",LEFT(A34,1)="D"),MID(A34,3,LEN(A34)-2),MID(A34,1,LEN(A34)))))))</f>
        <v>3.3999999999991814E-5</v>
      </c>
      <c r="R34" s="1716"/>
      <c r="S34" s="1755"/>
      <c r="T34" s="1755"/>
      <c r="U34" s="1755"/>
      <c r="W34" s="1773" t="str">
        <f>W33</f>
        <v>AC1</v>
      </c>
      <c r="X34" s="1753" t="str">
        <f>X33</f>
        <v>A</v>
      </c>
      <c r="Y34" s="588"/>
      <c r="Z34" s="584">
        <f>Z32</f>
        <v>90</v>
      </c>
      <c r="AA34" s="1759" t="e">
        <f>IF(#REF!="/","/",IF(OR(LEFT(X34,1)=#REF!,(X34="A")*(#REF!=""),(X34="V")*(#REF!="")),(Z34-#REF!*100/IF(OR(LEFT(W34,1)="A",LEFT(W34,1)="D"),MID(W34,3,LEN(W34)-2),MID(W34,1,LEN(W34))))/100,IF(OR((X34="mA")*(#REF!=""),(X34="mV")*(#REF!=""),(X34="µA")*(#REF!="m"),(X34="µV")*(#REF!="m")),(Z34-#REF!*100/IF(OR(LEFT(W34,1)="A",LEFT(W34,1)="D"),MID(W34,3,LEN(W34)-2),MID(W34,1,LEN(W34)))*1000)/100,IF(OR((X34="mA")*(#REF!="µ"),(X34="mV")*(#REF!="µ"),(X34="A")*(#REF!="mA"),(X34="V")*(#REF!="m")),(Z34-#REF!*100/IF(OR(LEFT(W34,1)="A",LEFT(W34,1)="D"),MID(W34,3,LEN(W34)-2),MID(W34,1,LEN(W34)))/1000)/100,"/"))))</f>
        <v>#REF!</v>
      </c>
      <c r="AB34" s="1760"/>
      <c r="AC34" s="1760"/>
      <c r="AD34" s="1761"/>
      <c r="AE34" s="587" t="e">
        <f>IF(#REF!="/","/",IF(#REF!=#REF!,IF(OR((X34="A")*(#REF!=""),(X34="V")*(#REF!=""),LEFT(X34,1)=#REF!),ABS(#REF!-#REF!)/IF(OR(LEFT(W34,1)="A",LEFT(W34,1)="D"),MID(W34,3,LEN(W34)-2),MID(W34,1,LEN(W34))),IF(OR(X34="A",X34="V",#REF!="µ"),ABS(#REF!-#REF!)/1000/IF(OR(LEFT(W34,1)="A",LEFT(W34,1)="D"),MID(W34,3,LEN(W34)-2),MID(W34,1,LEN(W34))),ABS(#REF!-#REF!)*1000/IF(OR(LEFT(W34,1)="A",LEFT(W34,1)="D"),MID(W34,3,LEN(W34)-2),MID(W34,1,LEN(W34))))),IF(OR((X34="A")*(#REF!=""),(X34="V")*(#REF!=""),LEFT(X34,1)=#REF!),IF(OR(X34="A",X34="V"),ABS(#REF!-#REF!/1000)/IF(OR(LEFT(W34,1)="A",LEFT(W34,1)="D"),MID(W34,3,LEN(W34)-2),MID(W34,1,LEN(W34))),ABS(#REF!-#REF!*1000)/IF(OR(LEFT(W34,1)="A",LEFT(W34,1)="D"),MID(W34,3,LEN(W34)-2),MID(W34,1,LEN(W34)))),IF(OR(X34="A",X34="V",#REF!="µ"),ABS(#REF!/1000-#REF!)/IF(OR(LEFT(W34,1)="A",LEFT(W34,1)="D"),MID(W34,3,LEN(W34)-2),MID(W34,1,LEN(W34))),ABS(#REF!*1000-#REF!)/IF(OR(LEFT(W34,1)="A",LEFT(W34,1)="D"),MID(W34,3,LEN(W34)-2),MID(W34,1,LEN(W34)))))))</f>
        <v>#REF!</v>
      </c>
      <c r="AF34" s="415"/>
      <c r="AI34" s="1773" t="str">
        <f>AI33</f>
        <v>AC1</v>
      </c>
      <c r="AJ34" s="1753" t="str">
        <f>AJ33</f>
        <v>A</v>
      </c>
      <c r="AK34" s="1775"/>
      <c r="AL34" s="584">
        <f>AL32</f>
        <v>90</v>
      </c>
      <c r="AM34" s="1759" t="e">
        <f>IF(#REF!="/","/",IF(OR(LEFT(AJ34,1)=#REF!,(AJ34="A")*(#REF!=""),(AJ34="V")*(#REF!="")),(AL34-#REF!*100/IF(OR(LEFT(AI34,1)="A",LEFT(AI34,1)="D"),MID(AI34,3,LEN(AI34)-2),MID(AI34,1,LEN(AI34))))/100,IF(OR((AJ34="mA")*(#REF!=""),(AJ34="mV")*(#REF!=""),(AJ34="µA")*(#REF!="m"),(AJ34="µV")*(#REF!="m")),(AL34-#REF!*100/IF(OR(LEFT(AI34,1)="A",LEFT(AI34,1)="D"),MID(AI34,3,LEN(AI34)-2),MID(AI34,1,LEN(AI34)))*1000)/100,IF(OR((AJ34="mA")*(#REF!="µ"),(AJ34="mV")*(#REF!="µ"),(AJ34="A")*(#REF!="mA"),(AJ34="V")*(#REF!="m")),(AL34-#REF!*100/IF(OR(LEFT(AI34,1)="A",LEFT(AI34,1)="D"),MID(AI34,3,LEN(AI34)-2),MID(AI34,1,LEN(AI34)))/1000)/100,"/"))))</f>
        <v>#REF!</v>
      </c>
      <c r="AN34" s="1760"/>
      <c r="AO34" s="1760"/>
      <c r="AP34" s="1761"/>
      <c r="AQ34" s="587" t="e">
        <f>IF(#REF!="/","/",IF(#REF!=#REF!,IF(OR((AJ34="A")*(#REF!=""),(AJ34="V")*(#REF!=""),LEFT(AJ34,1)=#REF!),ABS(#REF!-#REF!)/IF(OR(LEFT(AI34,1)="A",LEFT(AI34,1)="D"),MID(AI34,3,LEN(AI34)-2),MID(AI34,1,LEN(AI34))),IF(OR(AJ34="A",AJ34="V",#REF!="µ"),ABS(#REF!-#REF!)/1000/IF(OR(LEFT(AI34,1)="A",LEFT(AI34,1)="D"),MID(AI34,3,LEN(AI34)-2),MID(AI34,1,LEN(AI34))),ABS(#REF!-#REF!)*1000/IF(OR(LEFT(AI34,1)="A",LEFT(AI34,1)="D"),MID(AI34,3,LEN(AI34)-2),MID(AI34,1,LEN(AI34))))),IF(OR((AJ34="A")*(#REF!=""),(AJ34="V")*(#REF!=""),LEFT(AJ34,1)=#REF!),IF(OR(AJ34="A",AJ34="V"),ABS(#REF!-#REF!/1000)/IF(OR(LEFT(AI34,1)="A",LEFT(AI34,1)="D"),MID(AI34,3,LEN(AI34)-2),MID(AI34,1,LEN(AI34))),ABS(#REF!-#REF!*1000)/IF(OR(LEFT(AI34,1)="A",LEFT(AI34,1)="D"),MID(AI34,3,LEN(AI34)-2),MID(AI34,1,LEN(AI34)))),IF(OR(AJ34="A",AJ34="V",#REF!="µ"),ABS(#REF!/1000-#REF!)/IF(OR(LEFT(AI34,1)="A",LEFT(AI34,1)="D"),MID(AI34,3,LEN(AI34)-2),MID(AI34,1,LEN(AI34))),ABS(#REF!*1000-#REF!)/IF(OR(LEFT(AI34,1)="A",LEFT(AI34,1)="D"),MID(AI34,3,LEN(AI34)-2),MID(AI34,1,LEN(AI34)))))))</f>
        <v>#REF!</v>
      </c>
      <c r="AR34" s="1716"/>
    </row>
    <row r="35" spans="1:44" s="13" customFormat="1" ht="21.75" customHeight="1" outlineLevel="1">
      <c r="A35" s="1797" t="s">
        <v>1530</v>
      </c>
      <c r="B35" s="1798"/>
      <c r="C35" s="576">
        <v>-1E-3</v>
      </c>
      <c r="D35" s="575"/>
      <c r="E35" s="575"/>
      <c r="F35" s="575"/>
      <c r="G35" s="575"/>
      <c r="H35" s="575"/>
      <c r="I35" s="575"/>
      <c r="J35" s="20"/>
      <c r="K35" s="20"/>
      <c r="L35" s="20"/>
      <c r="M35" s="20"/>
      <c r="N35" s="1798" t="s">
        <v>1529</v>
      </c>
      <c r="O35" s="1798"/>
      <c r="P35" s="576">
        <v>1E-3</v>
      </c>
      <c r="Q35" s="20"/>
      <c r="R35" s="20"/>
      <c r="S35" s="20"/>
      <c r="T35" s="20"/>
      <c r="U35" s="569"/>
      <c r="W35" s="1828" t="s">
        <v>1530</v>
      </c>
      <c r="X35" s="1798"/>
      <c r="Y35" s="1830">
        <f>'[2]原始-001-2016'!$D$39</f>
        <v>-1.3240000000000406E-3</v>
      </c>
      <c r="Z35" s="1830"/>
      <c r="AA35" s="403"/>
      <c r="AB35" s="403"/>
      <c r="AC35" s="1829" t="s">
        <v>1531</v>
      </c>
      <c r="AD35" s="1798"/>
      <c r="AE35" s="590">
        <f>'[2]原始-001-2016'!$J$39</f>
        <v>5.6799999999995526E-4</v>
      </c>
      <c r="AF35" s="574"/>
      <c r="AI35" s="1825" t="s">
        <v>1530</v>
      </c>
      <c r="AJ35" s="1798"/>
      <c r="AK35" s="1831">
        <f>'[2]原始-001-2016'!$D$39</f>
        <v>-1.3240000000000406E-3</v>
      </c>
      <c r="AL35" s="1831"/>
      <c r="AM35" s="14"/>
      <c r="AN35" s="14"/>
      <c r="AO35" s="1824" t="s">
        <v>1531</v>
      </c>
      <c r="AP35" s="1798"/>
      <c r="AQ35" s="1831">
        <f>'[2]原始-001-2016'!$J$39</f>
        <v>5.6799999999995526E-4</v>
      </c>
      <c r="AR35" s="1832"/>
    </row>
    <row r="36" spans="1:44" ht="22.35" customHeight="1" outlineLevel="1">
      <c r="A36" s="336"/>
      <c r="B36" s="337"/>
      <c r="C36" s="338"/>
      <c r="D36" s="338"/>
      <c r="E36" s="337"/>
      <c r="F36" s="337"/>
      <c r="G36" s="337"/>
      <c r="H36" s="337"/>
      <c r="I36" s="337"/>
      <c r="J36" s="337"/>
      <c r="K36" s="337"/>
      <c r="L36" s="337"/>
      <c r="M36" s="337"/>
      <c r="N36" s="337"/>
      <c r="O36" s="337"/>
      <c r="P36" s="337"/>
      <c r="Q36" s="13"/>
      <c r="R36" s="13"/>
      <c r="AA36" s="424"/>
      <c r="AB36" s="424"/>
      <c r="AC36" s="424"/>
      <c r="AD36" s="424"/>
      <c r="AE36" s="424"/>
      <c r="AF36" s="424"/>
      <c r="AG36" s="424"/>
      <c r="AH36" s="424"/>
      <c r="AI36" s="424"/>
      <c r="AJ36" s="424"/>
      <c r="AK36" s="424"/>
      <c r="AL36" s="424"/>
      <c r="AM36" s="424"/>
      <c r="AN36" s="424"/>
      <c r="AO36" s="424"/>
    </row>
    <row r="37" spans="1:44" ht="14.25" customHeight="1" outlineLevel="1">
      <c r="A37" s="25"/>
      <c r="B37" s="25"/>
      <c r="C37" s="25"/>
      <c r="D37" s="26"/>
      <c r="E37" s="26"/>
      <c r="F37" s="9"/>
      <c r="G37" s="9"/>
      <c r="H37" s="9"/>
      <c r="I37" s="9"/>
      <c r="J37" s="27"/>
      <c r="K37" s="27"/>
      <c r="L37" s="27"/>
      <c r="M37" s="8"/>
      <c r="N37" s="8"/>
      <c r="O37" s="8"/>
      <c r="P37" s="8"/>
      <c r="Q37" s="8"/>
      <c r="R37" s="8"/>
      <c r="AA37" s="424"/>
      <c r="AB37" s="424"/>
      <c r="AC37" s="424"/>
      <c r="AD37" s="424"/>
      <c r="AE37" s="424"/>
      <c r="AF37" s="424"/>
      <c r="AG37" s="424"/>
      <c r="AH37" s="424"/>
      <c r="AI37" s="424"/>
      <c r="AJ37" s="424"/>
      <c r="AK37" s="424"/>
      <c r="AL37" s="424"/>
      <c r="AM37" s="424"/>
      <c r="AN37" s="424"/>
      <c r="AO37" s="424"/>
    </row>
    <row r="38" spans="1:44" ht="14.25" customHeight="1" outlineLevel="1">
      <c r="A38" s="16" t="s">
        <v>48</v>
      </c>
      <c r="B38" s="59" t="s">
        <v>81</v>
      </c>
      <c r="AA38" s="424"/>
      <c r="AB38" s="424"/>
      <c r="AC38" s="424"/>
      <c r="AD38" s="424"/>
      <c r="AE38" s="424"/>
      <c r="AF38" s="424"/>
      <c r="AG38" s="424"/>
      <c r="AH38" s="424"/>
      <c r="AI38" s="424"/>
      <c r="AJ38" s="424"/>
      <c r="AK38" s="424"/>
      <c r="AL38" s="424"/>
      <c r="AM38" s="424"/>
      <c r="AN38" s="424"/>
      <c r="AO38" s="424"/>
    </row>
    <row r="39" spans="1:44" ht="18.600000000000001" customHeight="1" outlineLevel="1">
      <c r="A39" s="16"/>
      <c r="B39" s="16" t="s">
        <v>46</v>
      </c>
      <c r="AA39" s="424"/>
      <c r="AB39" s="424"/>
      <c r="AC39" s="424"/>
      <c r="AD39" s="424"/>
      <c r="AE39" s="424"/>
      <c r="AF39" s="424"/>
      <c r="AG39" s="424"/>
      <c r="AH39" s="424"/>
      <c r="AI39" s="424"/>
      <c r="AJ39" s="424"/>
      <c r="AK39" s="424"/>
      <c r="AL39" s="424"/>
      <c r="AM39" s="424"/>
      <c r="AN39" s="424"/>
      <c r="AO39" s="424"/>
    </row>
    <row r="40" spans="1:44" ht="18.600000000000001" customHeight="1" outlineLevel="1">
      <c r="B40" s="16" t="s">
        <v>47</v>
      </c>
      <c r="AA40" s="424"/>
      <c r="AB40" s="424"/>
      <c r="AC40" s="424"/>
      <c r="AD40" s="424"/>
      <c r="AE40" s="424"/>
      <c r="AF40" s="424"/>
      <c r="AG40" s="424"/>
      <c r="AH40" s="424"/>
      <c r="AI40" s="424"/>
      <c r="AJ40" s="424"/>
      <c r="AK40" s="424"/>
      <c r="AL40" s="424"/>
      <c r="AM40" s="424"/>
      <c r="AN40" s="424"/>
      <c r="AO40" s="424"/>
    </row>
    <row r="41" spans="1:44" ht="18.600000000000001" customHeight="1" outlineLevel="1">
      <c r="B41" s="16" t="s">
        <v>49</v>
      </c>
      <c r="AA41" s="424"/>
      <c r="AB41" s="424"/>
      <c r="AC41" s="424"/>
      <c r="AD41" s="424"/>
      <c r="AE41" s="424"/>
      <c r="AF41" s="424"/>
      <c r="AG41" s="424"/>
      <c r="AH41" s="424"/>
      <c r="AI41" s="424"/>
      <c r="AJ41" s="424"/>
      <c r="AK41" s="424"/>
      <c r="AL41" s="424"/>
      <c r="AM41" s="424"/>
      <c r="AN41" s="424"/>
      <c r="AO41" s="424"/>
    </row>
    <row r="42" spans="1:44" ht="18.600000000000001" customHeight="1">
      <c r="A42" s="594"/>
      <c r="B42" s="16"/>
      <c r="AA42" s="424"/>
      <c r="AB42" s="424"/>
      <c r="AC42" s="424"/>
      <c r="AD42" s="424"/>
      <c r="AE42" s="424"/>
      <c r="AF42" s="424"/>
      <c r="AG42" s="424"/>
      <c r="AH42" s="424"/>
      <c r="AI42" s="424"/>
      <c r="AJ42" s="424"/>
      <c r="AK42" s="424"/>
      <c r="AL42" s="424"/>
      <c r="AM42" s="424"/>
      <c r="AN42" s="424"/>
      <c r="AO42" s="424"/>
    </row>
    <row r="43" spans="1:44">
      <c r="A43" s="32" t="s">
        <v>65</v>
      </c>
    </row>
    <row r="44" spans="1:44">
      <c r="A44" s="32"/>
      <c r="B44" s="591" t="s">
        <v>1532</v>
      </c>
      <c r="Q44" s="591" t="s">
        <v>1533</v>
      </c>
    </row>
    <row r="45" spans="1:44" ht="15.75" outlineLevel="1">
      <c r="A45" s="9"/>
      <c r="B45" s="21" t="s">
        <v>606</v>
      </c>
      <c r="C45" s="22">
        <v>0</v>
      </c>
      <c r="D45" s="23" t="s">
        <v>44</v>
      </c>
      <c r="E45" s="23"/>
      <c r="F45" s="246" t="s">
        <v>605</v>
      </c>
      <c r="G45" s="9"/>
      <c r="H45" s="9"/>
      <c r="I45" s="18" t="s">
        <v>45</v>
      </c>
      <c r="J45" s="18"/>
      <c r="K45" s="18"/>
      <c r="L45" s="24" t="s">
        <v>44</v>
      </c>
      <c r="M45" s="8"/>
      <c r="N45" s="8"/>
      <c r="O45" s="8"/>
      <c r="P45" s="8"/>
      <c r="Q45" s="13"/>
      <c r="R45" s="329" t="s">
        <v>1535</v>
      </c>
      <c r="S45" s="157" t="s">
        <v>1534</v>
      </c>
    </row>
  </sheetData>
  <protectedRanges>
    <protectedRange sqref="AK19:AK22 AK24:AK34 U19 A19:H34 U22:U28 W19:Z34 T20 AI19:AJ34 AL19:AL34" name="区域3_4"/>
  </protectedRanges>
  <mergeCells count="152">
    <mergeCell ref="S33:S34"/>
    <mergeCell ref="U33:U34"/>
    <mergeCell ref="T33:T34"/>
    <mergeCell ref="S31:S32"/>
    <mergeCell ref="T31:T32"/>
    <mergeCell ref="AO35:AP35"/>
    <mergeCell ref="AI35:AJ35"/>
    <mergeCell ref="AR19:AR20"/>
    <mergeCell ref="AA20:AD20"/>
    <mergeCell ref="W35:X35"/>
    <mergeCell ref="AC35:AD35"/>
    <mergeCell ref="Y35:Z35"/>
    <mergeCell ref="AA22:AD22"/>
    <mergeCell ref="AK35:AL35"/>
    <mergeCell ref="AR33:AR34"/>
    <mergeCell ref="AQ35:AR35"/>
    <mergeCell ref="W31:W32"/>
    <mergeCell ref="X31:X32"/>
    <mergeCell ref="W29:W30"/>
    <mergeCell ref="X29:X30"/>
    <mergeCell ref="W33:W34"/>
    <mergeCell ref="X19:X28"/>
    <mergeCell ref="U31:U32"/>
    <mergeCell ref="W19:W28"/>
    <mergeCell ref="A29:A30"/>
    <mergeCell ref="A3:B3"/>
    <mergeCell ref="I23:K23"/>
    <mergeCell ref="M23:P23"/>
    <mergeCell ref="C17:C18"/>
    <mergeCell ref="A17:B18"/>
    <mergeCell ref="M19:P19"/>
    <mergeCell ref="M20:P20"/>
    <mergeCell ref="I20:K20"/>
    <mergeCell ref="I22:K22"/>
    <mergeCell ref="M28:P28"/>
    <mergeCell ref="M25:P25"/>
    <mergeCell ref="A6:A7"/>
    <mergeCell ref="B6:B7"/>
    <mergeCell ref="I25:K25"/>
    <mergeCell ref="A19:A28"/>
    <mergeCell ref="B19:B28"/>
    <mergeCell ref="I26:K26"/>
    <mergeCell ref="I28:K28"/>
    <mergeCell ref="E18:F18"/>
    <mergeCell ref="G18:H18"/>
    <mergeCell ref="Q17:Q18"/>
    <mergeCell ref="R17:R18"/>
    <mergeCell ref="M17:P18"/>
    <mergeCell ref="I24:K24"/>
    <mergeCell ref="D17:D18"/>
    <mergeCell ref="E17:H17"/>
    <mergeCell ref="I17:L18"/>
    <mergeCell ref="M21:P21"/>
    <mergeCell ref="M22:P22"/>
    <mergeCell ref="M24:P24"/>
    <mergeCell ref="I21:K21"/>
    <mergeCell ref="I19:K19"/>
    <mergeCell ref="R19:R28"/>
    <mergeCell ref="A33:A34"/>
    <mergeCell ref="R33:R34"/>
    <mergeCell ref="I34:K34"/>
    <mergeCell ref="M34:P34"/>
    <mergeCell ref="A35:B35"/>
    <mergeCell ref="N35:O35"/>
    <mergeCell ref="C33:C34"/>
    <mergeCell ref="B33:B34"/>
    <mergeCell ref="I33:K33"/>
    <mergeCell ref="M33:P33"/>
    <mergeCell ref="A31:A32"/>
    <mergeCell ref="B31:B32"/>
    <mergeCell ref="I31:K31"/>
    <mergeCell ref="M31:P31"/>
    <mergeCell ref="AR17:AR18"/>
    <mergeCell ref="AR21:AR28"/>
    <mergeCell ref="AR29:AR30"/>
    <mergeCell ref="AR31:AR32"/>
    <mergeCell ref="AK19:AK28"/>
    <mergeCell ref="I32:K32"/>
    <mergeCell ref="M29:P29"/>
    <mergeCell ref="I30:K30"/>
    <mergeCell ref="M30:P30"/>
    <mergeCell ref="M32:P32"/>
    <mergeCell ref="B29:B30"/>
    <mergeCell ref="C29:C30"/>
    <mergeCell ref="C31:C32"/>
    <mergeCell ref="I29:K29"/>
    <mergeCell ref="M26:P26"/>
    <mergeCell ref="I27:K27"/>
    <mergeCell ref="M27:P27"/>
    <mergeCell ref="T29:T30"/>
    <mergeCell ref="U29:U30"/>
    <mergeCell ref="R31:R32"/>
    <mergeCell ref="AQ17:AQ18"/>
    <mergeCell ref="AM33:AP33"/>
    <mergeCell ref="AM34:AP34"/>
    <mergeCell ref="AA24:AD24"/>
    <mergeCell ref="AA25:AD25"/>
    <mergeCell ref="AA26:AD26"/>
    <mergeCell ref="AA28:AD28"/>
    <mergeCell ref="AM32:AP32"/>
    <mergeCell ref="AK17:AK18"/>
    <mergeCell ref="AI17:AJ18"/>
    <mergeCell ref="AA31:AD31"/>
    <mergeCell ref="AA29:AD29"/>
    <mergeCell ref="AA30:AD30"/>
    <mergeCell ref="AA32:AD32"/>
    <mergeCell ref="AM23:AP23"/>
    <mergeCell ref="AI29:AI30"/>
    <mergeCell ref="AJ29:AJ30"/>
    <mergeCell ref="AA34:AD34"/>
    <mergeCell ref="AJ31:AJ32"/>
    <mergeCell ref="AI33:AI34"/>
    <mergeCell ref="AA21:AD21"/>
    <mergeCell ref="AM19:AP19"/>
    <mergeCell ref="AM20:AP20"/>
    <mergeCell ref="AA27:AD27"/>
    <mergeCell ref="X33:X34"/>
    <mergeCell ref="AA33:AD33"/>
    <mergeCell ref="AL17:AL18"/>
    <mergeCell ref="AI31:AI32"/>
    <mergeCell ref="AK29:AK30"/>
    <mergeCell ref="AK31:AK32"/>
    <mergeCell ref="AM24:AP24"/>
    <mergeCell ref="AM25:AP25"/>
    <mergeCell ref="AM26:AP26"/>
    <mergeCell ref="AJ33:AJ34"/>
    <mergeCell ref="AK33:AK34"/>
    <mergeCell ref="AM28:AP28"/>
    <mergeCell ref="AM29:AP29"/>
    <mergeCell ref="AM30:AP30"/>
    <mergeCell ref="AM17:AP18"/>
    <mergeCell ref="AM27:AP27"/>
    <mergeCell ref="W17:X18"/>
    <mergeCell ref="Z17:Z18"/>
    <mergeCell ref="AA17:AD18"/>
    <mergeCell ref="AA19:AD19"/>
    <mergeCell ref="AA23:AD23"/>
    <mergeCell ref="AM21:AP21"/>
    <mergeCell ref="AM22:AP22"/>
    <mergeCell ref="AI19:AI28"/>
    <mergeCell ref="AJ19:AJ28"/>
    <mergeCell ref="R29:R30"/>
    <mergeCell ref="S29:S30"/>
    <mergeCell ref="Y17:Y18"/>
    <mergeCell ref="AE17:AE18"/>
    <mergeCell ref="AM31:AP31"/>
    <mergeCell ref="T17:T18"/>
    <mergeCell ref="U17:U18"/>
    <mergeCell ref="S17:S18"/>
    <mergeCell ref="S19:S28"/>
    <mergeCell ref="T19:T28"/>
    <mergeCell ref="U19:U28"/>
  </mergeCells>
  <phoneticPr fontId="2" type="noConversion"/>
  <conditionalFormatting sqref="AA29:AA34 AE19:AE34 AM29:AM34 AQ19:AQ34">
    <cfRule type="cellIs" dxfId="227" priority="46" stopIfTrue="1" operator="equal">
      <formula>"/"</formula>
    </cfRule>
    <cfRule type="cellIs" dxfId="226" priority="47" stopIfTrue="1" operator="lessThan">
      <formula>-#REF!/100</formula>
    </cfRule>
    <cfRule type="cellIs" dxfId="225" priority="48" stopIfTrue="1" operator="greaterThan">
      <formula>#REF!/100</formula>
    </cfRule>
  </conditionalFormatting>
  <conditionalFormatting sqref="AA19:AA27">
    <cfRule type="cellIs" dxfId="224" priority="40" stopIfTrue="1" operator="equal">
      <formula>"/"</formula>
    </cfRule>
    <cfRule type="cellIs" dxfId="223" priority="41" stopIfTrue="1" operator="lessThan">
      <formula>-#REF!/100</formula>
    </cfRule>
    <cfRule type="cellIs" dxfId="222" priority="42" stopIfTrue="1" operator="greaterThan">
      <formula>#REF!/100</formula>
    </cfRule>
  </conditionalFormatting>
  <conditionalFormatting sqref="AM19:AM27">
    <cfRule type="cellIs" dxfId="221" priority="28" stopIfTrue="1" operator="equal">
      <formula>"/"</formula>
    </cfRule>
    <cfRule type="cellIs" dxfId="220" priority="29" stopIfTrue="1" operator="lessThan">
      <formula>-#REF!/100</formula>
    </cfRule>
    <cfRule type="cellIs" dxfId="219" priority="30" stopIfTrue="1" operator="greaterThan">
      <formula>#REF!/100</formula>
    </cfRule>
  </conditionalFormatting>
  <conditionalFormatting sqref="M29:M34 Q19:Q34">
    <cfRule type="cellIs" dxfId="218" priority="4" stopIfTrue="1" operator="equal">
      <formula>"/"</formula>
    </cfRule>
    <cfRule type="cellIs" dxfId="217" priority="5" stopIfTrue="1" operator="lessThan">
      <formula>-#REF!/100</formula>
    </cfRule>
    <cfRule type="cellIs" dxfId="216" priority="6" stopIfTrue="1" operator="greaterThan">
      <formula>#REF!/100</formula>
    </cfRule>
  </conditionalFormatting>
  <conditionalFormatting sqref="M19:M27">
    <cfRule type="cellIs" dxfId="215" priority="1" stopIfTrue="1" operator="equal">
      <formula>"/"</formula>
    </cfRule>
    <cfRule type="cellIs" dxfId="214" priority="2" stopIfTrue="1" operator="lessThan">
      <formula>-#REF!/100</formula>
    </cfRule>
    <cfRule type="cellIs" dxfId="213" priority="3" stopIfTrue="1" operator="greaterThan">
      <formula>#REF!/100</formula>
    </cfRule>
  </conditionalFormatting>
  <pageMargins left="0.75" right="0.75" top="1" bottom="1" header="0.5" footer="0.5"/>
  <drawing r:id="rId1"/>
  <legacyDrawing r:id="rId2"/>
</worksheet>
</file>

<file path=xl/worksheets/sheet5.xml><?xml version="1.0" encoding="utf-8"?>
<worksheet xmlns="http://schemas.openxmlformats.org/spreadsheetml/2006/main" xmlns:r="http://schemas.openxmlformats.org/officeDocument/2006/relationships">
  <dimension ref="A1:K43"/>
  <sheetViews>
    <sheetView workbookViewId="0">
      <selection activeCell="B4" sqref="B4"/>
    </sheetView>
  </sheetViews>
  <sheetFormatPr defaultRowHeight="14.25"/>
  <cols>
    <col min="5" max="5" width="15.625" customWidth="1"/>
    <col min="7" max="7" width="36.25" customWidth="1"/>
  </cols>
  <sheetData>
    <row r="1" spans="1:11" ht="22.5">
      <c r="A1" s="447" t="s">
        <v>970</v>
      </c>
      <c r="B1" s="435" t="s">
        <v>971</v>
      </c>
      <c r="C1" s="436" t="s">
        <v>972</v>
      </c>
      <c r="D1" s="437"/>
      <c r="E1" s="597"/>
      <c r="F1" s="8"/>
      <c r="G1" s="315"/>
      <c r="H1" s="315"/>
    </row>
    <row r="2" spans="1:11">
      <c r="A2" s="13"/>
      <c r="B2" s="438" t="s">
        <v>973</v>
      </c>
      <c r="C2" s="13"/>
      <c r="D2" s="13"/>
      <c r="E2" s="13"/>
      <c r="F2" s="13"/>
      <c r="G2" s="13"/>
      <c r="H2" s="13"/>
    </row>
    <row r="3" spans="1:11" ht="15.75">
      <c r="A3" s="13"/>
      <c r="B3" s="347" t="s">
        <v>991</v>
      </c>
      <c r="C3" s="347" t="s">
        <v>992</v>
      </c>
      <c r="D3" s="347" t="s">
        <v>993</v>
      </c>
      <c r="E3" s="347" t="s">
        <v>4352</v>
      </c>
      <c r="F3" s="448" t="s">
        <v>994</v>
      </c>
      <c r="G3" s="449"/>
      <c r="H3" s="390"/>
    </row>
    <row r="4" spans="1:11" ht="15">
      <c r="A4" s="13"/>
      <c r="B4" s="349">
        <v>0.99447300000000005</v>
      </c>
      <c r="C4" s="349">
        <v>0.99545300000000003</v>
      </c>
      <c r="D4" s="349">
        <v>0.99447300000000005</v>
      </c>
      <c r="E4" s="349">
        <v>0.99545300000000003</v>
      </c>
      <c r="F4" s="450">
        <v>0.99447300000000005</v>
      </c>
      <c r="G4" s="451"/>
      <c r="H4" s="417"/>
    </row>
    <row r="5" spans="1:11" ht="15">
      <c r="A5" s="13"/>
      <c r="B5" s="349">
        <v>0.99545300000000003</v>
      </c>
      <c r="C5" s="349">
        <v>0.99447300000000005</v>
      </c>
      <c r="D5" s="349">
        <v>0.99545300000000003</v>
      </c>
      <c r="E5" s="349">
        <v>0.99447300000000005</v>
      </c>
      <c r="F5" s="450">
        <v>0.99545300000000003</v>
      </c>
      <c r="G5" s="451"/>
      <c r="H5" s="417"/>
    </row>
    <row r="6" spans="1:11" ht="18.75">
      <c r="A6" s="13"/>
      <c r="B6" s="618" t="s">
        <v>1567</v>
      </c>
      <c r="C6" s="408">
        <f>STDEV(C5:K5)</f>
        <v>5.6580326380582216E-4</v>
      </c>
      <c r="D6" s="408"/>
      <c r="E6" s="408"/>
      <c r="F6" s="452"/>
      <c r="G6" s="36"/>
      <c r="H6" s="9"/>
    </row>
    <row r="7" spans="1:11">
      <c r="A7" s="13"/>
      <c r="B7" s="439"/>
      <c r="C7" s="439"/>
      <c r="D7" s="439"/>
      <c r="E7" s="439"/>
      <c r="F7" s="439"/>
      <c r="G7" s="439"/>
      <c r="H7" s="439"/>
    </row>
    <row r="8" spans="1:11">
      <c r="A8" s="440" t="s">
        <v>974</v>
      </c>
      <c r="B8" s="153" t="s">
        <v>975</v>
      </c>
    </row>
    <row r="9" spans="1:11">
      <c r="A9" s="440"/>
      <c r="B9" s="413" t="s">
        <v>976</v>
      </c>
      <c r="C9" s="413" t="s">
        <v>977</v>
      </c>
      <c r="D9" s="413" t="s">
        <v>978</v>
      </c>
      <c r="E9" s="413" t="s">
        <v>979</v>
      </c>
      <c r="F9" s="413" t="s">
        <v>980</v>
      </c>
      <c r="G9" s="413" t="s">
        <v>981</v>
      </c>
    </row>
    <row r="10" spans="1:11" ht="42.75">
      <c r="A10" s="440"/>
      <c r="B10" s="7">
        <v>1</v>
      </c>
      <c r="C10" s="441" t="s">
        <v>982</v>
      </c>
      <c r="D10" s="442">
        <v>2.0000000000000001E-4</v>
      </c>
      <c r="E10" s="413" t="s">
        <v>983</v>
      </c>
      <c r="F10" s="6">
        <v>3</v>
      </c>
      <c r="G10" s="443">
        <f>D10/F10</f>
        <v>6.666666666666667E-5</v>
      </c>
    </row>
    <row r="11" spans="1:11">
      <c r="A11" s="440"/>
      <c r="B11" s="7">
        <v>2</v>
      </c>
      <c r="C11" s="441" t="s">
        <v>984</v>
      </c>
      <c r="D11" s="444">
        <v>6.0000000000000002E-5</v>
      </c>
      <c r="E11" s="413" t="s">
        <v>985</v>
      </c>
      <c r="F11" s="6">
        <v>2</v>
      </c>
      <c r="G11" s="443">
        <f>D11/F11</f>
        <v>3.0000000000000001E-5</v>
      </c>
    </row>
    <row r="12" spans="1:11" ht="28.5">
      <c r="A12" s="440"/>
      <c r="B12" s="7">
        <v>3</v>
      </c>
      <c r="C12" s="441" t="s">
        <v>986</v>
      </c>
      <c r="D12" s="442">
        <v>1E-4</v>
      </c>
      <c r="E12" s="413" t="s">
        <v>983</v>
      </c>
      <c r="F12" s="6"/>
      <c r="G12" s="443">
        <f>D12/SQRT(3)</f>
        <v>5.7735026918962585E-5</v>
      </c>
    </row>
    <row r="13" spans="1:11" ht="18.75">
      <c r="A13" s="440"/>
      <c r="B13" s="41" t="s">
        <v>1568</v>
      </c>
      <c r="C13" s="19"/>
      <c r="D13" s="14"/>
      <c r="E13" s="14"/>
      <c r="F13" s="14"/>
      <c r="G13" s="39"/>
    </row>
    <row r="14" spans="1:11">
      <c r="A14" s="13"/>
      <c r="B14" s="412" t="s">
        <v>987</v>
      </c>
    </row>
    <row r="15" spans="1:11" ht="18.75">
      <c r="A15" s="13"/>
      <c r="B15" s="446" t="s">
        <v>988</v>
      </c>
      <c r="C15" s="445"/>
      <c r="I15" s="415"/>
    </row>
    <row r="16" spans="1:11">
      <c r="B16" s="412" t="s">
        <v>989</v>
      </c>
      <c r="C16" s="28"/>
      <c r="I16" s="152"/>
      <c r="J16" s="415"/>
      <c r="K16" s="415"/>
    </row>
    <row r="17" spans="1:11" ht="15.75">
      <c r="B17" s="446" t="s">
        <v>990</v>
      </c>
      <c r="C17" s="392"/>
      <c r="D17" s="391"/>
      <c r="E17" s="392"/>
      <c r="F17" s="391"/>
      <c r="G17" s="393"/>
      <c r="H17" s="390"/>
      <c r="I17" s="152"/>
      <c r="J17" s="152"/>
      <c r="K17" s="152"/>
    </row>
    <row r="18" spans="1:11">
      <c r="A18" s="415"/>
      <c r="B18" s="13" t="s">
        <v>1542</v>
      </c>
      <c r="C18" s="13"/>
      <c r="D18" s="13"/>
      <c r="E18" s="395"/>
      <c r="F18" s="416"/>
      <c r="G18" s="152"/>
      <c r="H18" s="152"/>
      <c r="I18" s="152"/>
      <c r="J18" s="152"/>
      <c r="K18" s="152"/>
    </row>
    <row r="19" spans="1:11">
      <c r="A19" s="415"/>
      <c r="B19" t="s">
        <v>1543</v>
      </c>
      <c r="E19" s="395"/>
      <c r="F19" s="416"/>
      <c r="G19" s="152"/>
      <c r="H19" s="152"/>
      <c r="I19" s="152"/>
      <c r="J19" s="152"/>
      <c r="K19" s="152"/>
    </row>
    <row r="20" spans="1:11">
      <c r="A20" s="415"/>
      <c r="B20" s="396"/>
      <c r="C20" s="415"/>
      <c r="D20" s="415"/>
      <c r="E20" s="415"/>
      <c r="F20" s="415"/>
      <c r="G20" s="415"/>
      <c r="H20" s="415"/>
      <c r="I20" s="415"/>
      <c r="J20" s="152"/>
      <c r="K20" s="152"/>
    </row>
    <row r="21" spans="1:11" ht="15">
      <c r="A21" s="415"/>
      <c r="B21" s="417"/>
      <c r="C21" s="417"/>
      <c r="D21" s="417"/>
      <c r="E21" s="417"/>
      <c r="F21" s="417"/>
      <c r="G21" s="417"/>
      <c r="H21" s="417"/>
      <c r="I21" s="418"/>
      <c r="J21" s="415"/>
      <c r="K21" s="415"/>
    </row>
    <row r="22" spans="1:11" ht="15">
      <c r="A22" s="415"/>
      <c r="B22" s="417"/>
      <c r="C22" s="417"/>
      <c r="D22" s="417"/>
      <c r="E22" s="417"/>
      <c r="F22" s="417"/>
      <c r="G22" s="417"/>
      <c r="H22" s="417"/>
      <c r="I22" s="417"/>
      <c r="J22" s="418"/>
      <c r="K22" s="417"/>
    </row>
    <row r="23" spans="1:11" ht="15.75">
      <c r="A23" s="415"/>
      <c r="B23" s="419"/>
      <c r="C23" s="420"/>
      <c r="D23" s="421"/>
      <c r="E23" s="421"/>
      <c r="F23" s="421"/>
      <c r="G23" s="421"/>
      <c r="H23" s="421"/>
      <c r="I23" s="421"/>
      <c r="J23" s="417"/>
      <c r="K23" s="417"/>
    </row>
    <row r="24" spans="1:11">
      <c r="A24" s="415"/>
      <c r="B24" s="422"/>
      <c r="C24" s="422"/>
      <c r="D24" s="422"/>
      <c r="E24" s="422"/>
      <c r="F24" s="422"/>
      <c r="G24" s="422"/>
      <c r="H24" s="422"/>
      <c r="I24" s="422"/>
      <c r="J24" s="421"/>
      <c r="K24" s="421"/>
    </row>
    <row r="25" spans="1:11">
      <c r="A25" s="415"/>
      <c r="B25" s="423"/>
      <c r="C25" s="424"/>
      <c r="D25" s="424"/>
      <c r="E25" s="424"/>
      <c r="F25" s="424"/>
      <c r="G25" s="424"/>
      <c r="H25" s="424"/>
      <c r="I25" s="424"/>
      <c r="J25" s="422"/>
      <c r="K25" s="422"/>
    </row>
    <row r="26" spans="1:11">
      <c r="A26" s="415"/>
      <c r="B26" s="425"/>
      <c r="C26" s="425"/>
      <c r="D26" s="425"/>
      <c r="E26" s="425"/>
      <c r="F26" s="425"/>
      <c r="G26" s="425"/>
      <c r="H26" s="425"/>
      <c r="I26" s="425"/>
      <c r="J26" s="424"/>
      <c r="K26" s="424"/>
    </row>
    <row r="27" spans="1:11">
      <c r="A27" s="415"/>
      <c r="B27" s="426"/>
      <c r="C27" s="426"/>
      <c r="D27" s="426"/>
      <c r="E27" s="426"/>
      <c r="F27" s="426"/>
      <c r="G27" s="426"/>
      <c r="H27" s="426"/>
      <c r="I27" s="426"/>
      <c r="J27" s="425"/>
      <c r="K27" s="425"/>
    </row>
    <row r="28" spans="1:11">
      <c r="A28" s="415"/>
      <c r="B28" s="426"/>
      <c r="C28" s="426"/>
      <c r="D28" s="426"/>
      <c r="E28" s="426"/>
      <c r="F28" s="426"/>
      <c r="G28" s="426"/>
      <c r="H28" s="426"/>
      <c r="I28" s="426"/>
      <c r="J28" s="426"/>
      <c r="K28" s="427"/>
    </row>
    <row r="29" spans="1:11">
      <c r="A29" s="13"/>
      <c r="B29" s="13"/>
      <c r="C29" s="13"/>
      <c r="D29" s="13"/>
      <c r="E29" s="13"/>
      <c r="F29" s="13"/>
      <c r="G29" s="13"/>
      <c r="H29" s="13"/>
      <c r="I29" s="13"/>
      <c r="J29" s="426"/>
      <c r="K29" s="428"/>
    </row>
    <row r="30" spans="1:11">
      <c r="A30" s="415"/>
      <c r="B30" s="426"/>
      <c r="C30" s="426"/>
      <c r="D30" s="426"/>
      <c r="E30" s="426"/>
      <c r="F30" s="426"/>
      <c r="G30" s="426"/>
      <c r="H30" s="426"/>
      <c r="I30" s="426"/>
      <c r="J30" s="426"/>
      <c r="K30" s="428"/>
    </row>
    <row r="31" spans="1:11">
      <c r="A31" s="415"/>
      <c r="B31" s="426"/>
      <c r="C31" s="426"/>
      <c r="D31" s="426"/>
      <c r="E31" s="426"/>
      <c r="F31" s="426"/>
      <c r="G31" s="426"/>
      <c r="H31" s="426"/>
      <c r="I31" s="426"/>
      <c r="J31" s="426"/>
      <c r="K31" s="429"/>
    </row>
    <row r="32" spans="1:11">
      <c r="A32" s="415"/>
      <c r="B32" s="430"/>
      <c r="C32" s="152"/>
      <c r="D32" s="424"/>
      <c r="E32" s="424"/>
      <c r="F32" s="424"/>
      <c r="G32" s="424"/>
      <c r="H32" s="424"/>
      <c r="I32" s="424"/>
      <c r="J32" s="424"/>
      <c r="K32" s="424"/>
    </row>
    <row r="33" spans="1:11">
      <c r="A33" s="415"/>
      <c r="B33" s="423"/>
      <c r="C33" s="424"/>
      <c r="D33" s="424"/>
      <c r="E33" s="424"/>
      <c r="F33" s="424"/>
      <c r="G33" s="424"/>
      <c r="H33" s="424"/>
      <c r="I33" s="424"/>
      <c r="J33" s="424"/>
      <c r="K33" s="424"/>
    </row>
    <row r="34" spans="1:11">
      <c r="A34" s="415"/>
      <c r="B34" s="430"/>
      <c r="C34" s="423"/>
      <c r="D34" s="424"/>
      <c r="E34" s="424"/>
      <c r="F34" s="424"/>
      <c r="G34" s="424"/>
      <c r="H34" s="424"/>
      <c r="I34" s="424"/>
      <c r="J34" s="424"/>
      <c r="K34" s="424"/>
    </row>
    <row r="35" spans="1:11">
      <c r="A35" s="424"/>
      <c r="B35" s="423"/>
      <c r="C35" s="424"/>
      <c r="D35" s="424"/>
      <c r="E35" s="424"/>
      <c r="F35" s="424"/>
      <c r="G35" s="424"/>
      <c r="H35" s="424"/>
      <c r="I35" s="424"/>
      <c r="J35" s="424"/>
      <c r="K35" s="424"/>
    </row>
    <row r="36" spans="1:11" ht="15.75">
      <c r="A36" s="424"/>
      <c r="B36" s="431"/>
      <c r="C36" s="432"/>
      <c r="D36" s="433"/>
      <c r="E36" s="432"/>
      <c r="F36" s="433"/>
      <c r="G36" s="434"/>
      <c r="H36" s="417"/>
      <c r="I36" s="417"/>
      <c r="J36" s="417"/>
      <c r="K36" s="417"/>
    </row>
    <row r="37" spans="1:11">
      <c r="A37" s="424"/>
      <c r="B37" s="415"/>
      <c r="C37" s="415"/>
      <c r="D37" s="415"/>
      <c r="E37" s="415"/>
      <c r="F37" s="415"/>
      <c r="G37" s="415"/>
      <c r="H37" s="415"/>
      <c r="I37" s="415"/>
      <c r="J37" s="415"/>
      <c r="K37" s="415"/>
    </row>
    <row r="38" spans="1:11">
      <c r="A38" s="424"/>
      <c r="B38" s="424"/>
      <c r="C38" s="424"/>
      <c r="D38" s="424"/>
      <c r="E38" s="424"/>
      <c r="F38" s="424"/>
      <c r="G38" s="424"/>
      <c r="H38" s="424"/>
      <c r="I38" s="424"/>
      <c r="J38" s="424"/>
      <c r="K38" s="424"/>
    </row>
    <row r="39" spans="1:11">
      <c r="A39" s="424"/>
      <c r="B39" s="424"/>
      <c r="C39" s="424"/>
      <c r="D39" s="424"/>
      <c r="E39" s="424"/>
      <c r="F39" s="424"/>
      <c r="G39" s="424"/>
      <c r="H39" s="424"/>
      <c r="I39" s="424"/>
      <c r="J39" s="424"/>
      <c r="K39" s="424"/>
    </row>
    <row r="40" spans="1:11">
      <c r="A40" s="424"/>
      <c r="B40" s="424"/>
      <c r="C40" s="424"/>
      <c r="D40" s="424"/>
      <c r="E40" s="424"/>
      <c r="F40" s="424"/>
      <c r="G40" s="424"/>
      <c r="H40" s="424"/>
      <c r="I40" s="424"/>
      <c r="J40" s="424"/>
      <c r="K40" s="424"/>
    </row>
    <row r="41" spans="1:11">
      <c r="A41" s="424"/>
      <c r="B41" s="424"/>
      <c r="C41" s="424"/>
      <c r="D41" s="424"/>
      <c r="E41" s="424"/>
      <c r="F41" s="424"/>
      <c r="G41" s="424"/>
      <c r="H41" s="424"/>
      <c r="I41" s="424"/>
      <c r="J41" s="424"/>
      <c r="K41" s="424"/>
    </row>
    <row r="42" spans="1:11">
      <c r="A42" s="424"/>
      <c r="B42" s="424"/>
      <c r="C42" s="424"/>
      <c r="D42" s="424"/>
      <c r="E42" s="424"/>
      <c r="F42" s="424"/>
      <c r="G42" s="424"/>
      <c r="H42" s="424"/>
      <c r="I42" s="424"/>
      <c r="J42" s="424"/>
      <c r="K42" s="424"/>
    </row>
    <row r="43" spans="1:11">
      <c r="A43" s="424"/>
      <c r="B43" s="424"/>
      <c r="C43" s="424"/>
      <c r="D43" s="424"/>
      <c r="E43" s="424"/>
      <c r="F43" s="424"/>
      <c r="G43" s="424"/>
      <c r="H43" s="424"/>
      <c r="I43" s="424"/>
      <c r="J43" s="424"/>
      <c r="K43" s="424"/>
    </row>
  </sheetData>
  <phoneticPr fontId="99" type="noConversion"/>
  <pageMargins left="0.75" right="0.75" top="1" bottom="1" header="0.5" footer="0.5"/>
  <legacyDrawing r:id="rId1"/>
  <oleObjects>
    <oleObject progId="Equation.3" shapeId="104455" r:id="rId2"/>
  </oleObjects>
</worksheet>
</file>

<file path=xl/worksheets/sheet6.xml><?xml version="1.0" encoding="utf-8"?>
<worksheet xmlns="http://schemas.openxmlformats.org/spreadsheetml/2006/main" xmlns:r="http://schemas.openxmlformats.org/officeDocument/2006/relationships">
  <dimension ref="A1:AK69"/>
  <sheetViews>
    <sheetView topLeftCell="A37" workbookViewId="0">
      <selection activeCell="D18" sqref="D18"/>
    </sheetView>
  </sheetViews>
  <sheetFormatPr defaultRowHeight="14.25" outlineLevelRow="1"/>
  <cols>
    <col min="1" max="1" width="23.75" customWidth="1"/>
    <col min="2" max="2" width="24.875" customWidth="1"/>
    <col min="12" max="12" width="17.375" customWidth="1"/>
    <col min="13" max="13" width="17.75" customWidth="1"/>
    <col min="20" max="20" width="16.75" customWidth="1"/>
    <col min="28" max="28" width="14.125" customWidth="1"/>
    <col min="36" max="36" width="14.5" customWidth="1"/>
    <col min="37" max="37" width="17.5" customWidth="1"/>
  </cols>
  <sheetData>
    <row r="1" spans="1:37">
      <c r="A1" s="1406" t="s">
        <v>51</v>
      </c>
      <c r="B1" s="1406" t="s">
        <v>3511</v>
      </c>
      <c r="C1" s="1395"/>
      <c r="D1" s="1402" t="s">
        <v>3512</v>
      </c>
      <c r="E1" s="1402" t="s">
        <v>3513</v>
      </c>
      <c r="F1" s="1395"/>
      <c r="G1" s="1395"/>
      <c r="H1" s="1395"/>
      <c r="I1" s="1395"/>
      <c r="J1" s="1395"/>
      <c r="K1" s="1395"/>
      <c r="L1" s="1395"/>
      <c r="M1" s="1395"/>
      <c r="N1" s="1395"/>
      <c r="O1" s="1395"/>
      <c r="P1" s="1395"/>
      <c r="Q1" s="1395"/>
      <c r="R1" s="1395"/>
      <c r="S1" s="1395"/>
      <c r="T1" s="1395"/>
      <c r="U1" s="1395"/>
      <c r="V1" s="1395"/>
      <c r="W1" s="1395"/>
      <c r="X1" s="1395"/>
      <c r="Y1" s="1395"/>
      <c r="Z1" s="1395"/>
      <c r="AA1" s="1395"/>
      <c r="AB1" s="1395"/>
      <c r="AC1" s="1395"/>
      <c r="AD1" s="1395"/>
      <c r="AE1" s="1395"/>
      <c r="AF1" s="1395"/>
      <c r="AG1" s="1395"/>
      <c r="AH1" s="1395"/>
      <c r="AI1" s="1395"/>
      <c r="AJ1" s="1395"/>
      <c r="AK1" s="1395"/>
    </row>
    <row r="3" spans="1:37">
      <c r="A3" s="1839" t="s">
        <v>32</v>
      </c>
      <c r="B3" s="1840"/>
      <c r="C3" s="1395"/>
      <c r="D3" s="1395"/>
      <c r="E3" s="1395"/>
      <c r="F3" s="1395"/>
      <c r="G3" s="1395"/>
      <c r="H3" s="1395"/>
      <c r="I3" s="1395"/>
      <c r="J3" s="1395"/>
      <c r="K3" s="1395"/>
      <c r="L3" s="1395"/>
      <c r="M3" s="1395"/>
      <c r="N3" s="1395"/>
      <c r="O3" s="1395"/>
      <c r="P3" s="1395"/>
      <c r="Q3" s="1395"/>
      <c r="R3" s="1395"/>
      <c r="S3" s="1395"/>
      <c r="T3" s="1395"/>
      <c r="U3" s="1395"/>
      <c r="V3" s="1395"/>
      <c r="W3" s="1395"/>
      <c r="X3" s="1395"/>
      <c r="Y3" s="1395"/>
      <c r="Z3" s="1395"/>
      <c r="AA3" s="1395"/>
      <c r="AB3" s="1395"/>
      <c r="AC3" s="1395"/>
      <c r="AD3" s="1395"/>
      <c r="AE3" s="1395"/>
      <c r="AF3" s="1395"/>
      <c r="AG3" s="1395"/>
      <c r="AH3" s="1395"/>
      <c r="AI3" s="1395"/>
      <c r="AJ3" s="1395"/>
      <c r="AK3" s="1395"/>
    </row>
    <row r="4" spans="1:37" ht="18.75">
      <c r="A4" s="1397" t="s">
        <v>3514</v>
      </c>
      <c r="B4" s="1396" t="s">
        <v>581</v>
      </c>
      <c r="C4" s="1395"/>
      <c r="D4" s="1395"/>
      <c r="E4" s="1395"/>
      <c r="F4" s="1395"/>
      <c r="G4" s="1395"/>
      <c r="H4" s="1395"/>
      <c r="I4" s="1395"/>
      <c r="J4" s="1395"/>
      <c r="K4" s="1395"/>
      <c r="L4" s="1395"/>
      <c r="M4" s="1395"/>
      <c r="N4" s="1395"/>
      <c r="O4" s="1395"/>
      <c r="P4" s="1395"/>
      <c r="Q4" s="1395"/>
      <c r="R4" s="1395"/>
      <c r="S4" s="1395"/>
      <c r="T4" s="1395"/>
      <c r="U4" s="1395"/>
      <c r="V4" s="1395"/>
      <c r="W4" s="1395"/>
      <c r="X4" s="1395"/>
      <c r="Y4" s="1395"/>
      <c r="Z4" s="1395"/>
      <c r="AA4" s="1395"/>
      <c r="AB4" s="1395"/>
      <c r="AC4" s="1395"/>
      <c r="AD4" s="1395"/>
      <c r="AE4" s="1395"/>
      <c r="AF4" s="1395"/>
      <c r="AG4" s="1395"/>
      <c r="AH4" s="1395"/>
      <c r="AI4" s="1395"/>
      <c r="AJ4" s="1395"/>
      <c r="AK4" s="1395"/>
    </row>
    <row r="5" spans="1:37">
      <c r="A5" s="1398" t="s">
        <v>35</v>
      </c>
      <c r="B5" s="1396" t="s">
        <v>3515</v>
      </c>
      <c r="C5" s="1395"/>
      <c r="D5" s="1395"/>
      <c r="E5" s="1395"/>
      <c r="F5" s="1395"/>
      <c r="G5" s="1395"/>
      <c r="H5" s="1395"/>
      <c r="I5" s="1395"/>
      <c r="J5" s="1395"/>
      <c r="K5" s="1395"/>
      <c r="L5" s="1395"/>
      <c r="M5" s="1395"/>
      <c r="N5" s="1395"/>
      <c r="O5" s="1395"/>
      <c r="P5" s="1395"/>
      <c r="Q5" s="1395"/>
      <c r="R5" s="1395"/>
      <c r="S5" s="1395"/>
      <c r="T5" s="1395"/>
      <c r="U5" s="1395"/>
      <c r="V5" s="1395"/>
      <c r="W5" s="1395"/>
      <c r="X5" s="1395"/>
      <c r="Y5" s="1395"/>
      <c r="Z5" s="1395"/>
      <c r="AA5" s="1395"/>
      <c r="AB5" s="1395"/>
      <c r="AC5" s="1395"/>
      <c r="AD5" s="1395"/>
      <c r="AE5" s="1395"/>
      <c r="AF5" s="1395"/>
      <c r="AG5" s="1395"/>
      <c r="AH5" s="1395"/>
      <c r="AI5" s="1395"/>
      <c r="AJ5" s="1395"/>
      <c r="AK5" s="1395"/>
    </row>
    <row r="6" spans="1:37">
      <c r="A6" s="1398" t="s">
        <v>3516</v>
      </c>
      <c r="B6" s="1396" t="s">
        <v>3517</v>
      </c>
      <c r="C6" s="1395"/>
      <c r="D6" s="1395"/>
      <c r="E6" s="1395"/>
      <c r="F6" s="1395"/>
      <c r="G6" s="1395"/>
      <c r="H6" s="1395"/>
      <c r="I6" s="1395"/>
      <c r="J6" s="1395"/>
      <c r="K6" s="1395"/>
      <c r="L6" s="1395"/>
      <c r="M6" s="1395"/>
      <c r="N6" s="1395"/>
      <c r="O6" s="1395"/>
      <c r="P6" s="1395"/>
      <c r="Q6" s="1395"/>
      <c r="R6" s="1395"/>
      <c r="S6" s="1395"/>
      <c r="T6" s="1395"/>
      <c r="U6" s="1395"/>
      <c r="V6" s="1395"/>
      <c r="W6" s="1395"/>
      <c r="X6" s="1395"/>
      <c r="Y6" s="1395"/>
      <c r="Z6" s="1395"/>
      <c r="AA6" s="1395"/>
      <c r="AB6" s="1395"/>
      <c r="AC6" s="1395"/>
      <c r="AD6" s="1395"/>
      <c r="AE6" s="1395"/>
      <c r="AF6" s="1395"/>
      <c r="AG6" s="1395"/>
      <c r="AH6" s="1395"/>
      <c r="AI6" s="1395"/>
      <c r="AJ6" s="1395"/>
      <c r="AK6" s="1395"/>
    </row>
    <row r="7" spans="1:37">
      <c r="A7" s="1408" t="s">
        <v>3518</v>
      </c>
      <c r="B7" s="1396" t="s">
        <v>3517</v>
      </c>
      <c r="C7" s="1395"/>
      <c r="D7" s="1395"/>
      <c r="E7" s="1395"/>
      <c r="F7" s="1395"/>
      <c r="G7" s="1395"/>
      <c r="H7" s="1395"/>
      <c r="I7" s="1395"/>
      <c r="J7" s="1395"/>
      <c r="K7" s="1395"/>
      <c r="L7" s="1395"/>
      <c r="M7" s="1395"/>
      <c r="N7" s="1395"/>
      <c r="O7" s="1395"/>
      <c r="P7" s="1395"/>
      <c r="Q7" s="1395"/>
      <c r="R7" s="1395"/>
      <c r="S7" s="1395"/>
      <c r="T7" s="1395"/>
      <c r="U7" s="1395"/>
      <c r="V7" s="1395"/>
      <c r="W7" s="1395"/>
      <c r="X7" s="1395"/>
      <c r="Y7" s="1395"/>
      <c r="Z7" s="1395"/>
      <c r="AA7" s="1395"/>
      <c r="AB7" s="1395"/>
      <c r="AC7" s="1395"/>
      <c r="AD7" s="1395"/>
      <c r="AE7" s="1395"/>
      <c r="AF7" s="1395"/>
      <c r="AG7" s="1395"/>
      <c r="AH7" s="1395"/>
      <c r="AI7" s="1395"/>
      <c r="AJ7" s="1395"/>
      <c r="AK7" s="1395"/>
    </row>
    <row r="8" spans="1:37">
      <c r="A8" s="1408" t="s">
        <v>3519</v>
      </c>
      <c r="B8" s="1436" t="s">
        <v>3520</v>
      </c>
      <c r="C8" s="1395"/>
      <c r="D8" s="1395"/>
      <c r="E8" s="1395"/>
      <c r="F8" s="1395"/>
      <c r="G8" s="1395"/>
      <c r="H8" s="1395"/>
      <c r="I8" s="1395"/>
      <c r="J8" s="1395"/>
      <c r="K8" s="1395"/>
      <c r="L8" s="1395"/>
      <c r="M8" s="1395"/>
      <c r="N8" s="1395"/>
      <c r="O8" s="1395"/>
      <c r="P8" s="1395"/>
      <c r="Q8" s="1395"/>
      <c r="R8" s="1395"/>
      <c r="S8" s="1395"/>
      <c r="T8" s="1395"/>
      <c r="U8" s="1395"/>
      <c r="V8" s="1395"/>
      <c r="W8" s="1395"/>
      <c r="X8" s="1395"/>
      <c r="Y8" s="1395"/>
      <c r="Z8" s="1395"/>
      <c r="AA8" s="1395"/>
      <c r="AB8" s="1395"/>
      <c r="AC8" s="1395"/>
      <c r="AD8" s="1395"/>
      <c r="AE8" s="1395"/>
      <c r="AF8" s="1395"/>
      <c r="AG8" s="1395"/>
      <c r="AH8" s="1395"/>
      <c r="AI8" s="1395"/>
      <c r="AJ8" s="1395"/>
      <c r="AK8" s="1395"/>
    </row>
    <row r="9" spans="1:37">
      <c r="A9" s="1408" t="s">
        <v>3521</v>
      </c>
      <c r="B9" s="1436" t="s">
        <v>3520</v>
      </c>
      <c r="C9" s="1395"/>
      <c r="D9" s="1395"/>
      <c r="E9" s="1395"/>
      <c r="F9" s="1395"/>
      <c r="G9" s="1395"/>
      <c r="H9" s="1395"/>
      <c r="I9" s="1395"/>
      <c r="J9" s="1395"/>
      <c r="K9" s="1395"/>
      <c r="L9" s="1395"/>
      <c r="M9" s="1395"/>
      <c r="N9" s="1395"/>
      <c r="O9" s="1395"/>
      <c r="P9" s="1395"/>
      <c r="Q9" s="1395"/>
      <c r="R9" s="1395"/>
      <c r="S9" s="1395"/>
      <c r="T9" s="1395"/>
      <c r="U9" s="1395"/>
      <c r="V9" s="1395"/>
      <c r="W9" s="1395"/>
      <c r="X9" s="1395"/>
      <c r="Y9" s="1395"/>
      <c r="Z9" s="1395"/>
      <c r="AA9" s="1395"/>
      <c r="AB9" s="1395"/>
      <c r="AC9" s="1395"/>
      <c r="AD9" s="1395"/>
      <c r="AE9" s="1395"/>
      <c r="AF9" s="1395"/>
      <c r="AG9" s="1395"/>
      <c r="AH9" s="1395"/>
      <c r="AI9" s="1395"/>
      <c r="AJ9" s="1395"/>
      <c r="AK9" s="1395"/>
    </row>
    <row r="10" spans="1:37">
      <c r="A10" s="1408" t="s">
        <v>3522</v>
      </c>
      <c r="B10" s="1436" t="s">
        <v>3520</v>
      </c>
      <c r="C10" s="1395"/>
      <c r="D10" s="1395"/>
      <c r="E10" s="1395"/>
      <c r="F10" s="1395"/>
      <c r="G10" s="1395"/>
      <c r="H10" s="1395"/>
      <c r="I10" s="1395"/>
      <c r="J10" s="1395"/>
      <c r="K10" s="1395"/>
      <c r="L10" s="1395"/>
      <c r="M10" s="1395"/>
      <c r="N10" s="1395"/>
      <c r="O10" s="1395"/>
      <c r="P10" s="1395"/>
      <c r="Q10" s="1395"/>
      <c r="R10" s="1395"/>
      <c r="S10" s="1395"/>
      <c r="T10" s="1395"/>
      <c r="U10" s="1395"/>
      <c r="V10" s="1395"/>
      <c r="W10" s="1395"/>
      <c r="X10" s="1395"/>
      <c r="Y10" s="1395"/>
      <c r="Z10" s="1395"/>
      <c r="AA10" s="1395"/>
      <c r="AB10" s="1395"/>
      <c r="AC10" s="1395"/>
      <c r="AD10" s="1395"/>
      <c r="AE10" s="1395"/>
      <c r="AF10" s="1395"/>
      <c r="AG10" s="1395"/>
      <c r="AH10" s="1395"/>
      <c r="AI10" s="1395"/>
      <c r="AJ10" s="1395"/>
      <c r="AK10" s="1395"/>
    </row>
    <row r="11" spans="1:37">
      <c r="A11" s="1408" t="s">
        <v>3523</v>
      </c>
      <c r="B11" s="1436" t="s">
        <v>3520</v>
      </c>
      <c r="C11" s="1395"/>
      <c r="D11" s="1395"/>
      <c r="E11" s="1395"/>
      <c r="F11" s="1395"/>
      <c r="G11" s="1395"/>
      <c r="H11" s="1395"/>
      <c r="I11" s="1395"/>
      <c r="J11" s="1395"/>
      <c r="K11" s="1395"/>
      <c r="L11" s="1395"/>
      <c r="M11" s="1395"/>
      <c r="N11" s="1395"/>
      <c r="O11" s="1395"/>
      <c r="P11" s="1395"/>
      <c r="Q11" s="1395"/>
      <c r="R11" s="1395"/>
      <c r="S11" s="1395"/>
      <c r="T11" s="1395"/>
      <c r="U11" s="1395"/>
      <c r="V11" s="1395"/>
      <c r="W11" s="1395"/>
      <c r="X11" s="1395"/>
      <c r="Y11" s="1395"/>
      <c r="Z11" s="1395"/>
      <c r="AA11" s="1395"/>
      <c r="AB11" s="1395"/>
      <c r="AC11" s="1395"/>
      <c r="AD11" s="1395"/>
      <c r="AE11" s="1395"/>
      <c r="AF11" s="1395"/>
      <c r="AG11" s="1395"/>
      <c r="AH11" s="1395"/>
      <c r="AI11" s="1395"/>
      <c r="AJ11" s="1395"/>
      <c r="AK11" s="1395"/>
    </row>
    <row r="12" spans="1:37">
      <c r="A12" s="1408" t="s">
        <v>64</v>
      </c>
      <c r="B12" s="1436" t="s">
        <v>3520</v>
      </c>
      <c r="C12" s="1395"/>
      <c r="D12" s="1395"/>
      <c r="E12" s="1395"/>
      <c r="F12" s="1395"/>
      <c r="G12" s="1395"/>
      <c r="H12" s="1395"/>
      <c r="I12" s="1395"/>
      <c r="J12" s="1395"/>
      <c r="K12" s="1395"/>
      <c r="L12" s="1395"/>
      <c r="M12" s="1395"/>
      <c r="N12" s="1395"/>
      <c r="O12" s="1395"/>
      <c r="P12" s="1395"/>
      <c r="Q12" s="1395"/>
      <c r="R12" s="1395"/>
      <c r="S12" s="1395"/>
      <c r="T12" s="1395"/>
      <c r="U12" s="1395"/>
      <c r="V12" s="1395"/>
      <c r="W12" s="1395"/>
      <c r="X12" s="1395"/>
      <c r="Y12" s="1395"/>
      <c r="Z12" s="1395"/>
      <c r="AA12" s="1395"/>
      <c r="AB12" s="1395"/>
      <c r="AC12" s="1395"/>
      <c r="AD12" s="1395"/>
      <c r="AE12" s="1395"/>
      <c r="AF12" s="1395"/>
      <c r="AG12" s="1395"/>
      <c r="AH12" s="1395"/>
      <c r="AI12" s="1395"/>
      <c r="AJ12" s="1395"/>
      <c r="AK12" s="1395"/>
    </row>
    <row r="14" spans="1:37" s="13" customFormat="1" ht="20.25" customHeight="1">
      <c r="A14" s="1841" t="s">
        <v>3524</v>
      </c>
      <c r="B14" s="1842"/>
      <c r="C14" s="1842"/>
      <c r="D14" s="1400"/>
      <c r="E14" s="1400"/>
      <c r="F14" s="1400"/>
      <c r="G14" s="1400"/>
      <c r="H14" s="1400"/>
      <c r="I14" s="1400"/>
      <c r="J14" s="1400"/>
      <c r="K14" s="1400"/>
      <c r="L14" s="1400"/>
      <c r="M14" s="1400"/>
      <c r="N14" s="1400"/>
      <c r="O14" s="1400"/>
      <c r="P14" s="1400"/>
      <c r="Q14" s="1400"/>
      <c r="R14" s="1400"/>
      <c r="S14" s="1400"/>
      <c r="T14" s="1400"/>
      <c r="U14" s="1400"/>
      <c r="V14" s="1400"/>
      <c r="W14" s="1400"/>
      <c r="X14" s="1400"/>
      <c r="Y14" s="1400"/>
      <c r="Z14" s="1400"/>
      <c r="AA14" s="1400"/>
      <c r="AB14" s="1400"/>
      <c r="AC14" s="1400"/>
      <c r="AD14" s="1400"/>
      <c r="AE14" s="1400"/>
      <c r="AF14" s="1400"/>
      <c r="AG14" s="1400"/>
      <c r="AH14" s="1400"/>
      <c r="AI14" s="1400"/>
      <c r="AJ14" s="1400"/>
      <c r="AK14" s="1400"/>
    </row>
    <row r="15" spans="1:37" s="13" customFormat="1" ht="25.5" customHeight="1" outlineLevel="1">
      <c r="A15" s="1449" t="s">
        <v>3525</v>
      </c>
      <c r="B15" s="1400"/>
      <c r="C15" s="1400"/>
      <c r="D15" s="1400"/>
      <c r="E15" s="1400"/>
      <c r="F15" s="1400"/>
      <c r="G15" s="1400"/>
      <c r="H15" s="1400"/>
      <c r="I15" s="1400"/>
      <c r="J15" s="1400"/>
      <c r="K15" s="1400"/>
      <c r="L15" s="1400"/>
      <c r="M15" s="1400"/>
      <c r="N15" s="1400"/>
      <c r="O15" s="1400"/>
      <c r="P15" s="1400"/>
      <c r="Q15" s="1400"/>
      <c r="R15" s="1400"/>
      <c r="S15" s="1400"/>
      <c r="T15" s="1400"/>
      <c r="U15" s="1400"/>
      <c r="V15" s="1410" t="s">
        <v>3526</v>
      </c>
      <c r="W15" s="1400"/>
      <c r="X15" s="1400"/>
      <c r="Y15" s="1400"/>
      <c r="Z15" s="1400"/>
      <c r="AA15" s="1400"/>
      <c r="AB15" s="1400"/>
      <c r="AC15" s="1400"/>
      <c r="AD15" s="1410" t="s">
        <v>3527</v>
      </c>
      <c r="AE15" s="1400"/>
      <c r="AF15" s="1400"/>
      <c r="AG15" s="1400"/>
      <c r="AH15" s="1400"/>
      <c r="AI15" s="1400"/>
      <c r="AJ15" s="1400"/>
      <c r="AK15" s="1400"/>
    </row>
    <row r="16" spans="1:37" s="13" customFormat="1" ht="18.75" customHeight="1" outlineLevel="1">
      <c r="A16" s="1846" t="s">
        <v>604</v>
      </c>
      <c r="B16" s="1437" t="s">
        <v>3528</v>
      </c>
      <c r="C16" s="1848" t="s">
        <v>3529</v>
      </c>
      <c r="D16" s="1849"/>
      <c r="E16" s="1852" t="s">
        <v>3530</v>
      </c>
      <c r="F16" s="1853"/>
      <c r="G16" s="1854"/>
      <c r="H16" s="1852" t="s">
        <v>3531</v>
      </c>
      <c r="I16" s="1853"/>
      <c r="J16" s="1882" t="s">
        <v>3532</v>
      </c>
      <c r="K16" s="1883"/>
      <c r="L16" s="1906" t="s">
        <v>3533</v>
      </c>
      <c r="M16" s="1892" t="s">
        <v>3534</v>
      </c>
      <c r="N16" s="1890" t="s">
        <v>3535</v>
      </c>
      <c r="O16" s="1890" t="s">
        <v>3536</v>
      </c>
      <c r="P16" s="1890" t="s">
        <v>3537</v>
      </c>
      <c r="Q16" s="1400"/>
      <c r="R16" s="1400"/>
      <c r="S16" s="1400"/>
      <c r="T16" s="1400"/>
      <c r="U16" s="1400"/>
      <c r="V16" s="1846" t="s">
        <v>604</v>
      </c>
      <c r="W16" s="1437" t="s">
        <v>3528</v>
      </c>
      <c r="X16" s="1848" t="s">
        <v>3529</v>
      </c>
      <c r="Y16" s="1849"/>
      <c r="Z16" s="1848" t="s">
        <v>3532</v>
      </c>
      <c r="AA16" s="1893"/>
      <c r="AB16" s="1888" t="s">
        <v>3533</v>
      </c>
      <c r="AC16" s="1400"/>
      <c r="AD16" s="1846" t="s">
        <v>604</v>
      </c>
      <c r="AE16" s="1437" t="s">
        <v>3528</v>
      </c>
      <c r="AF16" s="1848" t="s">
        <v>3529</v>
      </c>
      <c r="AG16" s="1849"/>
      <c r="AH16" s="1848" t="s">
        <v>3532</v>
      </c>
      <c r="AI16" s="1893"/>
      <c r="AJ16" s="1888" t="s">
        <v>3533</v>
      </c>
      <c r="AK16" s="1892" t="s">
        <v>3534</v>
      </c>
    </row>
    <row r="17" spans="1:37" s="13" customFormat="1" ht="16.5" customHeight="1" outlineLevel="1">
      <c r="A17" s="1847"/>
      <c r="B17" s="1438" t="s">
        <v>3538</v>
      </c>
      <c r="C17" s="1850"/>
      <c r="D17" s="1851"/>
      <c r="E17" s="1403" t="s">
        <v>3539</v>
      </c>
      <c r="F17" s="1855" t="s">
        <v>3540</v>
      </c>
      <c r="G17" s="1857"/>
      <c r="H17" s="1855"/>
      <c r="I17" s="1856"/>
      <c r="J17" s="1884"/>
      <c r="K17" s="1885"/>
      <c r="L17" s="1907"/>
      <c r="M17" s="1892"/>
      <c r="N17" s="1891"/>
      <c r="O17" s="1891"/>
      <c r="P17" s="1891"/>
      <c r="Q17" s="1400"/>
      <c r="R17" s="1400"/>
      <c r="S17" s="1400"/>
      <c r="T17" s="1400"/>
      <c r="U17" s="1400"/>
      <c r="V17" s="1847"/>
      <c r="W17" s="1438" t="s">
        <v>3538</v>
      </c>
      <c r="X17" s="1850"/>
      <c r="Y17" s="1851"/>
      <c r="Z17" s="1894"/>
      <c r="AA17" s="1895"/>
      <c r="AB17" s="1889"/>
      <c r="AC17" s="1400"/>
      <c r="AD17" s="1847"/>
      <c r="AE17" s="1438" t="s">
        <v>3538</v>
      </c>
      <c r="AF17" s="1850"/>
      <c r="AG17" s="1851"/>
      <c r="AH17" s="1894"/>
      <c r="AI17" s="1895"/>
      <c r="AJ17" s="1889"/>
      <c r="AK17" s="1892"/>
    </row>
    <row r="18" spans="1:37" s="13" customFormat="1" ht="19.5" customHeight="1" outlineLevel="1">
      <c r="A18" s="1843" t="s">
        <v>3541</v>
      </c>
      <c r="B18" s="1864">
        <v>1</v>
      </c>
      <c r="C18" s="1426">
        <v>0.5</v>
      </c>
      <c r="D18" s="1427" t="s">
        <v>3542</v>
      </c>
      <c r="E18" s="1429">
        <v>0.4995</v>
      </c>
      <c r="F18" s="1858">
        <v>0.50009999999999999</v>
      </c>
      <c r="G18" s="1859"/>
      <c r="H18" s="1860">
        <v>0.49980000000000002</v>
      </c>
      <c r="I18" s="1861"/>
      <c r="J18" s="1862">
        <v>-9.9999999999988987E-3</v>
      </c>
      <c r="K18" s="1863"/>
      <c r="L18" s="1440">
        <v>5.9999999999998943E-2</v>
      </c>
      <c r="M18" s="1450"/>
      <c r="N18" s="1451"/>
      <c r="O18" s="1451"/>
      <c r="P18" s="1451"/>
      <c r="Q18" s="1400"/>
      <c r="R18" s="1400"/>
      <c r="S18" s="1400"/>
      <c r="T18" s="1400"/>
      <c r="U18" s="1400"/>
      <c r="V18" s="1833" t="s">
        <v>3541</v>
      </c>
      <c r="W18" s="1836">
        <v>1</v>
      </c>
      <c r="X18" s="1443">
        <v>0.5</v>
      </c>
      <c r="Y18" s="1444" t="s">
        <v>3542</v>
      </c>
      <c r="Z18" s="1886">
        <v>0</v>
      </c>
      <c r="AA18" s="1887"/>
      <c r="AB18" s="1445" t="e">
        <v>#VALUE!</v>
      </c>
      <c r="AC18" s="1400"/>
      <c r="AD18" s="1833" t="s">
        <v>3541</v>
      </c>
      <c r="AE18" s="1836">
        <v>1</v>
      </c>
      <c r="AF18" s="1443">
        <v>0.5</v>
      </c>
      <c r="AG18" s="1444" t="s">
        <v>3542</v>
      </c>
      <c r="AH18" s="1886">
        <v>0</v>
      </c>
      <c r="AI18" s="1887"/>
      <c r="AJ18" s="1445" t="e">
        <v>#VALUE!</v>
      </c>
      <c r="AK18" s="1454"/>
    </row>
    <row r="19" spans="1:37" s="13" customFormat="1" ht="19.5" customHeight="1" outlineLevel="1">
      <c r="A19" s="1844"/>
      <c r="B19" s="1865"/>
      <c r="C19" s="1426">
        <v>0.6</v>
      </c>
      <c r="D19" s="1427" t="s">
        <v>3542</v>
      </c>
      <c r="E19" s="1429">
        <v>0.59860000000000002</v>
      </c>
      <c r="F19" s="1858">
        <v>0.59840000000000004</v>
      </c>
      <c r="G19" s="1859"/>
      <c r="H19" s="1860">
        <v>0.59850000000000003</v>
      </c>
      <c r="I19" s="1861"/>
      <c r="J19" s="1862">
        <v>0.13999999999999568</v>
      </c>
      <c r="K19" s="1863"/>
      <c r="L19" s="1440">
        <v>1.9999999999997797E-2</v>
      </c>
      <c r="M19" s="1452"/>
      <c r="N19" s="1453"/>
      <c r="O19" s="1453"/>
      <c r="P19" s="1453"/>
      <c r="Q19" s="1400"/>
      <c r="R19" s="1400"/>
      <c r="S19" s="1400"/>
      <c r="T19" s="1400"/>
      <c r="U19" s="1400"/>
      <c r="V19" s="1834"/>
      <c r="W19" s="1837"/>
      <c r="X19" s="1443">
        <v>0.6</v>
      </c>
      <c r="Y19" s="1444" t="s">
        <v>3542</v>
      </c>
      <c r="Z19" s="1886">
        <v>0</v>
      </c>
      <c r="AA19" s="1887"/>
      <c r="AB19" s="1445">
        <v>0</v>
      </c>
      <c r="AC19" s="1400"/>
      <c r="AD19" s="1834"/>
      <c r="AE19" s="1837"/>
      <c r="AF19" s="1443">
        <v>0.6</v>
      </c>
      <c r="AG19" s="1444" t="s">
        <v>3542</v>
      </c>
      <c r="AH19" s="1886">
        <v>0</v>
      </c>
      <c r="AI19" s="1887"/>
      <c r="AJ19" s="1445">
        <v>0</v>
      </c>
      <c r="AK19" s="1455"/>
    </row>
    <row r="20" spans="1:37" s="13" customFormat="1" ht="19.5" customHeight="1" outlineLevel="1">
      <c r="A20" s="1844"/>
      <c r="B20" s="1865"/>
      <c r="C20" s="1426">
        <v>0.7</v>
      </c>
      <c r="D20" s="1427" t="s">
        <v>3542</v>
      </c>
      <c r="E20" s="1429">
        <v>0.7</v>
      </c>
      <c r="F20" s="1858">
        <v>0.70030000000000003</v>
      </c>
      <c r="G20" s="1859"/>
      <c r="H20" s="1860">
        <v>0.70015000000000005</v>
      </c>
      <c r="I20" s="1861"/>
      <c r="J20" s="1862">
        <v>-3.0000000000007798E-2</v>
      </c>
      <c r="K20" s="1863"/>
      <c r="L20" s="1440">
        <v>3.0000000000007798E-2</v>
      </c>
      <c r="M20" s="1452"/>
      <c r="N20" s="1453"/>
      <c r="O20" s="1453"/>
      <c r="P20" s="1453"/>
      <c r="Q20" s="1400"/>
      <c r="R20" s="1400"/>
      <c r="S20" s="1400"/>
      <c r="T20" s="1400"/>
      <c r="U20" s="1400"/>
      <c r="V20" s="1834"/>
      <c r="W20" s="1837"/>
      <c r="X20" s="1443">
        <v>0.7</v>
      </c>
      <c r="Y20" s="1444" t="s">
        <v>3542</v>
      </c>
      <c r="Z20" s="1886">
        <v>0</v>
      </c>
      <c r="AA20" s="1887"/>
      <c r="AB20" s="1445">
        <v>0</v>
      </c>
      <c r="AC20" s="1400"/>
      <c r="AD20" s="1834"/>
      <c r="AE20" s="1837"/>
      <c r="AF20" s="1443">
        <v>0.7</v>
      </c>
      <c r="AG20" s="1444" t="s">
        <v>3542</v>
      </c>
      <c r="AH20" s="1886">
        <v>0</v>
      </c>
      <c r="AI20" s="1887"/>
      <c r="AJ20" s="1445">
        <v>0</v>
      </c>
      <c r="AK20" s="1455"/>
    </row>
    <row r="21" spans="1:37" s="13" customFormat="1" ht="20.25" customHeight="1" outlineLevel="1">
      <c r="A21" s="1844"/>
      <c r="B21" s="1865"/>
      <c r="C21" s="1426">
        <v>0.8</v>
      </c>
      <c r="D21" s="1427" t="s">
        <v>3542</v>
      </c>
      <c r="E21" s="1429">
        <v>0.79949999999999999</v>
      </c>
      <c r="F21" s="1858">
        <v>0.79979999999999996</v>
      </c>
      <c r="G21" s="1859"/>
      <c r="H21" s="1860">
        <v>0.79964999999999997</v>
      </c>
      <c r="I21" s="1861"/>
      <c r="J21" s="1862">
        <v>2.00000000000089E-2</v>
      </c>
      <c r="K21" s="1863"/>
      <c r="L21" s="1440">
        <v>2.9999999999996696E-2</v>
      </c>
      <c r="M21" s="1452"/>
      <c r="N21" s="1453"/>
      <c r="O21" s="1453"/>
      <c r="P21" s="1453"/>
      <c r="Q21" s="1400"/>
      <c r="R21" s="1400"/>
      <c r="S21" s="1400"/>
      <c r="T21" s="1400"/>
      <c r="U21" s="1400"/>
      <c r="V21" s="1834"/>
      <c r="W21" s="1837"/>
      <c r="X21" s="1443">
        <v>0.8</v>
      </c>
      <c r="Y21" s="1444" t="s">
        <v>3542</v>
      </c>
      <c r="Z21" s="1886">
        <v>0</v>
      </c>
      <c r="AA21" s="1887"/>
      <c r="AB21" s="1445">
        <v>0</v>
      </c>
      <c r="AC21" s="1400"/>
      <c r="AD21" s="1834"/>
      <c r="AE21" s="1837"/>
      <c r="AF21" s="1443">
        <v>0.8</v>
      </c>
      <c r="AG21" s="1444" t="s">
        <v>3542</v>
      </c>
      <c r="AH21" s="1886">
        <v>0</v>
      </c>
      <c r="AI21" s="1887"/>
      <c r="AJ21" s="1445">
        <v>0</v>
      </c>
      <c r="AK21" s="1455"/>
    </row>
    <row r="22" spans="1:37" s="13" customFormat="1" ht="19.5" customHeight="1" outlineLevel="1">
      <c r="A22" s="1844"/>
      <c r="B22" s="1865"/>
      <c r="C22" s="1426">
        <v>0.9</v>
      </c>
      <c r="D22" s="1427" t="s">
        <v>3542</v>
      </c>
      <c r="E22" s="1429">
        <v>0.90100000000000002</v>
      </c>
      <c r="F22" s="1858">
        <v>0.90090000000000003</v>
      </c>
      <c r="G22" s="1859"/>
      <c r="H22" s="1860">
        <v>0.90095000000000003</v>
      </c>
      <c r="I22" s="1861"/>
      <c r="J22" s="1862">
        <v>-0.10000000000000009</v>
      </c>
      <c r="K22" s="1863"/>
      <c r="L22" s="1440">
        <v>9.9999999999988987E-3</v>
      </c>
      <c r="M22" s="1452"/>
      <c r="N22" s="1453"/>
      <c r="O22" s="1453"/>
      <c r="P22" s="1453"/>
      <c r="Q22" s="1400"/>
      <c r="R22" s="1400"/>
      <c r="S22" s="1400"/>
      <c r="T22" s="1400"/>
      <c r="U22" s="1400"/>
      <c r="V22" s="1834"/>
      <c r="W22" s="1837"/>
      <c r="X22" s="1443">
        <v>0.9</v>
      </c>
      <c r="Y22" s="1444" t="s">
        <v>3542</v>
      </c>
      <c r="Z22" s="1886">
        <v>0</v>
      </c>
      <c r="AA22" s="1887"/>
      <c r="AB22" s="1445">
        <v>0</v>
      </c>
      <c r="AC22" s="1400"/>
      <c r="AD22" s="1834"/>
      <c r="AE22" s="1837"/>
      <c r="AF22" s="1443">
        <v>0.9</v>
      </c>
      <c r="AG22" s="1444" t="s">
        <v>3542</v>
      </c>
      <c r="AH22" s="1886">
        <v>0</v>
      </c>
      <c r="AI22" s="1887"/>
      <c r="AJ22" s="1445">
        <v>0</v>
      </c>
      <c r="AK22" s="1455"/>
    </row>
    <row r="23" spans="1:37" s="13" customFormat="1" ht="19.5" customHeight="1" outlineLevel="1">
      <c r="A23" s="1844"/>
      <c r="B23" s="1865"/>
      <c r="C23" s="1426">
        <v>1</v>
      </c>
      <c r="D23" s="1428"/>
      <c r="E23" s="1429">
        <v>1</v>
      </c>
      <c r="F23" s="1858">
        <v>1</v>
      </c>
      <c r="G23" s="1859"/>
      <c r="H23" s="1860">
        <v>1</v>
      </c>
      <c r="I23" s="1861"/>
      <c r="J23" s="1862">
        <v>0</v>
      </c>
      <c r="K23" s="1863"/>
      <c r="L23" s="1440">
        <v>0</v>
      </c>
      <c r="M23" s="1452"/>
      <c r="N23" s="1453"/>
      <c r="O23" s="1453"/>
      <c r="P23" s="1453"/>
      <c r="Q23" s="1400"/>
      <c r="R23" s="1400"/>
      <c r="S23" s="1400"/>
      <c r="T23" s="1400"/>
      <c r="U23" s="1400"/>
      <c r="V23" s="1834"/>
      <c r="W23" s="1837"/>
      <c r="X23" s="1443">
        <v>1</v>
      </c>
      <c r="Y23" s="1446"/>
      <c r="Z23" s="1886">
        <v>0</v>
      </c>
      <c r="AA23" s="1887"/>
      <c r="AB23" s="1445">
        <v>0</v>
      </c>
      <c r="AC23" s="1400"/>
      <c r="AD23" s="1834"/>
      <c r="AE23" s="1837"/>
      <c r="AF23" s="1443">
        <v>1</v>
      </c>
      <c r="AG23" s="1446"/>
      <c r="AH23" s="1886">
        <v>0</v>
      </c>
      <c r="AI23" s="1887"/>
      <c r="AJ23" s="1445">
        <v>0</v>
      </c>
      <c r="AK23" s="1455"/>
    </row>
    <row r="24" spans="1:37" s="13" customFormat="1" ht="19.5" customHeight="1" outlineLevel="1">
      <c r="A24" s="1844"/>
      <c r="B24" s="1865"/>
      <c r="C24" s="1426">
        <v>0.9</v>
      </c>
      <c r="D24" s="1427" t="s">
        <v>3543</v>
      </c>
      <c r="E24" s="1429">
        <v>0.89749999999999996</v>
      </c>
      <c r="F24" s="1858">
        <v>0.8972</v>
      </c>
      <c r="G24" s="1859"/>
      <c r="H24" s="1860">
        <v>0.89734999999999998</v>
      </c>
      <c r="I24" s="1861"/>
      <c r="J24" s="1862">
        <v>0.25000000000000577</v>
      </c>
      <c r="K24" s="1863"/>
      <c r="L24" s="1440">
        <v>2.9999999999996696E-2</v>
      </c>
      <c r="M24" s="1452"/>
      <c r="N24" s="1453"/>
      <c r="O24" s="1453"/>
      <c r="P24" s="1453"/>
      <c r="Q24" s="1400"/>
      <c r="R24" s="1400"/>
      <c r="S24" s="1400"/>
      <c r="T24" s="1400"/>
      <c r="U24" s="1400"/>
      <c r="V24" s="1834"/>
      <c r="W24" s="1837"/>
      <c r="X24" s="1443">
        <v>0.9</v>
      </c>
      <c r="Y24" s="1444" t="s">
        <v>3543</v>
      </c>
      <c r="Z24" s="1886">
        <v>0</v>
      </c>
      <c r="AA24" s="1887"/>
      <c r="AB24" s="1445">
        <v>0</v>
      </c>
      <c r="AC24" s="1400"/>
      <c r="AD24" s="1834"/>
      <c r="AE24" s="1837"/>
      <c r="AF24" s="1443">
        <v>0.9</v>
      </c>
      <c r="AG24" s="1444" t="s">
        <v>3543</v>
      </c>
      <c r="AH24" s="1886">
        <v>0</v>
      </c>
      <c r="AI24" s="1887"/>
      <c r="AJ24" s="1445">
        <v>0</v>
      </c>
      <c r="AK24" s="1455"/>
    </row>
    <row r="25" spans="1:37" s="13" customFormat="1" ht="19.5" customHeight="1" outlineLevel="1">
      <c r="A25" s="1844"/>
      <c r="B25" s="1865"/>
      <c r="C25" s="1426">
        <v>0.8</v>
      </c>
      <c r="D25" s="1427" t="s">
        <v>3543</v>
      </c>
      <c r="E25" s="1429">
        <v>0.79700000000000004</v>
      </c>
      <c r="F25" s="1858">
        <v>0.79690000000000005</v>
      </c>
      <c r="G25" s="1859"/>
      <c r="H25" s="1860">
        <v>0.79695000000000005</v>
      </c>
      <c r="I25" s="1861"/>
      <c r="J25" s="1862">
        <v>0.30000000000000027</v>
      </c>
      <c r="K25" s="1863"/>
      <c r="L25" s="1440">
        <v>9.9999999999988987E-3</v>
      </c>
      <c r="M25" s="1452"/>
      <c r="N25" s="1453"/>
      <c r="O25" s="1453"/>
      <c r="P25" s="1453"/>
      <c r="Q25" s="1400"/>
      <c r="R25" s="1400"/>
      <c r="S25" s="1400"/>
      <c r="T25" s="1400"/>
      <c r="U25" s="1400"/>
      <c r="V25" s="1834"/>
      <c r="W25" s="1837"/>
      <c r="X25" s="1443">
        <v>0.8</v>
      </c>
      <c r="Y25" s="1444" t="s">
        <v>3543</v>
      </c>
      <c r="Z25" s="1886">
        <v>0</v>
      </c>
      <c r="AA25" s="1887"/>
      <c r="AB25" s="1445">
        <v>0</v>
      </c>
      <c r="AC25" s="1400"/>
      <c r="AD25" s="1834"/>
      <c r="AE25" s="1837"/>
      <c r="AF25" s="1443">
        <v>0.8</v>
      </c>
      <c r="AG25" s="1444" t="s">
        <v>3543</v>
      </c>
      <c r="AH25" s="1886">
        <v>0</v>
      </c>
      <c r="AI25" s="1887"/>
      <c r="AJ25" s="1445">
        <v>0</v>
      </c>
      <c r="AK25" s="1455"/>
    </row>
    <row r="26" spans="1:37" s="13" customFormat="1" ht="19.5" customHeight="1" outlineLevel="1">
      <c r="A26" s="1844"/>
      <c r="B26" s="1865"/>
      <c r="C26" s="1426">
        <v>0.7</v>
      </c>
      <c r="D26" s="1427" t="s">
        <v>3543</v>
      </c>
      <c r="E26" s="1429">
        <v>0.69750000000000001</v>
      </c>
      <c r="F26" s="1858">
        <v>0.69730000000000003</v>
      </c>
      <c r="G26" s="1859"/>
      <c r="H26" s="1860">
        <v>0.69740000000000002</v>
      </c>
      <c r="I26" s="1861"/>
      <c r="J26" s="1862">
        <v>0.24999999999999467</v>
      </c>
      <c r="K26" s="1863"/>
      <c r="L26" s="1440">
        <v>1.9999999999997797E-2</v>
      </c>
      <c r="M26" s="1452"/>
      <c r="N26" s="1453"/>
      <c r="O26" s="1453"/>
      <c r="P26" s="1453"/>
      <c r="Q26" s="1400"/>
      <c r="R26" s="1400"/>
      <c r="S26" s="1400"/>
      <c r="T26" s="1400"/>
      <c r="U26" s="1412"/>
      <c r="V26" s="1834"/>
      <c r="W26" s="1837"/>
      <c r="X26" s="1443">
        <v>0.7</v>
      </c>
      <c r="Y26" s="1444" t="s">
        <v>3543</v>
      </c>
      <c r="Z26" s="1886">
        <v>0</v>
      </c>
      <c r="AA26" s="1887"/>
      <c r="AB26" s="1445">
        <v>0</v>
      </c>
      <c r="AC26" s="1400"/>
      <c r="AD26" s="1834"/>
      <c r="AE26" s="1837"/>
      <c r="AF26" s="1443">
        <v>0.7</v>
      </c>
      <c r="AG26" s="1444" t="s">
        <v>3543</v>
      </c>
      <c r="AH26" s="1886">
        <v>0</v>
      </c>
      <c r="AI26" s="1887"/>
      <c r="AJ26" s="1445">
        <v>0</v>
      </c>
      <c r="AK26" s="1455"/>
    </row>
    <row r="27" spans="1:37" s="13" customFormat="1" ht="19.5" customHeight="1" outlineLevel="1">
      <c r="A27" s="1844"/>
      <c r="B27" s="1865"/>
      <c r="C27" s="1426">
        <v>0.6</v>
      </c>
      <c r="D27" s="1427" t="s">
        <v>3543</v>
      </c>
      <c r="E27" s="1429">
        <v>0.59789999999999999</v>
      </c>
      <c r="F27" s="1858">
        <v>0.59770000000000001</v>
      </c>
      <c r="G27" s="1859"/>
      <c r="H27" s="1860">
        <v>0.5978</v>
      </c>
      <c r="I27" s="1861"/>
      <c r="J27" s="1862">
        <v>0.20999999999999908</v>
      </c>
      <c r="K27" s="1863"/>
      <c r="L27" s="1440">
        <v>1.9999999999997797E-2</v>
      </c>
      <c r="M27" s="1452"/>
      <c r="N27" s="1453"/>
      <c r="O27" s="1453"/>
      <c r="P27" s="1453"/>
      <c r="Q27" s="1400"/>
      <c r="R27" s="1400"/>
      <c r="S27" s="1400"/>
      <c r="T27" s="1400"/>
      <c r="U27" s="1400"/>
      <c r="V27" s="1834"/>
      <c r="W27" s="1837"/>
      <c r="X27" s="1443">
        <v>0.6</v>
      </c>
      <c r="Y27" s="1444" t="s">
        <v>3543</v>
      </c>
      <c r="Z27" s="1886">
        <v>0</v>
      </c>
      <c r="AA27" s="1887"/>
      <c r="AB27" s="1445">
        <v>0</v>
      </c>
      <c r="AC27" s="1400"/>
      <c r="AD27" s="1834"/>
      <c r="AE27" s="1837"/>
      <c r="AF27" s="1443">
        <v>0.6</v>
      </c>
      <c r="AG27" s="1444" t="s">
        <v>3543</v>
      </c>
      <c r="AH27" s="1886">
        <v>0</v>
      </c>
      <c r="AI27" s="1887"/>
      <c r="AJ27" s="1445">
        <v>0</v>
      </c>
      <c r="AK27" s="1455"/>
    </row>
    <row r="28" spans="1:37" s="13" customFormat="1" ht="19.5" customHeight="1" outlineLevel="1">
      <c r="A28" s="1845"/>
      <c r="B28" s="1866"/>
      <c r="C28" s="1426">
        <v>0.5</v>
      </c>
      <c r="D28" s="1427" t="s">
        <v>3543</v>
      </c>
      <c r="E28" s="1429">
        <v>0.499</v>
      </c>
      <c r="F28" s="1858">
        <v>0.49880000000000002</v>
      </c>
      <c r="G28" s="1859"/>
      <c r="H28" s="1860">
        <v>0.49890000000000001</v>
      </c>
      <c r="I28" s="1861"/>
      <c r="J28" s="1862">
        <v>0.10000000000000009</v>
      </c>
      <c r="K28" s="1863"/>
      <c r="L28" s="1440">
        <v>1.9999999999997797E-2</v>
      </c>
      <c r="M28" s="1450"/>
      <c r="N28" s="1451"/>
      <c r="O28" s="1451"/>
      <c r="P28" s="1451"/>
      <c r="Q28" s="1400"/>
      <c r="R28" s="1400"/>
      <c r="S28" s="1400"/>
      <c r="T28" s="1400"/>
      <c r="U28" s="1400"/>
      <c r="V28" s="1835"/>
      <c r="W28" s="1838"/>
      <c r="X28" s="1443">
        <v>0.5</v>
      </c>
      <c r="Y28" s="1444" t="s">
        <v>3543</v>
      </c>
      <c r="Z28" s="1886">
        <v>0</v>
      </c>
      <c r="AA28" s="1887"/>
      <c r="AB28" s="1445">
        <v>0</v>
      </c>
      <c r="AC28" s="1400"/>
      <c r="AD28" s="1835"/>
      <c r="AE28" s="1838"/>
      <c r="AF28" s="1443">
        <v>0.5</v>
      </c>
      <c r="AG28" s="1444" t="s">
        <v>3543</v>
      </c>
      <c r="AH28" s="1886">
        <v>0</v>
      </c>
      <c r="AI28" s="1887"/>
      <c r="AJ28" s="1445">
        <v>0</v>
      </c>
      <c r="AK28" s="1454"/>
    </row>
    <row r="29" spans="1:37" s="13" customFormat="1" ht="19.5" customHeight="1" outlineLevel="1">
      <c r="A29" s="1843" t="s">
        <v>3544</v>
      </c>
      <c r="B29" s="1864">
        <v>1</v>
      </c>
      <c r="C29" s="1426">
        <v>0.5</v>
      </c>
      <c r="D29" s="1427" t="s">
        <v>3542</v>
      </c>
      <c r="E29" s="1429">
        <v>0.50149999999999995</v>
      </c>
      <c r="F29" s="1858">
        <v>0.50129999999999997</v>
      </c>
      <c r="G29" s="1859"/>
      <c r="H29" s="1860">
        <v>0.50139999999999996</v>
      </c>
      <c r="I29" s="1861"/>
      <c r="J29" s="1862">
        <v>-0.14999999999999458</v>
      </c>
      <c r="K29" s="1863"/>
      <c r="L29" s="1440">
        <v>1.9999999999997797E-2</v>
      </c>
      <c r="M29" s="1450"/>
      <c r="N29" s="1451"/>
      <c r="O29" s="1451"/>
      <c r="P29" s="1451"/>
      <c r="Q29" s="1400"/>
      <c r="R29" s="1400"/>
      <c r="S29" s="1400"/>
      <c r="T29" s="1400"/>
      <c r="U29" s="1400"/>
      <c r="V29" s="1833" t="s">
        <v>3544</v>
      </c>
      <c r="W29" s="1836">
        <v>1</v>
      </c>
      <c r="X29" s="1443">
        <v>0.5</v>
      </c>
      <c r="Y29" s="1444" t="s">
        <v>3542</v>
      </c>
      <c r="Z29" s="1886">
        <v>0</v>
      </c>
      <c r="AA29" s="1887"/>
      <c r="AB29" s="1445" t="e">
        <v>#VALUE!</v>
      </c>
      <c r="AC29" s="1400"/>
      <c r="AD29" s="1833" t="s">
        <v>3544</v>
      </c>
      <c r="AE29" s="1836">
        <v>1</v>
      </c>
      <c r="AF29" s="1443">
        <v>0.5</v>
      </c>
      <c r="AG29" s="1444" t="s">
        <v>3542</v>
      </c>
      <c r="AH29" s="1886">
        <v>0</v>
      </c>
      <c r="AI29" s="1887"/>
      <c r="AJ29" s="1445" t="e">
        <v>#VALUE!</v>
      </c>
      <c r="AK29" s="1454"/>
    </row>
    <row r="30" spans="1:37" s="13" customFormat="1" ht="19.5" customHeight="1" outlineLevel="1">
      <c r="A30" s="1844"/>
      <c r="B30" s="1865"/>
      <c r="C30" s="1426">
        <v>1</v>
      </c>
      <c r="D30" s="1428"/>
      <c r="E30" s="1429">
        <v>1</v>
      </c>
      <c r="F30" s="1858">
        <v>1</v>
      </c>
      <c r="G30" s="1859"/>
      <c r="H30" s="1860">
        <v>1</v>
      </c>
      <c r="I30" s="1861"/>
      <c r="J30" s="1862">
        <v>0</v>
      </c>
      <c r="K30" s="1863"/>
      <c r="L30" s="1440">
        <v>0</v>
      </c>
      <c r="M30" s="1450"/>
      <c r="N30" s="1451"/>
      <c r="O30" s="1451"/>
      <c r="P30" s="1451"/>
      <c r="Q30" s="1400"/>
      <c r="R30" s="1400"/>
      <c r="S30" s="1400"/>
      <c r="T30" s="1400"/>
      <c r="U30" s="1400"/>
      <c r="V30" s="1834"/>
      <c r="W30" s="1837"/>
      <c r="X30" s="1443">
        <v>1</v>
      </c>
      <c r="Y30" s="1446"/>
      <c r="Z30" s="1886">
        <v>0</v>
      </c>
      <c r="AA30" s="1887"/>
      <c r="AB30" s="1445">
        <v>0</v>
      </c>
      <c r="AC30" s="1400"/>
      <c r="AD30" s="1834"/>
      <c r="AE30" s="1837"/>
      <c r="AF30" s="1443">
        <v>1</v>
      </c>
      <c r="AG30" s="1446"/>
      <c r="AH30" s="1886">
        <v>0</v>
      </c>
      <c r="AI30" s="1887"/>
      <c r="AJ30" s="1445">
        <v>0</v>
      </c>
      <c r="AK30" s="1454"/>
    </row>
    <row r="31" spans="1:37" s="13" customFormat="1" ht="19.5" customHeight="1" outlineLevel="1">
      <c r="A31" s="1844"/>
      <c r="B31" s="1865"/>
      <c r="C31" s="1426">
        <v>0.8</v>
      </c>
      <c r="D31" s="1427" t="s">
        <v>3543</v>
      </c>
      <c r="E31" s="1429">
        <v>0.7974</v>
      </c>
      <c r="F31" s="1858">
        <v>0.79710000000000003</v>
      </c>
      <c r="G31" s="1859"/>
      <c r="H31" s="1860">
        <v>0.79725000000000001</v>
      </c>
      <c r="I31" s="1861"/>
      <c r="J31" s="1862">
        <v>0.26000000000000467</v>
      </c>
      <c r="K31" s="1863"/>
      <c r="L31" s="1440">
        <v>2.9999999999996696E-2</v>
      </c>
      <c r="M31" s="1450"/>
      <c r="N31" s="1451"/>
      <c r="O31" s="1451"/>
      <c r="P31" s="1451"/>
      <c r="Q31" s="1400"/>
      <c r="R31" s="1400"/>
      <c r="S31" s="1400"/>
      <c r="T31" s="1400"/>
      <c r="U31" s="1400"/>
      <c r="V31" s="1834"/>
      <c r="W31" s="1837"/>
      <c r="X31" s="1443">
        <v>0.8</v>
      </c>
      <c r="Y31" s="1444" t="s">
        <v>3543</v>
      </c>
      <c r="Z31" s="1886">
        <v>0</v>
      </c>
      <c r="AA31" s="1887"/>
      <c r="AB31" s="1445">
        <v>0</v>
      </c>
      <c r="AC31" s="1400"/>
      <c r="AD31" s="1834"/>
      <c r="AE31" s="1837"/>
      <c r="AF31" s="1443">
        <v>0.8</v>
      </c>
      <c r="AG31" s="1444" t="s">
        <v>3543</v>
      </c>
      <c r="AH31" s="1886">
        <v>0</v>
      </c>
      <c r="AI31" s="1887"/>
      <c r="AJ31" s="1445">
        <v>0</v>
      </c>
      <c r="AK31" s="1454"/>
    </row>
    <row r="32" spans="1:37" s="13" customFormat="1" ht="19.5" customHeight="1" outlineLevel="1">
      <c r="A32" s="1845"/>
      <c r="B32" s="1866"/>
      <c r="C32" s="1426">
        <v>0.5</v>
      </c>
      <c r="D32" s="1427" t="s">
        <v>3543</v>
      </c>
      <c r="E32" s="1429">
        <v>0.49780000000000002</v>
      </c>
      <c r="F32" s="1858">
        <v>0.49759999999999999</v>
      </c>
      <c r="G32" s="1859"/>
      <c r="H32" s="1860">
        <v>0.49770000000000003</v>
      </c>
      <c r="I32" s="1861"/>
      <c r="J32" s="1862">
        <v>0.21999999999999797</v>
      </c>
      <c r="K32" s="1863"/>
      <c r="L32" s="1440">
        <v>2.0000000000003348E-2</v>
      </c>
      <c r="M32" s="1450"/>
      <c r="N32" s="1451"/>
      <c r="O32" s="1451"/>
      <c r="P32" s="1451"/>
      <c r="Q32" s="1400"/>
      <c r="R32" s="1400"/>
      <c r="S32" s="1400"/>
      <c r="T32" s="1400"/>
      <c r="U32" s="1400"/>
      <c r="V32" s="1835"/>
      <c r="W32" s="1838"/>
      <c r="X32" s="1443">
        <v>0.5</v>
      </c>
      <c r="Y32" s="1444" t="s">
        <v>3543</v>
      </c>
      <c r="Z32" s="1886">
        <v>0</v>
      </c>
      <c r="AA32" s="1887"/>
      <c r="AB32" s="1445">
        <v>0</v>
      </c>
      <c r="AC32" s="1400"/>
      <c r="AD32" s="1835"/>
      <c r="AE32" s="1838"/>
      <c r="AF32" s="1443">
        <v>0.5</v>
      </c>
      <c r="AG32" s="1444" t="s">
        <v>3543</v>
      </c>
      <c r="AH32" s="1886">
        <v>0</v>
      </c>
      <c r="AI32" s="1887"/>
      <c r="AJ32" s="1445">
        <v>0</v>
      </c>
      <c r="AK32" s="1454"/>
    </row>
    <row r="33" spans="1:37" s="13" customFormat="1" ht="19.5" customHeight="1" outlineLevel="1">
      <c r="A33" s="1843" t="s">
        <v>3545</v>
      </c>
      <c r="B33" s="1864">
        <v>1</v>
      </c>
      <c r="C33" s="1426">
        <v>0.5</v>
      </c>
      <c r="D33" s="1427" t="s">
        <v>3542</v>
      </c>
      <c r="E33" s="1429">
        <v>0.50090000000000001</v>
      </c>
      <c r="F33" s="1858">
        <v>0.501</v>
      </c>
      <c r="G33" s="1859"/>
      <c r="H33" s="1860">
        <v>0.50095000000000001</v>
      </c>
      <c r="I33" s="1861"/>
      <c r="J33" s="1862">
        <v>-0.10000000000000009</v>
      </c>
      <c r="K33" s="1863"/>
      <c r="L33" s="1440">
        <v>9.9999999999988987E-3</v>
      </c>
      <c r="M33" s="1450"/>
      <c r="N33" s="1451"/>
      <c r="O33" s="1451"/>
      <c r="P33" s="1451"/>
      <c r="Q33" s="1400"/>
      <c r="R33" s="1400"/>
      <c r="S33" s="1400"/>
      <c r="T33" s="1400"/>
      <c r="U33" s="1400"/>
      <c r="V33" s="1833" t="s">
        <v>3545</v>
      </c>
      <c r="W33" s="1836">
        <v>1</v>
      </c>
      <c r="X33" s="1443">
        <v>0.5</v>
      </c>
      <c r="Y33" s="1444" t="s">
        <v>3542</v>
      </c>
      <c r="Z33" s="1886">
        <v>0</v>
      </c>
      <c r="AA33" s="1887"/>
      <c r="AB33" s="1445" t="e">
        <v>#VALUE!</v>
      </c>
      <c r="AC33" s="1400"/>
      <c r="AD33" s="1833" t="s">
        <v>3545</v>
      </c>
      <c r="AE33" s="1836">
        <v>1</v>
      </c>
      <c r="AF33" s="1443">
        <v>0.5</v>
      </c>
      <c r="AG33" s="1444" t="s">
        <v>3542</v>
      </c>
      <c r="AH33" s="1886">
        <v>0</v>
      </c>
      <c r="AI33" s="1887"/>
      <c r="AJ33" s="1445" t="e">
        <v>#VALUE!</v>
      </c>
      <c r="AK33" s="1454"/>
    </row>
    <row r="34" spans="1:37" s="13" customFormat="1" ht="19.5" customHeight="1" outlineLevel="1">
      <c r="A34" s="1844"/>
      <c r="B34" s="1865"/>
      <c r="C34" s="1426">
        <v>1</v>
      </c>
      <c r="D34" s="1428"/>
      <c r="E34" s="1429">
        <v>1</v>
      </c>
      <c r="F34" s="1858">
        <v>1</v>
      </c>
      <c r="G34" s="1859"/>
      <c r="H34" s="1860">
        <v>1</v>
      </c>
      <c r="I34" s="1861"/>
      <c r="J34" s="1862">
        <v>0</v>
      </c>
      <c r="K34" s="1863"/>
      <c r="L34" s="1440">
        <v>0</v>
      </c>
      <c r="M34" s="1450"/>
      <c r="N34" s="1451"/>
      <c r="O34" s="1451"/>
      <c r="P34" s="1451"/>
      <c r="Q34" s="1400"/>
      <c r="R34" s="1400"/>
      <c r="S34" s="1400"/>
      <c r="T34" s="1400"/>
      <c r="U34" s="1400"/>
      <c r="V34" s="1834"/>
      <c r="W34" s="1837"/>
      <c r="X34" s="1443">
        <v>1</v>
      </c>
      <c r="Y34" s="1446"/>
      <c r="Z34" s="1886">
        <v>0</v>
      </c>
      <c r="AA34" s="1887"/>
      <c r="AB34" s="1445">
        <v>0</v>
      </c>
      <c r="AC34" s="1400"/>
      <c r="AD34" s="1834"/>
      <c r="AE34" s="1837"/>
      <c r="AF34" s="1443">
        <v>1</v>
      </c>
      <c r="AG34" s="1446"/>
      <c r="AH34" s="1886">
        <v>0</v>
      </c>
      <c r="AI34" s="1887"/>
      <c r="AJ34" s="1445">
        <v>0</v>
      </c>
      <c r="AK34" s="1454"/>
    </row>
    <row r="35" spans="1:37" s="13" customFormat="1" ht="19.5" customHeight="1" outlineLevel="1">
      <c r="A35" s="1844"/>
      <c r="B35" s="1865"/>
      <c r="C35" s="1426">
        <v>0.8</v>
      </c>
      <c r="D35" s="1427" t="s">
        <v>3543</v>
      </c>
      <c r="E35" s="1429">
        <v>0.7964</v>
      </c>
      <c r="F35" s="1858">
        <v>0.79630000000000001</v>
      </c>
      <c r="G35" s="1859"/>
      <c r="H35" s="1860">
        <v>0.79635</v>
      </c>
      <c r="I35" s="1861"/>
      <c r="J35" s="1862">
        <v>0.36000000000000476</v>
      </c>
      <c r="K35" s="1863"/>
      <c r="L35" s="1440">
        <v>9.9999999999988987E-3</v>
      </c>
      <c r="M35" s="1450"/>
      <c r="N35" s="1451"/>
      <c r="O35" s="1451"/>
      <c r="P35" s="1451"/>
      <c r="Q35" s="1400"/>
      <c r="R35" s="1400"/>
      <c r="S35" s="1400"/>
      <c r="T35" s="1400"/>
      <c r="U35" s="1400"/>
      <c r="V35" s="1834"/>
      <c r="W35" s="1837"/>
      <c r="X35" s="1443">
        <v>0.8</v>
      </c>
      <c r="Y35" s="1444" t="s">
        <v>3543</v>
      </c>
      <c r="Z35" s="1886">
        <v>0</v>
      </c>
      <c r="AA35" s="1887"/>
      <c r="AB35" s="1445">
        <v>0</v>
      </c>
      <c r="AC35" s="1400"/>
      <c r="AD35" s="1834"/>
      <c r="AE35" s="1837"/>
      <c r="AF35" s="1443">
        <v>0.8</v>
      </c>
      <c r="AG35" s="1444" t="s">
        <v>3543</v>
      </c>
      <c r="AH35" s="1886">
        <v>0</v>
      </c>
      <c r="AI35" s="1887"/>
      <c r="AJ35" s="1445">
        <v>0</v>
      </c>
      <c r="AK35" s="1454"/>
    </row>
    <row r="36" spans="1:37" s="13" customFormat="1" ht="19.5" customHeight="1" outlineLevel="1">
      <c r="A36" s="1845"/>
      <c r="B36" s="1866"/>
      <c r="C36" s="1426">
        <v>0.5</v>
      </c>
      <c r="D36" s="1427" t="s">
        <v>3543</v>
      </c>
      <c r="E36" s="1429">
        <v>0.49830000000000002</v>
      </c>
      <c r="F36" s="1858">
        <v>0.49809999999999999</v>
      </c>
      <c r="G36" s="1859"/>
      <c r="H36" s="1860">
        <v>0.49819999999999998</v>
      </c>
      <c r="I36" s="1861"/>
      <c r="J36" s="1862">
        <v>0.16999999999999793</v>
      </c>
      <c r="K36" s="1863"/>
      <c r="L36" s="1440">
        <v>2.0000000000003348E-2</v>
      </c>
      <c r="M36" s="1450"/>
      <c r="N36" s="1451"/>
      <c r="O36" s="1451"/>
      <c r="P36" s="1451"/>
      <c r="Q36" s="1400"/>
      <c r="R36" s="1400"/>
      <c r="S36" s="1400"/>
      <c r="T36" s="1400"/>
      <c r="U36" s="1400"/>
      <c r="V36" s="1835"/>
      <c r="W36" s="1838"/>
      <c r="X36" s="1443">
        <v>0.5</v>
      </c>
      <c r="Y36" s="1444" t="s">
        <v>3543</v>
      </c>
      <c r="Z36" s="1886">
        <v>0</v>
      </c>
      <c r="AA36" s="1887"/>
      <c r="AB36" s="1445">
        <v>0</v>
      </c>
      <c r="AC36" s="1400"/>
      <c r="AD36" s="1835"/>
      <c r="AE36" s="1838"/>
      <c r="AF36" s="1443">
        <v>0.5</v>
      </c>
      <c r="AG36" s="1444" t="s">
        <v>3543</v>
      </c>
      <c r="AH36" s="1886">
        <v>0</v>
      </c>
      <c r="AI36" s="1887"/>
      <c r="AJ36" s="1445">
        <v>0</v>
      </c>
      <c r="AK36" s="1454"/>
    </row>
    <row r="37" spans="1:37" s="13" customFormat="1" ht="19.5" customHeight="1" outlineLevel="1">
      <c r="A37" s="1843" t="s">
        <v>3546</v>
      </c>
      <c r="B37" s="1864">
        <v>1</v>
      </c>
      <c r="C37" s="1426">
        <v>0.5</v>
      </c>
      <c r="D37" s="1427" t="s">
        <v>3542</v>
      </c>
      <c r="E37" s="1429">
        <v>0.49959999999999999</v>
      </c>
      <c r="F37" s="1858">
        <v>0.49969999999999998</v>
      </c>
      <c r="G37" s="1859"/>
      <c r="H37" s="1860">
        <v>0.49964999999999998</v>
      </c>
      <c r="I37" s="1861"/>
      <c r="J37" s="1862">
        <v>3.0000000000002247E-2</v>
      </c>
      <c r="K37" s="1863"/>
      <c r="L37" s="1440">
        <v>9.9999999999988987E-3</v>
      </c>
      <c r="M37" s="1450"/>
      <c r="N37" s="1451"/>
      <c r="O37" s="1451"/>
      <c r="P37" s="1451"/>
      <c r="Q37" s="1400"/>
      <c r="R37" s="1400"/>
      <c r="S37" s="1400"/>
      <c r="T37" s="1400"/>
      <c r="U37" s="1400"/>
      <c r="V37" s="1833" t="s">
        <v>3546</v>
      </c>
      <c r="W37" s="1836">
        <v>1</v>
      </c>
      <c r="X37" s="1443">
        <v>0.5</v>
      </c>
      <c r="Y37" s="1444" t="s">
        <v>3542</v>
      </c>
      <c r="Z37" s="1886">
        <v>0</v>
      </c>
      <c r="AA37" s="1887"/>
      <c r="AB37" s="1445" t="e">
        <v>#VALUE!</v>
      </c>
      <c r="AC37" s="1400"/>
      <c r="AD37" s="1833" t="s">
        <v>3546</v>
      </c>
      <c r="AE37" s="1836">
        <v>1</v>
      </c>
      <c r="AF37" s="1443">
        <v>0.5</v>
      </c>
      <c r="AG37" s="1444" t="s">
        <v>3542</v>
      </c>
      <c r="AH37" s="1886">
        <v>0</v>
      </c>
      <c r="AI37" s="1887"/>
      <c r="AJ37" s="1445" t="e">
        <v>#VALUE!</v>
      </c>
      <c r="AK37" s="1454"/>
    </row>
    <row r="38" spans="1:37" s="13" customFormat="1" ht="19.5" customHeight="1" outlineLevel="1">
      <c r="A38" s="1844"/>
      <c r="B38" s="1865"/>
      <c r="C38" s="1426">
        <v>1</v>
      </c>
      <c r="D38" s="1428"/>
      <c r="E38" s="1429">
        <v>1</v>
      </c>
      <c r="F38" s="1858">
        <v>1</v>
      </c>
      <c r="G38" s="1859"/>
      <c r="H38" s="1860">
        <v>1</v>
      </c>
      <c r="I38" s="1861"/>
      <c r="J38" s="1862">
        <v>0</v>
      </c>
      <c r="K38" s="1863"/>
      <c r="L38" s="1440">
        <v>0</v>
      </c>
      <c r="M38" s="1450"/>
      <c r="N38" s="1451"/>
      <c r="O38" s="1451"/>
      <c r="P38" s="1451"/>
      <c r="Q38" s="1400"/>
      <c r="R38" s="1400"/>
      <c r="S38" s="1400"/>
      <c r="T38" s="1400"/>
      <c r="U38" s="1400"/>
      <c r="V38" s="1834"/>
      <c r="W38" s="1837"/>
      <c r="X38" s="1443">
        <v>1</v>
      </c>
      <c r="Y38" s="1446"/>
      <c r="Z38" s="1886">
        <v>0</v>
      </c>
      <c r="AA38" s="1887"/>
      <c r="AB38" s="1445">
        <v>0</v>
      </c>
      <c r="AC38" s="1400"/>
      <c r="AD38" s="1834"/>
      <c r="AE38" s="1837"/>
      <c r="AF38" s="1443">
        <v>1</v>
      </c>
      <c r="AG38" s="1446"/>
      <c r="AH38" s="1886">
        <v>0</v>
      </c>
      <c r="AI38" s="1887"/>
      <c r="AJ38" s="1445">
        <v>0</v>
      </c>
      <c r="AK38" s="1454"/>
    </row>
    <row r="39" spans="1:37" s="13" customFormat="1" ht="19.5" customHeight="1" outlineLevel="1">
      <c r="A39" s="1844"/>
      <c r="B39" s="1865"/>
      <c r="C39" s="1426">
        <v>0.8</v>
      </c>
      <c r="D39" s="1427" t="s">
        <v>3543</v>
      </c>
      <c r="E39" s="1429">
        <v>0.79779999999999995</v>
      </c>
      <c r="F39" s="1858">
        <v>0.79769999999999996</v>
      </c>
      <c r="G39" s="1859"/>
      <c r="H39" s="1860">
        <v>0.79774999999999996</v>
      </c>
      <c r="I39" s="1861"/>
      <c r="J39" s="1862">
        <v>0.22000000000000908</v>
      </c>
      <c r="K39" s="1863"/>
      <c r="L39" s="1440">
        <v>9.9999999999988987E-3</v>
      </c>
      <c r="M39" s="1450"/>
      <c r="N39" s="1451"/>
      <c r="O39" s="1451"/>
      <c r="P39" s="1451"/>
      <c r="Q39" s="1400"/>
      <c r="R39" s="1400"/>
      <c r="S39" s="1400"/>
      <c r="T39" s="1400"/>
      <c r="U39" s="1400"/>
      <c r="V39" s="1834"/>
      <c r="W39" s="1837"/>
      <c r="X39" s="1443">
        <v>0.8</v>
      </c>
      <c r="Y39" s="1444" t="s">
        <v>3543</v>
      </c>
      <c r="Z39" s="1886">
        <v>0</v>
      </c>
      <c r="AA39" s="1887"/>
      <c r="AB39" s="1445">
        <v>0</v>
      </c>
      <c r="AC39" s="1400"/>
      <c r="AD39" s="1834"/>
      <c r="AE39" s="1837"/>
      <c r="AF39" s="1443">
        <v>0.8</v>
      </c>
      <c r="AG39" s="1444" t="s">
        <v>3543</v>
      </c>
      <c r="AH39" s="1886">
        <v>0</v>
      </c>
      <c r="AI39" s="1887"/>
      <c r="AJ39" s="1445">
        <v>0</v>
      </c>
      <c r="AK39" s="1454"/>
    </row>
    <row r="40" spans="1:37" s="13" customFormat="1" ht="19.5" customHeight="1" outlineLevel="1">
      <c r="A40" s="1845"/>
      <c r="B40" s="1866"/>
      <c r="C40" s="1426">
        <v>0.5</v>
      </c>
      <c r="D40" s="1427" t="s">
        <v>3543</v>
      </c>
      <c r="E40" s="1429">
        <v>0.49869999999999998</v>
      </c>
      <c r="F40" s="1858">
        <v>0.49840000000000001</v>
      </c>
      <c r="G40" s="1859"/>
      <c r="H40" s="1860">
        <v>0.49854999999999999</v>
      </c>
      <c r="I40" s="1861"/>
      <c r="J40" s="1862">
        <v>0.13000000000000234</v>
      </c>
      <c r="K40" s="1863"/>
      <c r="L40" s="1440">
        <v>2.9999999999996696E-2</v>
      </c>
      <c r="M40" s="1450"/>
      <c r="N40" s="1451"/>
      <c r="O40" s="1451"/>
      <c r="P40" s="1451"/>
      <c r="Q40" s="1400"/>
      <c r="R40" s="1400"/>
      <c r="S40" s="1400"/>
      <c r="T40" s="1400"/>
      <c r="U40" s="1400"/>
      <c r="V40" s="1835"/>
      <c r="W40" s="1838"/>
      <c r="X40" s="1443">
        <v>0.5</v>
      </c>
      <c r="Y40" s="1444" t="s">
        <v>3543</v>
      </c>
      <c r="Z40" s="1886">
        <v>0</v>
      </c>
      <c r="AA40" s="1887"/>
      <c r="AB40" s="1445">
        <v>0</v>
      </c>
      <c r="AC40" s="1400"/>
      <c r="AD40" s="1835"/>
      <c r="AE40" s="1838"/>
      <c r="AF40" s="1443">
        <v>0.5</v>
      </c>
      <c r="AG40" s="1444" t="s">
        <v>3543</v>
      </c>
      <c r="AH40" s="1886">
        <v>0</v>
      </c>
      <c r="AI40" s="1887"/>
      <c r="AJ40" s="1445">
        <v>0</v>
      </c>
      <c r="AK40" s="1454"/>
    </row>
    <row r="41" spans="1:37" s="13" customFormat="1" ht="19.5" customHeight="1" outlineLevel="1">
      <c r="A41" s="1879" t="s">
        <v>3547</v>
      </c>
      <c r="B41" s="1880"/>
      <c r="C41" s="1881">
        <v>4.0000000000000001E-3</v>
      </c>
      <c r="D41" s="1881"/>
      <c r="E41" s="1401"/>
      <c r="F41" s="1414" t="s">
        <v>1529</v>
      </c>
      <c r="G41" s="1401"/>
      <c r="H41" s="1401"/>
      <c r="I41" s="1881">
        <v>2.9999999999999997E-4</v>
      </c>
      <c r="J41" s="1881"/>
      <c r="K41" s="1401"/>
      <c r="L41" s="1910"/>
      <c r="M41" s="1910"/>
      <c r="N41" s="1910"/>
      <c r="O41" s="1910"/>
      <c r="P41" s="1911"/>
      <c r="Q41" s="1400"/>
      <c r="R41" s="1400"/>
      <c r="S41" s="1400"/>
      <c r="T41" s="1400"/>
      <c r="U41" s="1400"/>
      <c r="V41" s="1404"/>
      <c r="W41" s="1447" t="s">
        <v>3547</v>
      </c>
      <c r="X41" s="1447"/>
      <c r="Y41" s="1441">
        <v>4.0000000000000001E-3</v>
      </c>
      <c r="Z41" s="1904" t="s">
        <v>1529</v>
      </c>
      <c r="AA41" s="1905"/>
      <c r="AB41" s="1442">
        <v>2.9999999999999997E-4</v>
      </c>
      <c r="AC41" s="1400"/>
      <c r="AD41" s="1404"/>
      <c r="AE41" s="1447" t="s">
        <v>3547</v>
      </c>
      <c r="AF41" s="1447"/>
      <c r="AG41" s="1441">
        <v>0</v>
      </c>
      <c r="AH41" s="1904" t="s">
        <v>1529</v>
      </c>
      <c r="AI41" s="1905"/>
      <c r="AJ41" s="1441">
        <v>0</v>
      </c>
      <c r="AK41" s="1431"/>
    </row>
    <row r="42" spans="1:37" s="13" customFormat="1" ht="19.5" customHeight="1">
      <c r="A42" s="1405"/>
      <c r="B42" s="1405"/>
      <c r="C42" s="1439"/>
      <c r="D42" s="1439"/>
      <c r="E42" s="1399"/>
      <c r="F42" s="1399"/>
      <c r="G42" s="1399"/>
      <c r="H42" s="1399"/>
      <c r="I42" s="1439"/>
      <c r="J42" s="1439"/>
      <c r="K42" s="1399"/>
      <c r="L42" s="1399"/>
      <c r="M42" s="1399"/>
      <c r="N42" s="1399"/>
      <c r="O42" s="1400"/>
      <c r="P42" s="1400"/>
      <c r="Q42" s="1400"/>
      <c r="R42" s="1400"/>
      <c r="S42" s="1400"/>
      <c r="T42" s="1400"/>
      <c r="U42" s="1400"/>
      <c r="V42" s="1400"/>
      <c r="W42" s="1400"/>
      <c r="X42" s="1400"/>
      <c r="Y42" s="1400"/>
      <c r="Z42" s="1400"/>
      <c r="AA42" s="1400"/>
      <c r="AB42" s="1400"/>
      <c r="AC42" s="1400"/>
      <c r="AD42" s="1400"/>
      <c r="AE42" s="1400"/>
      <c r="AF42" s="1400"/>
      <c r="AG42" s="1400"/>
      <c r="AH42" s="1400"/>
      <c r="AI42" s="1400"/>
      <c r="AJ42" s="1400"/>
      <c r="AK42" s="1400"/>
    </row>
    <row r="43" spans="1:37" s="13" customFormat="1" ht="24" customHeight="1">
      <c r="A43" s="1409" t="s">
        <v>3548</v>
      </c>
      <c r="B43" s="1409" t="s">
        <v>3549</v>
      </c>
      <c r="C43" s="1421"/>
      <c r="D43" s="1422" t="s">
        <v>3550</v>
      </c>
      <c r="E43" s="1423"/>
      <c r="F43" s="1423"/>
      <c r="G43" s="1423"/>
      <c r="H43" s="1423"/>
      <c r="I43" s="1424"/>
      <c r="J43" s="1424"/>
      <c r="K43" s="1423"/>
      <c r="L43" s="1423"/>
      <c r="M43" s="1423"/>
      <c r="N43" s="1423"/>
      <c r="O43" s="1425"/>
      <c r="P43" s="1400"/>
      <c r="Q43" s="1400"/>
      <c r="R43" s="1400"/>
      <c r="S43" s="1400"/>
      <c r="T43" s="1400"/>
      <c r="U43" s="1400"/>
      <c r="V43" s="1400"/>
      <c r="W43" s="1400"/>
      <c r="X43" s="1400"/>
      <c r="Y43" s="1400"/>
      <c r="Z43" s="1400"/>
      <c r="AA43" s="1400"/>
      <c r="AB43" s="1400"/>
      <c r="AC43" s="1400"/>
      <c r="AD43" s="1400"/>
      <c r="AE43" s="1400"/>
      <c r="AF43" s="1400"/>
      <c r="AG43" s="1400"/>
      <c r="AH43" s="1400"/>
      <c r="AI43" s="1400"/>
      <c r="AJ43" s="1400"/>
      <c r="AK43" s="1400"/>
    </row>
    <row r="44" spans="1:37" s="13" customFormat="1" ht="24" customHeight="1" outlineLevel="1">
      <c r="A44" s="1448" t="s">
        <v>3551</v>
      </c>
      <c r="B44" s="1409"/>
      <c r="C44" s="1421"/>
      <c r="D44" s="1422"/>
      <c r="E44" s="1423"/>
      <c r="F44" s="1423"/>
      <c r="G44" s="1423"/>
      <c r="H44" s="1423"/>
      <c r="I44" s="1424"/>
      <c r="J44" s="1424"/>
      <c r="K44" s="1423"/>
      <c r="L44" s="1423"/>
      <c r="M44" s="1423"/>
      <c r="N44" s="1400"/>
      <c r="O44" s="1425"/>
      <c r="P44" s="1400"/>
      <c r="Q44" s="1400"/>
      <c r="R44" s="1400"/>
      <c r="S44" s="1400"/>
      <c r="T44" s="1400"/>
      <c r="U44" s="1400"/>
      <c r="V44" s="1448" t="s">
        <v>3526</v>
      </c>
      <c r="W44" s="1400"/>
      <c r="X44" s="1400"/>
      <c r="Y44" s="1400"/>
      <c r="Z44" s="1400"/>
      <c r="AA44" s="1400"/>
      <c r="AB44" s="1400"/>
      <c r="AC44" s="1400"/>
      <c r="AD44" s="1448" t="s">
        <v>3527</v>
      </c>
      <c r="AE44" s="1400"/>
      <c r="AF44" s="1400"/>
      <c r="AG44" s="1400"/>
      <c r="AH44" s="1400"/>
      <c r="AI44" s="1400"/>
      <c r="AJ44" s="1400"/>
      <c r="AK44" s="1400"/>
    </row>
    <row r="45" spans="1:37" s="13" customFormat="1" ht="19.5" customHeight="1" outlineLevel="1">
      <c r="A45" s="1873" t="s">
        <v>604</v>
      </c>
      <c r="B45" s="1434" t="s">
        <v>3528</v>
      </c>
      <c r="C45" s="1875" t="s">
        <v>3529</v>
      </c>
      <c r="D45" s="1876"/>
      <c r="E45" s="1852" t="s">
        <v>3530</v>
      </c>
      <c r="F45" s="1853"/>
      <c r="G45" s="1854"/>
      <c r="H45" s="1852" t="s">
        <v>3531</v>
      </c>
      <c r="I45" s="1853"/>
      <c r="J45" s="1852" t="s">
        <v>549</v>
      </c>
      <c r="K45" s="1854"/>
      <c r="L45" s="1415" t="s">
        <v>3552</v>
      </c>
      <c r="M45" s="1892" t="s">
        <v>3534</v>
      </c>
      <c r="N45" s="1890" t="s">
        <v>3535</v>
      </c>
      <c r="O45" s="1890" t="s">
        <v>3536</v>
      </c>
      <c r="P45" s="1890" t="s">
        <v>3537</v>
      </c>
      <c r="Q45" s="1400"/>
      <c r="R45" s="1400"/>
      <c r="S45" s="1400"/>
      <c r="T45" s="1400"/>
      <c r="U45" s="1400"/>
      <c r="V45" s="1407" t="s">
        <v>3553</v>
      </c>
      <c r="W45" s="1400"/>
      <c r="X45" s="1400"/>
      <c r="Y45" s="1400"/>
      <c r="Z45" s="1400"/>
      <c r="AA45" s="1400"/>
      <c r="AB45" s="1400"/>
      <c r="AC45" s="1400"/>
      <c r="AD45" s="1908" t="s">
        <v>604</v>
      </c>
      <c r="AE45" s="1413" t="s">
        <v>3528</v>
      </c>
      <c r="AF45" s="1852" t="s">
        <v>3529</v>
      </c>
      <c r="AG45" s="1854"/>
      <c r="AH45" s="1852" t="s">
        <v>549</v>
      </c>
      <c r="AI45" s="1854"/>
      <c r="AJ45" s="1415" t="s">
        <v>3552</v>
      </c>
      <c r="AK45" s="1892" t="s">
        <v>3534</v>
      </c>
    </row>
    <row r="46" spans="1:37" s="13" customFormat="1" ht="19.5" customHeight="1" outlineLevel="1">
      <c r="A46" s="1874"/>
      <c r="B46" s="1435" t="s">
        <v>3538</v>
      </c>
      <c r="C46" s="1877"/>
      <c r="D46" s="1878"/>
      <c r="E46" s="1403" t="s">
        <v>3539</v>
      </c>
      <c r="F46" s="1855" t="s">
        <v>3540</v>
      </c>
      <c r="G46" s="1857"/>
      <c r="H46" s="1855"/>
      <c r="I46" s="1856"/>
      <c r="J46" s="1855" t="s">
        <v>3554</v>
      </c>
      <c r="K46" s="1857"/>
      <c r="L46" s="1416" t="s">
        <v>3554</v>
      </c>
      <c r="M46" s="1892"/>
      <c r="N46" s="1891"/>
      <c r="O46" s="1891"/>
      <c r="P46" s="1891"/>
      <c r="Q46" s="1400"/>
      <c r="R46" s="1400"/>
      <c r="S46" s="1400"/>
      <c r="T46" s="1400"/>
      <c r="U46" s="1400"/>
      <c r="V46" s="1400"/>
      <c r="W46" s="1400"/>
      <c r="X46" s="1400"/>
      <c r="Y46" s="1400"/>
      <c r="Z46" s="1400"/>
      <c r="AA46" s="1400"/>
      <c r="AB46" s="1400"/>
      <c r="AC46" s="1400"/>
      <c r="AD46" s="1909"/>
      <c r="AE46" s="1411" t="s">
        <v>3538</v>
      </c>
      <c r="AF46" s="1855"/>
      <c r="AG46" s="1857"/>
      <c r="AH46" s="1855" t="s">
        <v>3554</v>
      </c>
      <c r="AI46" s="1857"/>
      <c r="AJ46" s="1416" t="s">
        <v>3554</v>
      </c>
      <c r="AK46" s="1892"/>
    </row>
    <row r="47" spans="1:37" s="13" customFormat="1" ht="26.25" customHeight="1" outlineLevel="1">
      <c r="A47" s="1867" t="s">
        <v>3546</v>
      </c>
      <c r="B47" s="1870">
        <v>1</v>
      </c>
      <c r="C47" s="1456">
        <v>0.5</v>
      </c>
      <c r="D47" s="1457" t="s">
        <v>3542</v>
      </c>
      <c r="E47" s="1429">
        <v>0.49869999999999998</v>
      </c>
      <c r="F47" s="1858">
        <v>0.4985</v>
      </c>
      <c r="G47" s="1859"/>
      <c r="H47" s="1860">
        <v>0.49859999999999999</v>
      </c>
      <c r="I47" s="1861"/>
      <c r="J47" s="1862">
        <v>-0.13000000000000234</v>
      </c>
      <c r="K47" s="1863"/>
      <c r="L47" s="1440">
        <v>1.9999999999997797E-2</v>
      </c>
      <c r="M47" s="1450"/>
      <c r="N47" s="1451"/>
      <c r="O47" s="1451"/>
      <c r="P47" s="1451"/>
      <c r="Q47" s="1400"/>
      <c r="R47" s="1400"/>
      <c r="S47" s="1400"/>
      <c r="T47" s="1400"/>
      <c r="U47" s="1400"/>
      <c r="V47" s="1400"/>
      <c r="W47" s="1400"/>
      <c r="X47" s="1400"/>
      <c r="Y47" s="1400"/>
      <c r="Z47" s="1400"/>
      <c r="AA47" s="1400"/>
      <c r="AB47" s="1400"/>
      <c r="AC47" s="1400"/>
      <c r="AD47" s="1896" t="s">
        <v>3546</v>
      </c>
      <c r="AE47" s="1899">
        <v>1</v>
      </c>
      <c r="AF47" s="1417">
        <v>0.5</v>
      </c>
      <c r="AG47" s="1418" t="s">
        <v>3542</v>
      </c>
      <c r="AH47" s="1902">
        <v>0</v>
      </c>
      <c r="AI47" s="1903"/>
      <c r="AJ47" s="1419" t="e">
        <v>#VALUE!</v>
      </c>
      <c r="AK47" s="1454"/>
    </row>
    <row r="48" spans="1:37" s="13" customFormat="1" ht="24.75" customHeight="1" outlineLevel="1">
      <c r="A48" s="1868"/>
      <c r="B48" s="1871"/>
      <c r="C48" s="1456">
        <v>1</v>
      </c>
      <c r="D48" s="1458"/>
      <c r="E48" s="1429">
        <v>0.99890000000000001</v>
      </c>
      <c r="F48" s="1858">
        <v>0.99850000000000005</v>
      </c>
      <c r="G48" s="1859"/>
      <c r="H48" s="1860">
        <v>0.99870000000000003</v>
      </c>
      <c r="I48" s="1861"/>
      <c r="J48" s="1862">
        <v>-0.10999999999999899</v>
      </c>
      <c r="K48" s="1863"/>
      <c r="L48" s="1440">
        <v>3.9999999999995595E-2</v>
      </c>
      <c r="M48" s="1452"/>
      <c r="N48" s="1453"/>
      <c r="O48" s="1453"/>
      <c r="P48" s="1453"/>
      <c r="Q48" s="1400"/>
      <c r="R48" s="1400"/>
      <c r="S48" s="1400"/>
      <c r="T48" s="1400"/>
      <c r="U48" s="1400"/>
      <c r="V48" s="1400"/>
      <c r="W48" s="1400"/>
      <c r="X48" s="1400"/>
      <c r="Y48" s="1400"/>
      <c r="Z48" s="1400"/>
      <c r="AA48" s="1400"/>
      <c r="AB48" s="1400"/>
      <c r="AC48" s="1400"/>
      <c r="AD48" s="1897"/>
      <c r="AE48" s="1900"/>
      <c r="AF48" s="1417">
        <v>1</v>
      </c>
      <c r="AG48" s="1420"/>
      <c r="AH48" s="1902">
        <v>0</v>
      </c>
      <c r="AI48" s="1903"/>
      <c r="AJ48" s="1419">
        <v>0</v>
      </c>
      <c r="AK48" s="1455"/>
    </row>
    <row r="49" spans="1:37" s="13" customFormat="1" ht="21.75" customHeight="1" outlineLevel="1">
      <c r="A49" s="1868"/>
      <c r="B49" s="1871"/>
      <c r="C49" s="1456">
        <v>0.7</v>
      </c>
      <c r="D49" s="1457" t="s">
        <v>3543</v>
      </c>
      <c r="E49" s="1429">
        <v>0.69750000000000001</v>
      </c>
      <c r="F49" s="1858">
        <v>0.69730000000000003</v>
      </c>
      <c r="G49" s="1859"/>
      <c r="H49" s="1860">
        <v>0.69740000000000002</v>
      </c>
      <c r="I49" s="1861"/>
      <c r="J49" s="1862">
        <v>-0.24999999999999467</v>
      </c>
      <c r="K49" s="1863"/>
      <c r="L49" s="1440">
        <v>1.9999999999997797E-2</v>
      </c>
      <c r="M49" s="1452"/>
      <c r="N49" s="1453"/>
      <c r="O49" s="1453"/>
      <c r="P49" s="1453"/>
      <c r="Q49" s="1400"/>
      <c r="R49" s="1400"/>
      <c r="S49" s="1400"/>
      <c r="T49" s="1400"/>
      <c r="U49" s="1400"/>
      <c r="V49" s="1400"/>
      <c r="W49" s="1400"/>
      <c r="X49" s="1400"/>
      <c r="Y49" s="1400"/>
      <c r="Z49" s="1400"/>
      <c r="AA49" s="1400"/>
      <c r="AB49" s="1400"/>
      <c r="AC49" s="1400"/>
      <c r="AD49" s="1897"/>
      <c r="AE49" s="1900"/>
      <c r="AF49" s="1417">
        <v>0.7</v>
      </c>
      <c r="AG49" s="1418" t="s">
        <v>3543</v>
      </c>
      <c r="AH49" s="1902">
        <v>0</v>
      </c>
      <c r="AI49" s="1903"/>
      <c r="AJ49" s="1419">
        <v>0</v>
      </c>
      <c r="AK49" s="1455"/>
    </row>
    <row r="50" spans="1:37" s="13" customFormat="1" ht="24" customHeight="1" outlineLevel="1">
      <c r="A50" s="1869"/>
      <c r="B50" s="1872"/>
      <c r="C50" s="1456">
        <v>0.5</v>
      </c>
      <c r="D50" s="1457" t="s">
        <v>3543</v>
      </c>
      <c r="E50" s="1429">
        <v>0.49519999999999997</v>
      </c>
      <c r="F50" s="1858">
        <v>0.49509999999999998</v>
      </c>
      <c r="G50" s="1859"/>
      <c r="H50" s="1860">
        <v>0.49514999999999998</v>
      </c>
      <c r="I50" s="1861"/>
      <c r="J50" s="1862">
        <v>-0.48000000000000265</v>
      </c>
      <c r="K50" s="1863"/>
      <c r="L50" s="1440">
        <v>9.9999999999988987E-3</v>
      </c>
      <c r="M50" s="1452"/>
      <c r="N50" s="1453"/>
      <c r="O50" s="1453"/>
      <c r="P50" s="1453"/>
      <c r="Q50" s="1400"/>
      <c r="R50" s="1400"/>
      <c r="S50" s="1400"/>
      <c r="T50" s="1400"/>
      <c r="U50" s="1400"/>
      <c r="V50" s="1400"/>
      <c r="W50" s="1400"/>
      <c r="X50" s="1400"/>
      <c r="Y50" s="1400"/>
      <c r="Z50" s="1400"/>
      <c r="AA50" s="1400"/>
      <c r="AB50" s="1400"/>
      <c r="AC50" s="1400"/>
      <c r="AD50" s="1898"/>
      <c r="AE50" s="1901"/>
      <c r="AF50" s="1417">
        <v>0.5</v>
      </c>
      <c r="AG50" s="1418" t="s">
        <v>3543</v>
      </c>
      <c r="AH50" s="1902">
        <v>0</v>
      </c>
      <c r="AI50" s="1903"/>
      <c r="AJ50" s="1419">
        <v>0</v>
      </c>
      <c r="AK50" s="1455"/>
    </row>
    <row r="51" spans="1:37" s="13" customFormat="1" ht="24" customHeight="1" outlineLevel="1">
      <c r="A51" s="1867" t="s">
        <v>3545</v>
      </c>
      <c r="B51" s="1870">
        <v>1</v>
      </c>
      <c r="C51" s="1456">
        <v>0.5</v>
      </c>
      <c r="D51" s="1457" t="s">
        <v>3542</v>
      </c>
      <c r="E51" s="1429">
        <v>0.4965</v>
      </c>
      <c r="F51" s="1858">
        <v>0.49640000000000001</v>
      </c>
      <c r="G51" s="1859"/>
      <c r="H51" s="1860">
        <v>0.49645</v>
      </c>
      <c r="I51" s="1861"/>
      <c r="J51" s="1862">
        <v>-0.35000000000000031</v>
      </c>
      <c r="K51" s="1863"/>
      <c r="L51" s="1440">
        <v>9.9999999999988987E-3</v>
      </c>
      <c r="M51" s="1452"/>
      <c r="N51" s="1453"/>
      <c r="O51" s="1453"/>
      <c r="P51" s="1453"/>
      <c r="Q51" s="1400"/>
      <c r="R51" s="1400"/>
      <c r="S51" s="1400"/>
      <c r="T51" s="1400"/>
      <c r="U51" s="1400"/>
      <c r="V51" s="1400"/>
      <c r="W51" s="1400"/>
      <c r="X51" s="1400"/>
      <c r="Y51" s="1400"/>
      <c r="Z51" s="1400"/>
      <c r="AA51" s="1400"/>
      <c r="AB51" s="1400"/>
      <c r="AC51" s="1400"/>
      <c r="AD51" s="1896" t="s">
        <v>3545</v>
      </c>
      <c r="AE51" s="1899">
        <v>1</v>
      </c>
      <c r="AF51" s="1417">
        <v>0.5</v>
      </c>
      <c r="AG51" s="1418" t="s">
        <v>3542</v>
      </c>
      <c r="AH51" s="1902">
        <v>0</v>
      </c>
      <c r="AI51" s="1903"/>
      <c r="AJ51" s="1419" t="e">
        <v>#VALUE!</v>
      </c>
      <c r="AK51" s="1455"/>
    </row>
    <row r="52" spans="1:37" s="13" customFormat="1" ht="24" customHeight="1" outlineLevel="1">
      <c r="A52" s="1868"/>
      <c r="B52" s="1871"/>
      <c r="C52" s="1456">
        <v>1</v>
      </c>
      <c r="D52" s="1458"/>
      <c r="E52" s="1429">
        <v>0.99790000000000001</v>
      </c>
      <c r="F52" s="1858">
        <v>0.99780000000000002</v>
      </c>
      <c r="G52" s="1859"/>
      <c r="H52" s="1860">
        <v>0.99785000000000001</v>
      </c>
      <c r="I52" s="1861"/>
      <c r="J52" s="1862">
        <v>-0.20999999999999908</v>
      </c>
      <c r="K52" s="1863"/>
      <c r="L52" s="1440">
        <v>9.9999999999988987E-3</v>
      </c>
      <c r="M52" s="1452"/>
      <c r="N52" s="1453"/>
      <c r="O52" s="1453"/>
      <c r="P52" s="1453"/>
      <c r="Q52" s="1400"/>
      <c r="R52" s="1400"/>
      <c r="S52" s="1400"/>
      <c r="T52" s="1400"/>
      <c r="U52" s="1400"/>
      <c r="V52" s="1400"/>
      <c r="W52" s="1400"/>
      <c r="X52" s="1400"/>
      <c r="Y52" s="1400"/>
      <c r="Z52" s="1400"/>
      <c r="AA52" s="1400"/>
      <c r="AB52" s="1400"/>
      <c r="AC52" s="1400"/>
      <c r="AD52" s="1897"/>
      <c r="AE52" s="1900"/>
      <c r="AF52" s="1417">
        <v>1</v>
      </c>
      <c r="AG52" s="1420"/>
      <c r="AH52" s="1902">
        <v>0</v>
      </c>
      <c r="AI52" s="1903"/>
      <c r="AJ52" s="1419">
        <v>0</v>
      </c>
      <c r="AK52" s="1455"/>
    </row>
    <row r="53" spans="1:37" s="13" customFormat="1" ht="24" customHeight="1" outlineLevel="1">
      <c r="A53" s="1868"/>
      <c r="B53" s="1871"/>
      <c r="C53" s="1456">
        <v>0.7</v>
      </c>
      <c r="D53" s="1457" t="s">
        <v>3543</v>
      </c>
      <c r="E53" s="1429">
        <v>0.69589999999999996</v>
      </c>
      <c r="F53" s="1858">
        <v>0.69610000000000005</v>
      </c>
      <c r="G53" s="1859"/>
      <c r="H53" s="1860">
        <v>0.69599999999999995</v>
      </c>
      <c r="I53" s="1861"/>
      <c r="J53" s="1862">
        <v>-0.38999999999999035</v>
      </c>
      <c r="K53" s="1863"/>
      <c r="L53" s="1440">
        <v>2.00000000000089E-2</v>
      </c>
      <c r="M53" s="1452"/>
      <c r="N53" s="1453"/>
      <c r="O53" s="1453"/>
      <c r="P53" s="1453"/>
      <c r="Q53" s="1400"/>
      <c r="R53" s="1400"/>
      <c r="S53" s="1400"/>
      <c r="T53" s="1400"/>
      <c r="U53" s="1400"/>
      <c r="V53" s="1400"/>
      <c r="W53" s="1400"/>
      <c r="X53" s="1400"/>
      <c r="Y53" s="1400"/>
      <c r="Z53" s="1400"/>
      <c r="AA53" s="1400"/>
      <c r="AB53" s="1400"/>
      <c r="AC53" s="1400"/>
      <c r="AD53" s="1897"/>
      <c r="AE53" s="1900"/>
      <c r="AF53" s="1417">
        <v>0.7</v>
      </c>
      <c r="AG53" s="1418" t="s">
        <v>3543</v>
      </c>
      <c r="AH53" s="1902">
        <v>0</v>
      </c>
      <c r="AI53" s="1903"/>
      <c r="AJ53" s="1419">
        <v>0</v>
      </c>
      <c r="AK53" s="1455"/>
    </row>
    <row r="54" spans="1:37" s="13" customFormat="1" ht="24" customHeight="1" outlineLevel="1">
      <c r="A54" s="1869"/>
      <c r="B54" s="1872"/>
      <c r="C54" s="1456">
        <v>0.5</v>
      </c>
      <c r="D54" s="1457" t="s">
        <v>3543</v>
      </c>
      <c r="E54" s="1429">
        <v>0.49619999999999997</v>
      </c>
      <c r="F54" s="1858">
        <v>0.49609999999999999</v>
      </c>
      <c r="G54" s="1859"/>
      <c r="H54" s="1860">
        <v>0.49614999999999998</v>
      </c>
      <c r="I54" s="1861"/>
      <c r="J54" s="1862">
        <v>-0.38000000000000256</v>
      </c>
      <c r="K54" s="1863"/>
      <c r="L54" s="1440">
        <v>9.9999999999988987E-3</v>
      </c>
      <c r="M54" s="1452"/>
      <c r="N54" s="1453"/>
      <c r="O54" s="1453"/>
      <c r="P54" s="1453"/>
      <c r="Q54" s="1400"/>
      <c r="R54" s="1400"/>
      <c r="S54" s="1400"/>
      <c r="T54" s="1400"/>
      <c r="U54" s="1400"/>
      <c r="V54" s="1400"/>
      <c r="W54" s="1400"/>
      <c r="X54" s="1400"/>
      <c r="Y54" s="1400"/>
      <c r="Z54" s="1400"/>
      <c r="AA54" s="1400"/>
      <c r="AB54" s="1400"/>
      <c r="AC54" s="1400"/>
      <c r="AD54" s="1898"/>
      <c r="AE54" s="1901"/>
      <c r="AF54" s="1417">
        <v>0.5</v>
      </c>
      <c r="AG54" s="1418" t="s">
        <v>3543</v>
      </c>
      <c r="AH54" s="1902">
        <v>0</v>
      </c>
      <c r="AI54" s="1903"/>
      <c r="AJ54" s="1419">
        <v>0</v>
      </c>
      <c r="AK54" s="1455"/>
    </row>
    <row r="55" spans="1:37">
      <c r="A55" s="1395"/>
      <c r="B55" s="1395"/>
      <c r="C55" s="1395"/>
      <c r="D55" s="1395"/>
      <c r="E55" s="1395"/>
      <c r="F55" s="1395"/>
      <c r="G55" s="1395"/>
      <c r="H55" s="1395"/>
      <c r="I55" s="1395"/>
      <c r="J55" s="1395"/>
      <c r="K55" s="1395"/>
      <c r="L55" s="1395"/>
      <c r="M55" s="1430"/>
      <c r="N55" s="1430"/>
      <c r="O55" s="1430"/>
      <c r="P55" s="1430"/>
      <c r="Q55" s="1395"/>
      <c r="R55" s="1395"/>
      <c r="S55" s="1395"/>
      <c r="T55" s="1395"/>
      <c r="U55" s="1395"/>
      <c r="V55" s="1395"/>
      <c r="W55" s="1395"/>
      <c r="X55" s="1395"/>
      <c r="Y55" s="1395"/>
      <c r="Z55" s="1395"/>
      <c r="AA55" s="1395"/>
      <c r="AB55" s="1395"/>
      <c r="AC55" s="1395"/>
      <c r="AD55" s="1395"/>
      <c r="AE55" s="1395"/>
      <c r="AF55" s="1395"/>
      <c r="AG55" s="1395"/>
      <c r="AH55" s="1395"/>
      <c r="AI55" s="1395"/>
      <c r="AJ55" s="1395"/>
      <c r="AK55" s="1395"/>
    </row>
    <row r="56" spans="1:37">
      <c r="A56" s="1395"/>
      <c r="B56" s="1395"/>
      <c r="C56" s="1395"/>
      <c r="D56" s="1395"/>
      <c r="E56" s="1395"/>
      <c r="F56" s="1395"/>
      <c r="G56" s="1395"/>
      <c r="H56" s="1395"/>
      <c r="I56" s="1395"/>
      <c r="J56" s="1395"/>
      <c r="K56" s="1395"/>
      <c r="L56" s="1395"/>
      <c r="M56" s="1430"/>
      <c r="N56" s="1430"/>
      <c r="O56" s="1430"/>
      <c r="P56" s="1430"/>
      <c r="Q56" s="1395"/>
      <c r="R56" s="1395"/>
      <c r="S56" s="1395"/>
      <c r="T56" s="1395"/>
      <c r="U56" s="1395"/>
      <c r="V56" s="1395"/>
      <c r="W56" s="1395"/>
      <c r="X56" s="1395"/>
      <c r="Y56" s="1395"/>
      <c r="Z56" s="1395"/>
      <c r="AA56" s="1395"/>
      <c r="AB56" s="1395"/>
      <c r="AC56" s="1395"/>
      <c r="AD56" s="1395"/>
      <c r="AE56" s="1395"/>
      <c r="AF56" s="1395"/>
      <c r="AG56" s="1395"/>
      <c r="AH56" s="1395"/>
      <c r="AI56" s="1395"/>
      <c r="AJ56" s="1395"/>
      <c r="AK56" s="1395"/>
    </row>
    <row r="57" spans="1:37">
      <c r="A57" s="1395"/>
      <c r="B57" s="1395"/>
      <c r="C57" s="1395"/>
      <c r="D57" s="1395"/>
      <c r="E57" s="1395"/>
      <c r="F57" s="1395"/>
      <c r="G57" s="1395"/>
      <c r="H57" s="1395"/>
      <c r="I57" s="1395"/>
      <c r="J57" s="1395"/>
      <c r="K57" s="1395"/>
      <c r="L57" s="1395"/>
      <c r="M57" s="1433"/>
      <c r="N57" s="1432"/>
      <c r="O57" s="1432"/>
      <c r="P57" s="1432"/>
      <c r="Q57" s="1395"/>
      <c r="R57" s="1395"/>
      <c r="S57" s="1395"/>
      <c r="T57" s="1395"/>
      <c r="U57" s="1395"/>
      <c r="V57" s="1395"/>
      <c r="W57" s="1395"/>
      <c r="X57" s="1395"/>
      <c r="Y57" s="1395"/>
      <c r="Z57" s="1395"/>
      <c r="AA57" s="1395"/>
      <c r="AB57" s="1395"/>
      <c r="AC57" s="1395"/>
      <c r="AD57" s="1395"/>
      <c r="AE57" s="1395"/>
      <c r="AF57" s="1395"/>
      <c r="AG57" s="1395"/>
      <c r="AH57" s="1395"/>
      <c r="AI57" s="1395"/>
      <c r="AJ57" s="1395"/>
      <c r="AK57" s="1395"/>
    </row>
    <row r="58" spans="1:37">
      <c r="A58" s="1395"/>
      <c r="B58" s="1395"/>
      <c r="C58" s="1395"/>
      <c r="D58" s="1395"/>
      <c r="E58" s="1395"/>
      <c r="F58" s="1395"/>
      <c r="G58" s="1395"/>
      <c r="H58" s="1395"/>
      <c r="I58" s="1395"/>
      <c r="J58" s="1395"/>
      <c r="K58" s="1395"/>
      <c r="L58" s="1395"/>
      <c r="M58" s="1433"/>
      <c r="N58" s="1432"/>
      <c r="O58" s="1432"/>
      <c r="P58" s="1432"/>
      <c r="Q58" s="1395"/>
      <c r="R58" s="1395"/>
      <c r="S58" s="1395"/>
      <c r="T58" s="1395"/>
      <c r="U58" s="1395"/>
      <c r="V58" s="1395"/>
      <c r="W58" s="1395"/>
      <c r="X58" s="1395"/>
      <c r="Y58" s="1395"/>
      <c r="Z58" s="1395"/>
      <c r="AA58" s="1395"/>
      <c r="AB58" s="1395"/>
      <c r="AC58" s="1395"/>
      <c r="AD58" s="1395"/>
      <c r="AE58" s="1395"/>
      <c r="AF58" s="1395"/>
      <c r="AG58" s="1395"/>
      <c r="AH58" s="1395"/>
      <c r="AI58" s="1395"/>
      <c r="AJ58" s="1395"/>
      <c r="AK58" s="1395"/>
    </row>
    <row r="59" spans="1:37">
      <c r="A59" s="1395"/>
      <c r="B59" s="1395"/>
      <c r="C59" s="1395"/>
      <c r="D59" s="1395"/>
      <c r="E59" s="1395"/>
      <c r="F59" s="1395"/>
      <c r="G59" s="1395"/>
      <c r="H59" s="1395"/>
      <c r="I59" s="1395"/>
      <c r="J59" s="1395"/>
      <c r="K59" s="1395"/>
      <c r="L59" s="1395"/>
      <c r="M59" s="1433"/>
      <c r="N59" s="1432"/>
      <c r="O59" s="1432"/>
      <c r="P59" s="1432"/>
      <c r="Q59" s="1395"/>
      <c r="R59" s="1395"/>
      <c r="S59" s="1395"/>
      <c r="T59" s="1395"/>
      <c r="U59" s="1395"/>
      <c r="V59" s="1395"/>
      <c r="W59" s="1395"/>
      <c r="X59" s="1395"/>
      <c r="Y59" s="1395"/>
      <c r="Z59" s="1395"/>
      <c r="AA59" s="1395"/>
      <c r="AB59" s="1395"/>
      <c r="AC59" s="1395"/>
      <c r="AD59" s="1395"/>
      <c r="AE59" s="1395"/>
      <c r="AF59" s="1395"/>
      <c r="AG59" s="1395"/>
      <c r="AH59" s="1395"/>
      <c r="AI59" s="1395"/>
      <c r="AJ59" s="1395"/>
      <c r="AK59" s="1395"/>
    </row>
    <row r="60" spans="1:37">
      <c r="A60" s="1395"/>
      <c r="B60" s="1395"/>
      <c r="C60" s="1395"/>
      <c r="D60" s="1395"/>
      <c r="E60" s="1395"/>
      <c r="F60" s="1395"/>
      <c r="G60" s="1395"/>
      <c r="H60" s="1395"/>
      <c r="I60" s="1395"/>
      <c r="J60" s="1395"/>
      <c r="K60" s="1395"/>
      <c r="L60" s="1395"/>
      <c r="M60" s="1433"/>
      <c r="N60" s="1432"/>
      <c r="O60" s="1432"/>
      <c r="P60" s="1432"/>
      <c r="Q60" s="1395"/>
      <c r="R60" s="1395"/>
      <c r="S60" s="1395"/>
      <c r="T60" s="1395"/>
      <c r="U60" s="1395"/>
      <c r="V60" s="1395"/>
      <c r="W60" s="1395"/>
      <c r="X60" s="1395"/>
      <c r="Y60" s="1395"/>
      <c r="Z60" s="1395"/>
      <c r="AA60" s="1395"/>
      <c r="AB60" s="1395"/>
      <c r="AC60" s="1395"/>
      <c r="AD60" s="1395"/>
      <c r="AE60" s="1395"/>
      <c r="AF60" s="1395"/>
      <c r="AG60" s="1395"/>
      <c r="AH60" s="1395"/>
      <c r="AI60" s="1395"/>
      <c r="AJ60" s="1395"/>
      <c r="AK60" s="1395"/>
    </row>
    <row r="61" spans="1:37">
      <c r="A61" s="1395"/>
      <c r="B61" s="1395"/>
      <c r="C61" s="1395"/>
      <c r="D61" s="1395"/>
      <c r="E61" s="1395"/>
      <c r="F61" s="1395"/>
      <c r="G61" s="1395"/>
      <c r="H61" s="1395"/>
      <c r="I61" s="1395"/>
      <c r="J61" s="1395"/>
      <c r="K61" s="1395"/>
      <c r="L61" s="1395"/>
      <c r="M61" s="1433"/>
      <c r="N61" s="1432"/>
      <c r="O61" s="1432"/>
      <c r="P61" s="1432"/>
      <c r="Q61" s="1395"/>
      <c r="R61" s="1395"/>
      <c r="S61" s="1395"/>
      <c r="T61" s="1395"/>
      <c r="U61" s="1395"/>
      <c r="V61" s="1395"/>
      <c r="W61" s="1395"/>
      <c r="X61" s="1395"/>
      <c r="Y61" s="1395"/>
      <c r="Z61" s="1395"/>
      <c r="AA61" s="1395"/>
      <c r="AB61" s="1395"/>
      <c r="AC61" s="1395"/>
      <c r="AD61" s="1395"/>
      <c r="AE61" s="1395"/>
      <c r="AF61" s="1395"/>
      <c r="AG61" s="1395"/>
      <c r="AH61" s="1395"/>
      <c r="AI61" s="1395"/>
      <c r="AJ61" s="1395"/>
      <c r="AK61" s="1395"/>
    </row>
    <row r="62" spans="1:37">
      <c r="A62" s="1395"/>
      <c r="B62" s="1395"/>
      <c r="C62" s="1395"/>
      <c r="D62" s="1395"/>
      <c r="E62" s="1395"/>
      <c r="F62" s="1395"/>
      <c r="G62" s="1395"/>
      <c r="H62" s="1395"/>
      <c r="I62" s="1395"/>
      <c r="J62" s="1395"/>
      <c r="K62" s="1395"/>
      <c r="L62" s="1395"/>
      <c r="M62" s="1433"/>
      <c r="N62" s="1432"/>
      <c r="O62" s="1432"/>
      <c r="P62" s="1432"/>
      <c r="Q62" s="1395"/>
      <c r="R62" s="1395"/>
      <c r="S62" s="1395"/>
      <c r="T62" s="1395"/>
      <c r="U62" s="1395"/>
      <c r="V62" s="1395"/>
      <c r="W62" s="1395"/>
      <c r="X62" s="1395"/>
      <c r="Y62" s="1395"/>
      <c r="Z62" s="1395"/>
      <c r="AA62" s="1395"/>
      <c r="AB62" s="1395"/>
      <c r="AC62" s="1395"/>
      <c r="AD62" s="1395"/>
      <c r="AE62" s="1395"/>
      <c r="AF62" s="1395"/>
      <c r="AG62" s="1395"/>
      <c r="AH62" s="1395"/>
      <c r="AI62" s="1395"/>
      <c r="AJ62" s="1395"/>
      <c r="AK62" s="1395"/>
    </row>
    <row r="63" spans="1:37">
      <c r="A63" s="1395"/>
      <c r="B63" s="1395"/>
      <c r="C63" s="1395"/>
      <c r="D63" s="1395"/>
      <c r="E63" s="1395"/>
      <c r="F63" s="1395"/>
      <c r="G63" s="1395"/>
      <c r="H63" s="1395"/>
      <c r="I63" s="1395"/>
      <c r="J63" s="1395"/>
      <c r="K63" s="1395"/>
      <c r="L63" s="1395"/>
      <c r="M63" s="1433"/>
      <c r="N63" s="1432"/>
      <c r="O63" s="1432"/>
      <c r="P63" s="1432"/>
      <c r="Q63" s="1395"/>
      <c r="R63" s="1395"/>
      <c r="S63" s="1395"/>
      <c r="T63" s="1395"/>
      <c r="U63" s="1395"/>
      <c r="V63" s="1395"/>
      <c r="W63" s="1395"/>
      <c r="X63" s="1395"/>
      <c r="Y63" s="1395"/>
      <c r="Z63" s="1395"/>
      <c r="AA63" s="1395"/>
      <c r="AB63" s="1395"/>
      <c r="AC63" s="1395"/>
      <c r="AD63" s="1395"/>
      <c r="AE63" s="1395"/>
      <c r="AF63" s="1395"/>
      <c r="AG63" s="1395"/>
      <c r="AH63" s="1395"/>
      <c r="AI63" s="1395"/>
      <c r="AJ63" s="1395"/>
      <c r="AK63" s="1395"/>
    </row>
    <row r="64" spans="1:37">
      <c r="A64" s="1395"/>
      <c r="B64" s="1395"/>
      <c r="C64" s="1395"/>
      <c r="D64" s="1395"/>
      <c r="E64" s="1395"/>
      <c r="F64" s="1395"/>
      <c r="G64" s="1395"/>
      <c r="H64" s="1395"/>
      <c r="I64" s="1395"/>
      <c r="J64" s="1395"/>
      <c r="K64" s="1395"/>
      <c r="L64" s="1395"/>
      <c r="M64" s="1433"/>
      <c r="N64" s="1432"/>
      <c r="O64" s="1432"/>
      <c r="P64" s="1432"/>
      <c r="Q64" s="1395"/>
      <c r="R64" s="1395"/>
      <c r="S64" s="1395"/>
      <c r="T64" s="1395"/>
      <c r="U64" s="1395"/>
      <c r="V64" s="1395"/>
      <c r="W64" s="1395"/>
      <c r="X64" s="1395"/>
      <c r="Y64" s="1395"/>
      <c r="Z64" s="1395"/>
      <c r="AA64" s="1395"/>
      <c r="AB64" s="1395"/>
      <c r="AC64" s="1395"/>
      <c r="AD64" s="1395"/>
      <c r="AE64" s="1395"/>
      <c r="AF64" s="1395"/>
      <c r="AG64" s="1395"/>
      <c r="AH64" s="1395"/>
      <c r="AI64" s="1395"/>
      <c r="AJ64" s="1395"/>
      <c r="AK64" s="1395"/>
    </row>
    <row r="65" spans="13:16">
      <c r="M65" s="1433"/>
      <c r="N65" s="1432"/>
      <c r="O65" s="1432"/>
      <c r="P65" s="1432"/>
    </row>
    <row r="66" spans="13:16">
      <c r="M66" s="1433"/>
      <c r="N66" s="1432"/>
      <c r="O66" s="1432"/>
      <c r="P66" s="1432"/>
    </row>
    <row r="67" spans="13:16">
      <c r="M67" s="1433"/>
      <c r="N67" s="1432"/>
      <c r="O67" s="1432"/>
      <c r="P67" s="1432"/>
    </row>
    <row r="68" spans="13:16">
      <c r="M68" s="1433"/>
      <c r="N68" s="1432"/>
      <c r="O68" s="1432"/>
      <c r="P68" s="1432"/>
    </row>
    <row r="69" spans="13:16">
      <c r="M69" s="1433"/>
      <c r="N69" s="1432"/>
      <c r="O69" s="1432"/>
      <c r="P69" s="1432"/>
    </row>
  </sheetData>
  <protectedRanges>
    <protectedRange sqref="P18 P21:P27 O19 P47 P50:P56 O48" name="区域3_4"/>
  </protectedRanges>
  <mergeCells count="223">
    <mergeCell ref="L16:L17"/>
    <mergeCell ref="M16:M17"/>
    <mergeCell ref="N16:N17"/>
    <mergeCell ref="Z28:AA28"/>
    <mergeCell ref="Z29:AA29"/>
    <mergeCell ref="O45:O46"/>
    <mergeCell ref="P45:P46"/>
    <mergeCell ref="AD45:AD46"/>
    <mergeCell ref="AD33:AD36"/>
    <mergeCell ref="AD37:AD40"/>
    <mergeCell ref="L41:P41"/>
    <mergeCell ref="M45:M46"/>
    <mergeCell ref="N45:N46"/>
    <mergeCell ref="Z40:AA40"/>
    <mergeCell ref="Z41:AA41"/>
    <mergeCell ref="Z34:AA34"/>
    <mergeCell ref="Z35:AA35"/>
    <mergeCell ref="Z36:AA36"/>
    <mergeCell ref="Z37:AA37"/>
    <mergeCell ref="Z38:AA38"/>
    <mergeCell ref="Z39:AA39"/>
    <mergeCell ref="AD16:AD17"/>
    <mergeCell ref="AD18:AD28"/>
    <mergeCell ref="O16:O17"/>
    <mergeCell ref="Z21:AA21"/>
    <mergeCell ref="Z27:AA27"/>
    <mergeCell ref="V16:V17"/>
    <mergeCell ref="X16:Y17"/>
    <mergeCell ref="V18:V28"/>
    <mergeCell ref="W18:W28"/>
    <mergeCell ref="Z16:AA17"/>
    <mergeCell ref="Z18:AA18"/>
    <mergeCell ref="Z19:AA19"/>
    <mergeCell ref="AD51:AD54"/>
    <mergeCell ref="AE51:AE54"/>
    <mergeCell ref="AE37:AE40"/>
    <mergeCell ref="AH37:AI37"/>
    <mergeCell ref="AE33:AE36"/>
    <mergeCell ref="AH33:AI33"/>
    <mergeCell ref="AH34:AI34"/>
    <mergeCell ref="AH35:AI35"/>
    <mergeCell ref="AH36:AI36"/>
    <mergeCell ref="AH51:AI51"/>
    <mergeCell ref="AH46:AI46"/>
    <mergeCell ref="AH47:AI47"/>
    <mergeCell ref="AH41:AI41"/>
    <mergeCell ref="AF45:AG46"/>
    <mergeCell ref="AD47:AD50"/>
    <mergeCell ref="AH49:AI49"/>
    <mergeCell ref="AE47:AE50"/>
    <mergeCell ref="AH48:AI48"/>
    <mergeCell ref="AH50:AI50"/>
    <mergeCell ref="AH54:AI54"/>
    <mergeCell ref="AH52:AI52"/>
    <mergeCell ref="AH53:AI53"/>
    <mergeCell ref="AK16:AK17"/>
    <mergeCell ref="AK45:AK46"/>
    <mergeCell ref="AF16:AG17"/>
    <mergeCell ref="AH16:AI17"/>
    <mergeCell ref="AJ16:AJ17"/>
    <mergeCell ref="AH28:AI28"/>
    <mergeCell ref="AH18:AI18"/>
    <mergeCell ref="AH19:AI19"/>
    <mergeCell ref="AH20:AI20"/>
    <mergeCell ref="AH23:AI23"/>
    <mergeCell ref="AH24:AI24"/>
    <mergeCell ref="AH25:AI25"/>
    <mergeCell ref="AH26:AI26"/>
    <mergeCell ref="AH38:AI38"/>
    <mergeCell ref="AH39:AI39"/>
    <mergeCell ref="AH40:AI40"/>
    <mergeCell ref="AH45:AI45"/>
    <mergeCell ref="H34:I34"/>
    <mergeCell ref="J34:K34"/>
    <mergeCell ref="AE29:AE32"/>
    <mergeCell ref="AH29:AI29"/>
    <mergeCell ref="AH30:AI30"/>
    <mergeCell ref="AH31:AI31"/>
    <mergeCell ref="AH32:AI32"/>
    <mergeCell ref="AB16:AB17"/>
    <mergeCell ref="AH27:AI27"/>
    <mergeCell ref="AE18:AE28"/>
    <mergeCell ref="AH21:AI21"/>
    <mergeCell ref="AH22:AI22"/>
    <mergeCell ref="P16:P17"/>
    <mergeCell ref="AD29:AD32"/>
    <mergeCell ref="Z30:AA30"/>
    <mergeCell ref="Z31:AA31"/>
    <mergeCell ref="Z32:AA32"/>
    <mergeCell ref="Z33:AA33"/>
    <mergeCell ref="Z22:AA22"/>
    <mergeCell ref="Z23:AA23"/>
    <mergeCell ref="Z24:AA24"/>
    <mergeCell ref="Z25:AA25"/>
    <mergeCell ref="Z26:AA26"/>
    <mergeCell ref="Z20:AA20"/>
    <mergeCell ref="E45:G45"/>
    <mergeCell ref="F50:G50"/>
    <mergeCell ref="J16:K17"/>
    <mergeCell ref="F40:G40"/>
    <mergeCell ref="H40:I40"/>
    <mergeCell ref="J40:K40"/>
    <mergeCell ref="F27:G27"/>
    <mergeCell ref="H27:I27"/>
    <mergeCell ref="J27:K27"/>
    <mergeCell ref="F28:G28"/>
    <mergeCell ref="J28:K28"/>
    <mergeCell ref="F25:G25"/>
    <mergeCell ref="H25:I25"/>
    <mergeCell ref="J25:K25"/>
    <mergeCell ref="F26:G26"/>
    <mergeCell ref="H26:I26"/>
    <mergeCell ref="J26:K26"/>
    <mergeCell ref="J32:K32"/>
    <mergeCell ref="F31:G31"/>
    <mergeCell ref="H31:I31"/>
    <mergeCell ref="J21:K21"/>
    <mergeCell ref="F22:G22"/>
    <mergeCell ref="H22:I22"/>
    <mergeCell ref="J22:K22"/>
    <mergeCell ref="F49:G49"/>
    <mergeCell ref="H49:I49"/>
    <mergeCell ref="H48:I48"/>
    <mergeCell ref="J47:K47"/>
    <mergeCell ref="J46:K46"/>
    <mergeCell ref="F48:G48"/>
    <mergeCell ref="J48:K48"/>
    <mergeCell ref="F47:G47"/>
    <mergeCell ref="H47:I47"/>
    <mergeCell ref="F37:G37"/>
    <mergeCell ref="H37:I37"/>
    <mergeCell ref="J37:K37"/>
    <mergeCell ref="F38:G38"/>
    <mergeCell ref="H38:I38"/>
    <mergeCell ref="H39:I39"/>
    <mergeCell ref="J39:K39"/>
    <mergeCell ref="J38:K38"/>
    <mergeCell ref="C41:D41"/>
    <mergeCell ref="I41:J41"/>
    <mergeCell ref="F52:G52"/>
    <mergeCell ref="F51:G51"/>
    <mergeCell ref="H51:I51"/>
    <mergeCell ref="J51:K51"/>
    <mergeCell ref="F35:G35"/>
    <mergeCell ref="H35:I35"/>
    <mergeCell ref="F39:G39"/>
    <mergeCell ref="F46:G46"/>
    <mergeCell ref="A33:A36"/>
    <mergeCell ref="B33:B36"/>
    <mergeCell ref="F33:G33"/>
    <mergeCell ref="H33:I33"/>
    <mergeCell ref="J33:K33"/>
    <mergeCell ref="F34:G34"/>
    <mergeCell ref="J35:K35"/>
    <mergeCell ref="F36:G36"/>
    <mergeCell ref="H36:I36"/>
    <mergeCell ref="J36:K36"/>
    <mergeCell ref="A41:B41"/>
    <mergeCell ref="H45:I46"/>
    <mergeCell ref="J45:K45"/>
    <mergeCell ref="B51:B54"/>
    <mergeCell ref="A37:A40"/>
    <mergeCell ref="B37:B40"/>
    <mergeCell ref="A47:A50"/>
    <mergeCell ref="B47:B50"/>
    <mergeCell ref="A45:A46"/>
    <mergeCell ref="C45:D46"/>
    <mergeCell ref="J50:K50"/>
    <mergeCell ref="J49:K49"/>
    <mergeCell ref="A51:A54"/>
    <mergeCell ref="A29:A32"/>
    <mergeCell ref="B29:B32"/>
    <mergeCell ref="F30:G30"/>
    <mergeCell ref="H30:I30"/>
    <mergeCell ref="J30:K30"/>
    <mergeCell ref="J31:K31"/>
    <mergeCell ref="F32:G32"/>
    <mergeCell ref="H32:I32"/>
    <mergeCell ref="F54:G54"/>
    <mergeCell ref="H54:I54"/>
    <mergeCell ref="J54:K54"/>
    <mergeCell ref="F53:G53"/>
    <mergeCell ref="H53:I53"/>
    <mergeCell ref="J53:K53"/>
    <mergeCell ref="H52:I52"/>
    <mergeCell ref="J52:K52"/>
    <mergeCell ref="H50:I50"/>
    <mergeCell ref="J23:K23"/>
    <mergeCell ref="F24:G24"/>
    <mergeCell ref="H24:I24"/>
    <mergeCell ref="J24:K24"/>
    <mergeCell ref="B18:B28"/>
    <mergeCell ref="J18:K18"/>
    <mergeCell ref="F29:G29"/>
    <mergeCell ref="H29:I29"/>
    <mergeCell ref="J29:K29"/>
    <mergeCell ref="F23:G23"/>
    <mergeCell ref="H23:I23"/>
    <mergeCell ref="H28:I28"/>
    <mergeCell ref="V37:V40"/>
    <mergeCell ref="W37:W40"/>
    <mergeCell ref="V29:V32"/>
    <mergeCell ref="W29:W32"/>
    <mergeCell ref="A3:B3"/>
    <mergeCell ref="A14:C14"/>
    <mergeCell ref="A18:A28"/>
    <mergeCell ref="V33:V36"/>
    <mergeCell ref="W33:W36"/>
    <mergeCell ref="A16:A17"/>
    <mergeCell ref="C16:D17"/>
    <mergeCell ref="E16:G16"/>
    <mergeCell ref="H16:I17"/>
    <mergeCell ref="F17:G17"/>
    <mergeCell ref="F19:G19"/>
    <mergeCell ref="H19:I19"/>
    <mergeCell ref="J19:K19"/>
    <mergeCell ref="F18:G18"/>
    <mergeCell ref="H18:I18"/>
    <mergeCell ref="F20:G20"/>
    <mergeCell ref="H20:I20"/>
    <mergeCell ref="J20:K20"/>
    <mergeCell ref="F21:G21"/>
    <mergeCell ref="H21:I21"/>
  </mergeCells>
  <phoneticPr fontId="77" type="noConversion"/>
  <pageMargins left="0.75" right="0.75" top="1" bottom="1" header="0.5" footer="0.5"/>
  <drawing r:id="rId1"/>
  <legacyDrawing r:id="rId2"/>
</worksheet>
</file>

<file path=xl/worksheets/sheet7.xml><?xml version="1.0" encoding="utf-8"?>
<worksheet xmlns="http://schemas.openxmlformats.org/spreadsheetml/2006/main" xmlns:r="http://schemas.openxmlformats.org/officeDocument/2006/relationships">
  <dimension ref="A1:AQ29"/>
  <sheetViews>
    <sheetView topLeftCell="A19" workbookViewId="0">
      <selection activeCell="B1" sqref="B1"/>
    </sheetView>
  </sheetViews>
  <sheetFormatPr defaultRowHeight="14.25"/>
  <cols>
    <col min="1" max="1" width="16.375" customWidth="1"/>
    <col min="2" max="2" width="24.125" customWidth="1"/>
    <col min="3" max="3" width="14.375" customWidth="1"/>
    <col min="11" max="11" width="12.625" customWidth="1"/>
    <col min="12" max="12" width="12.75" customWidth="1"/>
    <col min="13" max="13" width="20.5" customWidth="1"/>
    <col min="21" max="21" width="13.125" customWidth="1"/>
    <col min="24" max="24" width="12.875" customWidth="1"/>
    <col min="25" max="25" width="14.625" customWidth="1"/>
    <col min="28" max="28" width="13.75" customWidth="1"/>
    <col min="29" max="29" width="12.625" customWidth="1"/>
    <col min="34" max="34" width="12.25" customWidth="1"/>
    <col min="41" max="41" width="11.75" customWidth="1"/>
    <col min="42" max="42" width="13.125" customWidth="1"/>
    <col min="43" max="43" width="15.5" customWidth="1"/>
  </cols>
  <sheetData>
    <row r="1" spans="1:43">
      <c r="A1" s="34" t="s">
        <v>51</v>
      </c>
      <c r="B1" s="34" t="s">
        <v>1551</v>
      </c>
      <c r="C1" s="335" t="s">
        <v>957</v>
      </c>
    </row>
    <row r="3" spans="1:43">
      <c r="A3" s="1814" t="s">
        <v>32</v>
      </c>
      <c r="B3" s="1714"/>
    </row>
    <row r="4" spans="1:43" ht="18.75">
      <c r="A4" s="30" t="s">
        <v>52</v>
      </c>
      <c r="B4" s="31" t="s">
        <v>53</v>
      </c>
    </row>
    <row r="5" spans="1:43">
      <c r="A5" s="563" t="s">
        <v>1486</v>
      </c>
      <c r="B5" s="31" t="s">
        <v>54</v>
      </c>
    </row>
    <row r="6" spans="1:43">
      <c r="A6" s="563" t="s">
        <v>1485</v>
      </c>
      <c r="B6" s="605" t="s">
        <v>1555</v>
      </c>
      <c r="S6" s="335"/>
    </row>
    <row r="7" spans="1:43">
      <c r="A7" s="563" t="s">
        <v>1487</v>
      </c>
      <c r="B7" s="31" t="s">
        <v>54</v>
      </c>
      <c r="S7" s="355"/>
      <c r="T7" s="355"/>
      <c r="U7" s="355"/>
      <c r="V7" s="6"/>
    </row>
    <row r="8" spans="1:43">
      <c r="A8" s="563" t="s">
        <v>1488</v>
      </c>
      <c r="B8" s="31" t="s">
        <v>56</v>
      </c>
      <c r="S8" s="358"/>
      <c r="T8" s="358"/>
      <c r="U8" s="358"/>
      <c r="V8" s="6"/>
    </row>
    <row r="10" spans="1:43">
      <c r="AF10" s="157" t="s">
        <v>1554</v>
      </c>
    </row>
    <row r="11" spans="1:43">
      <c r="A11" s="604" t="s">
        <v>1552</v>
      </c>
      <c r="S11" s="157" t="s">
        <v>1553</v>
      </c>
    </row>
    <row r="12" spans="1:43" s="339" customFormat="1" ht="18.75" customHeight="1">
      <c r="A12" s="1924" t="s">
        <v>943</v>
      </c>
      <c r="B12" s="1924"/>
      <c r="C12" s="1925" t="s">
        <v>1556</v>
      </c>
      <c r="D12" s="1927" t="s">
        <v>944</v>
      </c>
      <c r="E12" s="1922" t="s">
        <v>956</v>
      </c>
      <c r="F12" s="1929"/>
      <c r="G12" s="1929"/>
      <c r="H12" s="1923"/>
      <c r="I12" s="1930" t="s">
        <v>1557</v>
      </c>
      <c r="J12" s="1931"/>
      <c r="K12" s="1927" t="s">
        <v>945</v>
      </c>
      <c r="L12" s="1921" t="s">
        <v>946</v>
      </c>
      <c r="M12" s="1912" t="s">
        <v>1549</v>
      </c>
      <c r="N12" s="1967" t="s">
        <v>947</v>
      </c>
      <c r="O12" s="1967" t="s">
        <v>948</v>
      </c>
      <c r="P12" s="1967" t="s">
        <v>949</v>
      </c>
      <c r="S12" s="1924" t="s">
        <v>943</v>
      </c>
      <c r="T12" s="1924"/>
      <c r="U12" s="1925" t="s">
        <v>1556</v>
      </c>
      <c r="V12" s="1922" t="s">
        <v>956</v>
      </c>
      <c r="W12" s="1929"/>
      <c r="X12" s="1929"/>
      <c r="Y12" s="1923"/>
      <c r="Z12" s="1930" t="s">
        <v>1557</v>
      </c>
      <c r="AA12" s="1931"/>
      <c r="AB12" s="1927" t="s">
        <v>945</v>
      </c>
      <c r="AC12" s="1921" t="s">
        <v>946</v>
      </c>
      <c r="AD12" s="606"/>
      <c r="AE12" s="606"/>
      <c r="AF12" s="1924" t="s">
        <v>943</v>
      </c>
      <c r="AG12" s="1924"/>
      <c r="AH12" s="1925" t="s">
        <v>1556</v>
      </c>
      <c r="AI12" s="1922" t="s">
        <v>956</v>
      </c>
      <c r="AJ12" s="1929"/>
      <c r="AK12" s="1929"/>
      <c r="AL12" s="1923"/>
      <c r="AM12" s="1930" t="s">
        <v>1557</v>
      </c>
      <c r="AN12" s="1931"/>
      <c r="AO12" s="1927" t="s">
        <v>945</v>
      </c>
      <c r="AP12" s="1921" t="s">
        <v>946</v>
      </c>
      <c r="AQ12" s="1912" t="s">
        <v>1549</v>
      </c>
    </row>
    <row r="13" spans="1:43" s="339" customFormat="1" ht="18.75" customHeight="1">
      <c r="A13" s="1924"/>
      <c r="B13" s="1924"/>
      <c r="C13" s="1926"/>
      <c r="D13" s="1928"/>
      <c r="E13" s="1922" t="s">
        <v>950</v>
      </c>
      <c r="F13" s="1923"/>
      <c r="G13" s="1922" t="s">
        <v>951</v>
      </c>
      <c r="H13" s="1923"/>
      <c r="I13" s="1932"/>
      <c r="J13" s="1933"/>
      <c r="K13" s="1928"/>
      <c r="L13" s="1913"/>
      <c r="M13" s="1913"/>
      <c r="N13" s="1968"/>
      <c r="O13" s="1968"/>
      <c r="P13" s="1968"/>
      <c r="S13" s="1924"/>
      <c r="T13" s="1924"/>
      <c r="U13" s="1926"/>
      <c r="V13" s="1922" t="s">
        <v>933</v>
      </c>
      <c r="W13" s="1923"/>
      <c r="X13" s="1922" t="s">
        <v>934</v>
      </c>
      <c r="Y13" s="1923"/>
      <c r="Z13" s="1932"/>
      <c r="AA13" s="1933"/>
      <c r="AB13" s="1928"/>
      <c r="AC13" s="1913"/>
      <c r="AD13" s="482"/>
      <c r="AE13" s="482"/>
      <c r="AF13" s="1924"/>
      <c r="AG13" s="1924"/>
      <c r="AH13" s="1926"/>
      <c r="AI13" s="1922" t="s">
        <v>933</v>
      </c>
      <c r="AJ13" s="1923"/>
      <c r="AK13" s="1922" t="s">
        <v>934</v>
      </c>
      <c r="AL13" s="1923"/>
      <c r="AM13" s="1932"/>
      <c r="AN13" s="1933"/>
      <c r="AO13" s="1928"/>
      <c r="AP13" s="1913"/>
      <c r="AQ13" s="1913"/>
    </row>
    <row r="14" spans="1:43" s="339" customFormat="1" ht="24.75" customHeight="1">
      <c r="A14" s="1964">
        <v>220</v>
      </c>
      <c r="B14" s="1720" t="s">
        <v>1090</v>
      </c>
      <c r="C14" s="341">
        <v>45</v>
      </c>
      <c r="D14" s="1795">
        <v>0.2</v>
      </c>
      <c r="E14" s="345">
        <v>44.999000000000002</v>
      </c>
      <c r="F14" s="344"/>
      <c r="G14" s="357">
        <v>45.006</v>
      </c>
      <c r="H14" s="346"/>
      <c r="I14" s="1945">
        <f>(C14-E14)/55*100</f>
        <v>1.8181818181775807E-3</v>
      </c>
      <c r="J14" s="1946"/>
      <c r="K14" s="602">
        <f>(C14-G14)/55*100</f>
        <v>-1.0909090909091323E-2</v>
      </c>
      <c r="L14" s="603">
        <f>ABS(E14-G14)/55*100</f>
        <v>1.2727272727268904E-2</v>
      </c>
      <c r="M14" s="1961" t="e">
        <f>2*P14</f>
        <v>#REF!</v>
      </c>
      <c r="N14" s="1942" t="e">
        <f>[3]不确定度评定附表!#REF!</f>
        <v>#REF!</v>
      </c>
      <c r="O14" s="1942" t="e">
        <f>[3]不确定度评定附表!#REF!</f>
        <v>#REF!</v>
      </c>
      <c r="P14" s="1942" t="e">
        <f>[3]不确定度评定附表!#REF!</f>
        <v>#REF!</v>
      </c>
      <c r="S14" s="1772">
        <v>220</v>
      </c>
      <c r="T14" s="1751" t="s">
        <v>952</v>
      </c>
      <c r="U14" s="584">
        <v>45</v>
      </c>
      <c r="V14" s="607">
        <v>44.999000000000002</v>
      </c>
      <c r="W14" s="608"/>
      <c r="X14" s="609">
        <v>45.006</v>
      </c>
      <c r="Y14" s="610"/>
      <c r="Z14" s="1919" t="e">
        <f>(T14-V14)/55*100</f>
        <v>#VALUE!</v>
      </c>
      <c r="AA14" s="1920"/>
      <c r="AB14" s="611" t="e">
        <f>(T14-X14)/55*100</f>
        <v>#VALUE!</v>
      </c>
      <c r="AC14" s="612">
        <f>ABS(V14-X14)/55*100</f>
        <v>1.2727272727268904E-2</v>
      </c>
      <c r="AF14" s="1772">
        <v>220</v>
      </c>
      <c r="AG14" s="1751" t="s">
        <v>952</v>
      </c>
      <c r="AH14" s="584">
        <v>45</v>
      </c>
      <c r="AI14" s="607">
        <v>44.999000000000002</v>
      </c>
      <c r="AJ14" s="608"/>
      <c r="AK14" s="609">
        <v>45.006</v>
      </c>
      <c r="AL14" s="610"/>
      <c r="AM14" s="1919" t="e">
        <f>(AG14-AI14)/55*100</f>
        <v>#VALUE!</v>
      </c>
      <c r="AN14" s="1920"/>
      <c r="AO14" s="611" t="e">
        <f>(AG14-AK14)/55*100</f>
        <v>#VALUE!</v>
      </c>
      <c r="AP14" s="612">
        <f>ABS(AI14-AK14)/55*100</f>
        <v>1.2727272727268904E-2</v>
      </c>
      <c r="AQ14" s="1914"/>
    </row>
    <row r="15" spans="1:43" s="339" customFormat="1" ht="24.75" customHeight="1">
      <c r="A15" s="1965">
        <f t="shared" ref="A15:B23" si="0">A14</f>
        <v>220</v>
      </c>
      <c r="B15" s="1959" t="str">
        <f t="shared" si="0"/>
        <v>V</v>
      </c>
      <c r="C15" s="341">
        <v>46</v>
      </c>
      <c r="D15" s="1954"/>
      <c r="E15" s="345">
        <v>46.002000000000002</v>
      </c>
      <c r="F15" s="346"/>
      <c r="G15" s="345">
        <v>46.005000000000003</v>
      </c>
      <c r="H15" s="346"/>
      <c r="I15" s="1945">
        <f t="shared" ref="I15:I28" si="1">(C15-E15)/55*100</f>
        <v>-3.6363636363680803E-3</v>
      </c>
      <c r="J15" s="1946"/>
      <c r="K15" s="602">
        <f t="shared" ref="K15:K28" si="2">(C15-G15)/55*100</f>
        <v>-9.0909090909137413E-3</v>
      </c>
      <c r="L15" s="603">
        <f t="shared" ref="L15:L28" si="3">ABS(E15-G15)/55*100</f>
        <v>5.4545454545456614E-3</v>
      </c>
      <c r="M15" s="1962"/>
      <c r="N15" s="1943"/>
      <c r="O15" s="1943"/>
      <c r="P15" s="1943"/>
      <c r="S15" s="1934">
        <f t="shared" ref="S15:S23" si="4">S14</f>
        <v>220</v>
      </c>
      <c r="T15" s="1936" t="str">
        <f t="shared" ref="T15:T23" si="5">T14</f>
        <v>V</v>
      </c>
      <c r="U15" s="584">
        <v>46</v>
      </c>
      <c r="V15" s="607">
        <v>46.002000000000002</v>
      </c>
      <c r="W15" s="610"/>
      <c r="X15" s="607">
        <v>46.005000000000003</v>
      </c>
      <c r="Y15" s="610"/>
      <c r="Z15" s="1919" t="e">
        <f t="shared" ref="Z15:Z28" si="6">(T15-V15)/55*100</f>
        <v>#VALUE!</v>
      </c>
      <c r="AA15" s="1920"/>
      <c r="AB15" s="611" t="e">
        <f t="shared" ref="AB15:AB28" si="7">(T15-X15)/55*100</f>
        <v>#VALUE!</v>
      </c>
      <c r="AC15" s="612">
        <f t="shared" ref="AC15:AC28" si="8">ABS(V15-X15)/55*100</f>
        <v>5.4545454545456614E-3</v>
      </c>
      <c r="AF15" s="1934">
        <f t="shared" ref="AF15:AF23" si="9">AF14</f>
        <v>220</v>
      </c>
      <c r="AG15" s="1936" t="str">
        <f t="shared" ref="AG15:AG23" si="10">AG14</f>
        <v>V</v>
      </c>
      <c r="AH15" s="584">
        <v>46</v>
      </c>
      <c r="AI15" s="607">
        <v>46.002000000000002</v>
      </c>
      <c r="AJ15" s="610"/>
      <c r="AK15" s="607">
        <v>46.005000000000003</v>
      </c>
      <c r="AL15" s="610"/>
      <c r="AM15" s="1919" t="e">
        <f t="shared" ref="AM15:AM28" si="11">(AG15-AI15)/55*100</f>
        <v>#VALUE!</v>
      </c>
      <c r="AN15" s="1920"/>
      <c r="AO15" s="611" t="e">
        <f t="shared" ref="AO15:AO28" si="12">(AG15-AK15)/55*100</f>
        <v>#VALUE!</v>
      </c>
      <c r="AP15" s="612">
        <f t="shared" ref="AP15:AP28" si="13">ABS(AI15-AK15)/55*100</f>
        <v>5.4545454545456614E-3</v>
      </c>
      <c r="AQ15" s="1915"/>
    </row>
    <row r="16" spans="1:43" s="339" customFormat="1" ht="24.75" customHeight="1">
      <c r="A16" s="1965">
        <f t="shared" si="0"/>
        <v>220</v>
      </c>
      <c r="B16" s="1959" t="str">
        <f t="shared" si="0"/>
        <v>V</v>
      </c>
      <c r="C16" s="341">
        <v>47</v>
      </c>
      <c r="D16" s="1954"/>
      <c r="E16" s="345">
        <v>47.024000000000001</v>
      </c>
      <c r="F16" s="346"/>
      <c r="G16" s="345">
        <v>47.021999999999998</v>
      </c>
      <c r="H16" s="346"/>
      <c r="I16" s="1945">
        <f t="shared" si="1"/>
        <v>-4.3636363636365291E-2</v>
      </c>
      <c r="J16" s="1946"/>
      <c r="K16" s="602">
        <f t="shared" si="2"/>
        <v>-3.9999999999997211E-2</v>
      </c>
      <c r="L16" s="603">
        <f t="shared" si="3"/>
        <v>3.6363636363680803E-3</v>
      </c>
      <c r="M16" s="1962"/>
      <c r="N16" s="1943"/>
      <c r="O16" s="1943"/>
      <c r="P16" s="1943"/>
      <c r="S16" s="1934">
        <f t="shared" si="4"/>
        <v>220</v>
      </c>
      <c r="T16" s="1936" t="str">
        <f t="shared" si="5"/>
        <v>V</v>
      </c>
      <c r="U16" s="584">
        <v>47</v>
      </c>
      <c r="V16" s="607">
        <v>47.024000000000001</v>
      </c>
      <c r="W16" s="610"/>
      <c r="X16" s="607">
        <v>47.021999999999998</v>
      </c>
      <c r="Y16" s="610"/>
      <c r="Z16" s="1919" t="e">
        <f t="shared" si="6"/>
        <v>#VALUE!</v>
      </c>
      <c r="AA16" s="1920"/>
      <c r="AB16" s="611" t="e">
        <f t="shared" si="7"/>
        <v>#VALUE!</v>
      </c>
      <c r="AC16" s="612">
        <f t="shared" si="8"/>
        <v>3.6363636363680803E-3</v>
      </c>
      <c r="AF16" s="1934">
        <f t="shared" si="9"/>
        <v>220</v>
      </c>
      <c r="AG16" s="1936" t="str">
        <f t="shared" si="10"/>
        <v>V</v>
      </c>
      <c r="AH16" s="584">
        <v>47</v>
      </c>
      <c r="AI16" s="607">
        <v>47.024000000000001</v>
      </c>
      <c r="AJ16" s="610"/>
      <c r="AK16" s="607">
        <v>47.021999999999998</v>
      </c>
      <c r="AL16" s="610"/>
      <c r="AM16" s="1919" t="e">
        <f t="shared" si="11"/>
        <v>#VALUE!</v>
      </c>
      <c r="AN16" s="1920"/>
      <c r="AO16" s="611" t="e">
        <f t="shared" si="12"/>
        <v>#VALUE!</v>
      </c>
      <c r="AP16" s="612">
        <f t="shared" si="13"/>
        <v>3.6363636363680803E-3</v>
      </c>
      <c r="AQ16" s="1915"/>
    </row>
    <row r="17" spans="1:43" s="339" customFormat="1" ht="24" customHeight="1">
      <c r="A17" s="1965">
        <f t="shared" si="0"/>
        <v>220</v>
      </c>
      <c r="B17" s="1959" t="str">
        <f t="shared" si="0"/>
        <v>V</v>
      </c>
      <c r="C17" s="341">
        <v>48</v>
      </c>
      <c r="D17" s="1954"/>
      <c r="E17" s="345">
        <v>48.009</v>
      </c>
      <c r="F17" s="346"/>
      <c r="G17" s="345">
        <v>48.008000000000003</v>
      </c>
      <c r="H17" s="346"/>
      <c r="I17" s="1945">
        <f t="shared" si="1"/>
        <v>-1.6363636363636982E-2</v>
      </c>
      <c r="J17" s="1946"/>
      <c r="K17" s="602">
        <f t="shared" si="2"/>
        <v>-1.4545454545459403E-2</v>
      </c>
      <c r="L17" s="603">
        <f t="shared" si="3"/>
        <v>1.8181818181775807E-3</v>
      </c>
      <c r="M17" s="1962"/>
      <c r="N17" s="1943"/>
      <c r="O17" s="1943"/>
      <c r="P17" s="1943"/>
      <c r="S17" s="1934">
        <f t="shared" si="4"/>
        <v>220</v>
      </c>
      <c r="T17" s="1936" t="str">
        <f t="shared" si="5"/>
        <v>V</v>
      </c>
      <c r="U17" s="584">
        <v>48</v>
      </c>
      <c r="V17" s="607">
        <v>48.009</v>
      </c>
      <c r="W17" s="610"/>
      <c r="X17" s="607">
        <v>48.008000000000003</v>
      </c>
      <c r="Y17" s="610"/>
      <c r="Z17" s="1919" t="e">
        <f t="shared" si="6"/>
        <v>#VALUE!</v>
      </c>
      <c r="AA17" s="1920"/>
      <c r="AB17" s="611" t="e">
        <f t="shared" si="7"/>
        <v>#VALUE!</v>
      </c>
      <c r="AC17" s="612">
        <f t="shared" si="8"/>
        <v>1.8181818181775807E-3</v>
      </c>
      <c r="AF17" s="1934">
        <f t="shared" si="9"/>
        <v>220</v>
      </c>
      <c r="AG17" s="1936" t="str">
        <f t="shared" si="10"/>
        <v>V</v>
      </c>
      <c r="AH17" s="584">
        <v>48</v>
      </c>
      <c r="AI17" s="607">
        <v>48.009</v>
      </c>
      <c r="AJ17" s="610"/>
      <c r="AK17" s="607">
        <v>48.008000000000003</v>
      </c>
      <c r="AL17" s="610"/>
      <c r="AM17" s="1919" t="e">
        <f t="shared" si="11"/>
        <v>#VALUE!</v>
      </c>
      <c r="AN17" s="1920"/>
      <c r="AO17" s="611" t="e">
        <f t="shared" si="12"/>
        <v>#VALUE!</v>
      </c>
      <c r="AP17" s="612">
        <f t="shared" si="13"/>
        <v>1.8181818181775807E-3</v>
      </c>
      <c r="AQ17" s="1915"/>
    </row>
    <row r="18" spans="1:43" s="339" customFormat="1" ht="24" customHeight="1">
      <c r="A18" s="1965">
        <f t="shared" si="0"/>
        <v>220</v>
      </c>
      <c r="B18" s="1959" t="str">
        <f t="shared" si="0"/>
        <v>V</v>
      </c>
      <c r="C18" s="341">
        <v>49</v>
      </c>
      <c r="D18" s="1954"/>
      <c r="E18" s="345">
        <v>49.012999999999998</v>
      </c>
      <c r="F18" s="346"/>
      <c r="G18" s="345">
        <v>49.018000000000001</v>
      </c>
      <c r="H18" s="346"/>
      <c r="I18" s="1945">
        <f t="shared" si="1"/>
        <v>-2.3636363636360225E-2</v>
      </c>
      <c r="J18" s="1946"/>
      <c r="K18" s="602">
        <f t="shared" si="2"/>
        <v>-3.2727272727273965E-2</v>
      </c>
      <c r="L18" s="603">
        <f t="shared" si="3"/>
        <v>9.0909090909137413E-3</v>
      </c>
      <c r="M18" s="1962"/>
      <c r="N18" s="1943"/>
      <c r="O18" s="1943"/>
      <c r="P18" s="1943"/>
      <c r="S18" s="1934">
        <f t="shared" si="4"/>
        <v>220</v>
      </c>
      <c r="T18" s="1936" t="str">
        <f t="shared" si="5"/>
        <v>V</v>
      </c>
      <c r="U18" s="584">
        <v>49</v>
      </c>
      <c r="V18" s="607">
        <v>49.012999999999998</v>
      </c>
      <c r="W18" s="610"/>
      <c r="X18" s="607">
        <v>49.018000000000001</v>
      </c>
      <c r="Y18" s="610"/>
      <c r="Z18" s="1919" t="e">
        <f t="shared" si="6"/>
        <v>#VALUE!</v>
      </c>
      <c r="AA18" s="1920"/>
      <c r="AB18" s="611" t="e">
        <f t="shared" si="7"/>
        <v>#VALUE!</v>
      </c>
      <c r="AC18" s="612">
        <f t="shared" si="8"/>
        <v>9.0909090909137413E-3</v>
      </c>
      <c r="AF18" s="1934">
        <f t="shared" si="9"/>
        <v>220</v>
      </c>
      <c r="AG18" s="1936" t="str">
        <f t="shared" si="10"/>
        <v>V</v>
      </c>
      <c r="AH18" s="584">
        <v>49</v>
      </c>
      <c r="AI18" s="607">
        <v>49.012999999999998</v>
      </c>
      <c r="AJ18" s="610"/>
      <c r="AK18" s="607">
        <v>49.018000000000001</v>
      </c>
      <c r="AL18" s="610"/>
      <c r="AM18" s="1919" t="e">
        <f t="shared" si="11"/>
        <v>#VALUE!</v>
      </c>
      <c r="AN18" s="1920"/>
      <c r="AO18" s="611" t="e">
        <f t="shared" si="12"/>
        <v>#VALUE!</v>
      </c>
      <c r="AP18" s="612">
        <f t="shared" si="13"/>
        <v>9.0909090909137413E-3</v>
      </c>
      <c r="AQ18" s="1915"/>
    </row>
    <row r="19" spans="1:43" s="339" customFormat="1" ht="24" customHeight="1">
      <c r="A19" s="1965">
        <f t="shared" si="0"/>
        <v>220</v>
      </c>
      <c r="B19" s="1959" t="str">
        <f t="shared" si="0"/>
        <v>V</v>
      </c>
      <c r="C19" s="341">
        <v>50</v>
      </c>
      <c r="D19" s="1954"/>
      <c r="E19" s="345">
        <v>50.003999999999998</v>
      </c>
      <c r="F19" s="346"/>
      <c r="G19" s="357">
        <v>50.01</v>
      </c>
      <c r="H19" s="346"/>
      <c r="I19" s="1945">
        <f t="shared" si="1"/>
        <v>-7.2727272727232421E-3</v>
      </c>
      <c r="J19" s="1946"/>
      <c r="K19" s="602">
        <f t="shared" si="2"/>
        <v>-1.8181818181814566E-2</v>
      </c>
      <c r="L19" s="603">
        <f t="shared" si="3"/>
        <v>1.0909090909091323E-2</v>
      </c>
      <c r="M19" s="1962"/>
      <c r="N19" s="1943"/>
      <c r="O19" s="1943"/>
      <c r="P19" s="1943"/>
      <c r="S19" s="1934">
        <f t="shared" si="4"/>
        <v>220</v>
      </c>
      <c r="T19" s="1936" t="str">
        <f t="shared" si="5"/>
        <v>V</v>
      </c>
      <c r="U19" s="584">
        <v>50</v>
      </c>
      <c r="V19" s="607">
        <v>50.003999999999998</v>
      </c>
      <c r="W19" s="610"/>
      <c r="X19" s="609">
        <v>50.01</v>
      </c>
      <c r="Y19" s="610"/>
      <c r="Z19" s="1919" t="e">
        <f t="shared" si="6"/>
        <v>#VALUE!</v>
      </c>
      <c r="AA19" s="1920"/>
      <c r="AB19" s="611" t="e">
        <f t="shared" si="7"/>
        <v>#VALUE!</v>
      </c>
      <c r="AC19" s="612">
        <f t="shared" si="8"/>
        <v>1.0909090909091323E-2</v>
      </c>
      <c r="AF19" s="1934">
        <f t="shared" si="9"/>
        <v>220</v>
      </c>
      <c r="AG19" s="1936" t="str">
        <f t="shared" si="10"/>
        <v>V</v>
      </c>
      <c r="AH19" s="584">
        <v>50</v>
      </c>
      <c r="AI19" s="607">
        <v>50.003999999999998</v>
      </c>
      <c r="AJ19" s="610"/>
      <c r="AK19" s="609">
        <v>50.01</v>
      </c>
      <c r="AL19" s="610"/>
      <c r="AM19" s="1919" t="e">
        <f t="shared" si="11"/>
        <v>#VALUE!</v>
      </c>
      <c r="AN19" s="1920"/>
      <c r="AO19" s="611" t="e">
        <f t="shared" si="12"/>
        <v>#VALUE!</v>
      </c>
      <c r="AP19" s="612">
        <f t="shared" si="13"/>
        <v>1.0909090909091323E-2</v>
      </c>
      <c r="AQ19" s="1915"/>
    </row>
    <row r="20" spans="1:43" s="339" customFormat="1" ht="22.5" customHeight="1">
      <c r="A20" s="1965">
        <f t="shared" si="0"/>
        <v>220</v>
      </c>
      <c r="B20" s="1959" t="str">
        <f t="shared" si="0"/>
        <v>V</v>
      </c>
      <c r="C20" s="341">
        <v>51</v>
      </c>
      <c r="D20" s="1954"/>
      <c r="E20" s="345">
        <v>51.008000000000003</v>
      </c>
      <c r="F20" s="346"/>
      <c r="G20" s="345">
        <v>51.011000000000003</v>
      </c>
      <c r="H20" s="346"/>
      <c r="I20" s="1945">
        <f t="shared" si="1"/>
        <v>-1.4545454545459403E-2</v>
      </c>
      <c r="J20" s="1946"/>
      <c r="K20" s="602">
        <f t="shared" si="2"/>
        <v>-2.0000000000005066E-2</v>
      </c>
      <c r="L20" s="603">
        <f t="shared" si="3"/>
        <v>5.4545454545456614E-3</v>
      </c>
      <c r="M20" s="1962"/>
      <c r="N20" s="1943"/>
      <c r="O20" s="1943"/>
      <c r="P20" s="1943"/>
      <c r="S20" s="1934">
        <f t="shared" si="4"/>
        <v>220</v>
      </c>
      <c r="T20" s="1936" t="str">
        <f t="shared" si="5"/>
        <v>V</v>
      </c>
      <c r="U20" s="584">
        <v>51</v>
      </c>
      <c r="V20" s="607">
        <v>51.008000000000003</v>
      </c>
      <c r="W20" s="610"/>
      <c r="X20" s="607">
        <v>51.011000000000003</v>
      </c>
      <c r="Y20" s="610"/>
      <c r="Z20" s="1919" t="e">
        <f t="shared" si="6"/>
        <v>#VALUE!</v>
      </c>
      <c r="AA20" s="1920"/>
      <c r="AB20" s="611" t="e">
        <f t="shared" si="7"/>
        <v>#VALUE!</v>
      </c>
      <c r="AC20" s="612">
        <f t="shared" si="8"/>
        <v>5.4545454545456614E-3</v>
      </c>
      <c r="AF20" s="1934">
        <f t="shared" si="9"/>
        <v>220</v>
      </c>
      <c r="AG20" s="1936" t="str">
        <f t="shared" si="10"/>
        <v>V</v>
      </c>
      <c r="AH20" s="584">
        <v>51</v>
      </c>
      <c r="AI20" s="607">
        <v>51.008000000000003</v>
      </c>
      <c r="AJ20" s="610"/>
      <c r="AK20" s="607">
        <v>51.011000000000003</v>
      </c>
      <c r="AL20" s="610"/>
      <c r="AM20" s="1919" t="e">
        <f t="shared" si="11"/>
        <v>#VALUE!</v>
      </c>
      <c r="AN20" s="1920"/>
      <c r="AO20" s="611" t="e">
        <f t="shared" si="12"/>
        <v>#VALUE!</v>
      </c>
      <c r="AP20" s="612">
        <f t="shared" si="13"/>
        <v>5.4545454545456614E-3</v>
      </c>
      <c r="AQ20" s="1915"/>
    </row>
    <row r="21" spans="1:43" s="339" customFormat="1" ht="23.25" customHeight="1">
      <c r="A21" s="1965">
        <f t="shared" si="0"/>
        <v>220</v>
      </c>
      <c r="B21" s="1959" t="str">
        <f t="shared" si="0"/>
        <v>V</v>
      </c>
      <c r="C21" s="341">
        <v>52</v>
      </c>
      <c r="D21" s="1954"/>
      <c r="E21" s="345">
        <v>51.999000000000002</v>
      </c>
      <c r="F21" s="346"/>
      <c r="G21" s="345">
        <v>52.002000000000002</v>
      </c>
      <c r="H21" s="346"/>
      <c r="I21" s="1945">
        <f t="shared" si="1"/>
        <v>1.8181818181775807E-3</v>
      </c>
      <c r="J21" s="1946"/>
      <c r="K21" s="602">
        <f t="shared" si="2"/>
        <v>-3.6363636363680803E-3</v>
      </c>
      <c r="L21" s="603">
        <f t="shared" si="3"/>
        <v>5.4545454545456614E-3</v>
      </c>
      <c r="M21" s="1962"/>
      <c r="N21" s="1943"/>
      <c r="O21" s="1943"/>
      <c r="P21" s="1943"/>
      <c r="S21" s="1934">
        <f t="shared" si="4"/>
        <v>220</v>
      </c>
      <c r="T21" s="1936" t="str">
        <f t="shared" si="5"/>
        <v>V</v>
      </c>
      <c r="U21" s="584">
        <v>52</v>
      </c>
      <c r="V21" s="607">
        <v>51.999000000000002</v>
      </c>
      <c r="W21" s="610"/>
      <c r="X21" s="607">
        <v>52.002000000000002</v>
      </c>
      <c r="Y21" s="610"/>
      <c r="Z21" s="1919" t="e">
        <f t="shared" si="6"/>
        <v>#VALUE!</v>
      </c>
      <c r="AA21" s="1920"/>
      <c r="AB21" s="611" t="e">
        <f t="shared" si="7"/>
        <v>#VALUE!</v>
      </c>
      <c r="AC21" s="612">
        <f t="shared" si="8"/>
        <v>5.4545454545456614E-3</v>
      </c>
      <c r="AF21" s="1934">
        <f t="shared" si="9"/>
        <v>220</v>
      </c>
      <c r="AG21" s="1936" t="str">
        <f t="shared" si="10"/>
        <v>V</v>
      </c>
      <c r="AH21" s="584">
        <v>52</v>
      </c>
      <c r="AI21" s="607">
        <v>51.999000000000002</v>
      </c>
      <c r="AJ21" s="610"/>
      <c r="AK21" s="607">
        <v>52.002000000000002</v>
      </c>
      <c r="AL21" s="610"/>
      <c r="AM21" s="1919" t="e">
        <f t="shared" si="11"/>
        <v>#VALUE!</v>
      </c>
      <c r="AN21" s="1920"/>
      <c r="AO21" s="611" t="e">
        <f t="shared" si="12"/>
        <v>#VALUE!</v>
      </c>
      <c r="AP21" s="612">
        <f t="shared" si="13"/>
        <v>5.4545454545456614E-3</v>
      </c>
      <c r="AQ21" s="1915"/>
    </row>
    <row r="22" spans="1:43" s="339" customFormat="1" ht="22.5" customHeight="1">
      <c r="A22" s="1965">
        <f t="shared" si="0"/>
        <v>220</v>
      </c>
      <c r="B22" s="1959" t="str">
        <f t="shared" si="0"/>
        <v>V</v>
      </c>
      <c r="C22" s="341">
        <v>53</v>
      </c>
      <c r="D22" s="1954"/>
      <c r="E22" s="345">
        <v>53.006999999999998</v>
      </c>
      <c r="F22" s="346"/>
      <c r="G22" s="357">
        <v>53.002000000000002</v>
      </c>
      <c r="H22" s="346"/>
      <c r="I22" s="1945">
        <f t="shared" si="1"/>
        <v>-1.2727272727268904E-2</v>
      </c>
      <c r="J22" s="1946"/>
      <c r="K22" s="602">
        <f t="shared" si="2"/>
        <v>-3.6363636363680803E-3</v>
      </c>
      <c r="L22" s="603">
        <f t="shared" si="3"/>
        <v>9.0909090909008228E-3</v>
      </c>
      <c r="M22" s="1962"/>
      <c r="N22" s="1943"/>
      <c r="O22" s="1943"/>
      <c r="P22" s="1943"/>
      <c r="S22" s="1934">
        <f t="shared" si="4"/>
        <v>220</v>
      </c>
      <c r="T22" s="1936" t="str">
        <f t="shared" si="5"/>
        <v>V</v>
      </c>
      <c r="U22" s="584">
        <v>53</v>
      </c>
      <c r="V22" s="607">
        <v>53.006999999999998</v>
      </c>
      <c r="W22" s="610"/>
      <c r="X22" s="609">
        <v>53.002000000000002</v>
      </c>
      <c r="Y22" s="610"/>
      <c r="Z22" s="1919" t="e">
        <f t="shared" si="6"/>
        <v>#VALUE!</v>
      </c>
      <c r="AA22" s="1920"/>
      <c r="AB22" s="611" t="e">
        <f t="shared" si="7"/>
        <v>#VALUE!</v>
      </c>
      <c r="AC22" s="612">
        <f t="shared" si="8"/>
        <v>9.0909090909008228E-3</v>
      </c>
      <c r="AF22" s="1934">
        <f t="shared" si="9"/>
        <v>220</v>
      </c>
      <c r="AG22" s="1936" t="str">
        <f t="shared" si="10"/>
        <v>V</v>
      </c>
      <c r="AH22" s="584">
        <v>53</v>
      </c>
      <c r="AI22" s="607">
        <v>53.006999999999998</v>
      </c>
      <c r="AJ22" s="610"/>
      <c r="AK22" s="609">
        <v>53.002000000000002</v>
      </c>
      <c r="AL22" s="610"/>
      <c r="AM22" s="1919" t="e">
        <f t="shared" si="11"/>
        <v>#VALUE!</v>
      </c>
      <c r="AN22" s="1920"/>
      <c r="AO22" s="611" t="e">
        <f t="shared" si="12"/>
        <v>#VALUE!</v>
      </c>
      <c r="AP22" s="612">
        <f t="shared" si="13"/>
        <v>9.0909090909008228E-3</v>
      </c>
      <c r="AQ22" s="1915"/>
    </row>
    <row r="23" spans="1:43" s="339" customFormat="1" ht="24" customHeight="1">
      <c r="A23" s="1965">
        <f t="shared" si="0"/>
        <v>220</v>
      </c>
      <c r="B23" s="1959" t="str">
        <f t="shared" si="0"/>
        <v>V</v>
      </c>
      <c r="C23" s="341">
        <v>54</v>
      </c>
      <c r="D23" s="1954"/>
      <c r="E23" s="345">
        <v>54.012999999999998</v>
      </c>
      <c r="F23" s="346"/>
      <c r="G23" s="357">
        <v>54.009</v>
      </c>
      <c r="H23" s="346"/>
      <c r="I23" s="1945">
        <f t="shared" si="1"/>
        <v>-2.3636363636360225E-2</v>
      </c>
      <c r="J23" s="1946"/>
      <c r="K23" s="602">
        <f t="shared" si="2"/>
        <v>-1.6363636363636982E-2</v>
      </c>
      <c r="L23" s="603">
        <f t="shared" si="3"/>
        <v>7.2727272727232421E-3</v>
      </c>
      <c r="M23" s="1962"/>
      <c r="N23" s="1943"/>
      <c r="O23" s="1943"/>
      <c r="P23" s="1943"/>
      <c r="S23" s="1934">
        <f t="shared" si="4"/>
        <v>220</v>
      </c>
      <c r="T23" s="1936" t="str">
        <f t="shared" si="5"/>
        <v>V</v>
      </c>
      <c r="U23" s="584">
        <v>54</v>
      </c>
      <c r="V23" s="607">
        <v>54.012999999999998</v>
      </c>
      <c r="W23" s="610"/>
      <c r="X23" s="609">
        <v>54.009</v>
      </c>
      <c r="Y23" s="610"/>
      <c r="Z23" s="1919" t="e">
        <f t="shared" si="6"/>
        <v>#VALUE!</v>
      </c>
      <c r="AA23" s="1920"/>
      <c r="AB23" s="611" t="e">
        <f t="shared" si="7"/>
        <v>#VALUE!</v>
      </c>
      <c r="AC23" s="612">
        <f t="shared" si="8"/>
        <v>7.2727272727232421E-3</v>
      </c>
      <c r="AF23" s="1934">
        <f t="shared" si="9"/>
        <v>220</v>
      </c>
      <c r="AG23" s="1936" t="str">
        <f t="shared" si="10"/>
        <v>V</v>
      </c>
      <c r="AH23" s="584">
        <v>54</v>
      </c>
      <c r="AI23" s="607">
        <v>54.012999999999998</v>
      </c>
      <c r="AJ23" s="610"/>
      <c r="AK23" s="609">
        <v>54.009</v>
      </c>
      <c r="AL23" s="610"/>
      <c r="AM23" s="1919" t="e">
        <f t="shared" si="11"/>
        <v>#VALUE!</v>
      </c>
      <c r="AN23" s="1920"/>
      <c r="AO23" s="611" t="e">
        <f t="shared" si="12"/>
        <v>#VALUE!</v>
      </c>
      <c r="AP23" s="612">
        <f t="shared" si="13"/>
        <v>7.2727272727232421E-3</v>
      </c>
      <c r="AQ23" s="1915"/>
    </row>
    <row r="24" spans="1:43" s="339" customFormat="1" ht="23.25" customHeight="1">
      <c r="A24" s="1966"/>
      <c r="B24" s="1960"/>
      <c r="C24" s="341">
        <v>55</v>
      </c>
      <c r="D24" s="1796"/>
      <c r="E24" s="345">
        <v>55.008000000000003</v>
      </c>
      <c r="F24" s="346"/>
      <c r="G24" s="345">
        <v>55.005000000000003</v>
      </c>
      <c r="H24" s="346"/>
      <c r="I24" s="1945">
        <f t="shared" si="1"/>
        <v>-1.4545454545459403E-2</v>
      </c>
      <c r="J24" s="1946"/>
      <c r="K24" s="602">
        <f t="shared" si="2"/>
        <v>-9.0909090909137413E-3</v>
      </c>
      <c r="L24" s="603">
        <f t="shared" si="3"/>
        <v>5.4545454545456614E-3</v>
      </c>
      <c r="M24" s="1963"/>
      <c r="N24" s="1944"/>
      <c r="O24" s="1944"/>
      <c r="P24" s="1944"/>
      <c r="S24" s="1935"/>
      <c r="T24" s="1937"/>
      <c r="U24" s="584">
        <v>55</v>
      </c>
      <c r="V24" s="607">
        <v>55.008000000000003</v>
      </c>
      <c r="W24" s="610"/>
      <c r="X24" s="607">
        <v>55.005000000000003</v>
      </c>
      <c r="Y24" s="610"/>
      <c r="Z24" s="1919">
        <f t="shared" si="6"/>
        <v>-100.01454545454547</v>
      </c>
      <c r="AA24" s="1920"/>
      <c r="AB24" s="611">
        <f t="shared" si="7"/>
        <v>-100.00909090909092</v>
      </c>
      <c r="AC24" s="612">
        <f t="shared" si="8"/>
        <v>5.4545454545456614E-3</v>
      </c>
      <c r="AF24" s="1935"/>
      <c r="AG24" s="1937"/>
      <c r="AH24" s="584">
        <v>55</v>
      </c>
      <c r="AI24" s="607">
        <v>55.008000000000003</v>
      </c>
      <c r="AJ24" s="610"/>
      <c r="AK24" s="607">
        <v>55.005000000000003</v>
      </c>
      <c r="AL24" s="610"/>
      <c r="AM24" s="1919">
        <f t="shared" si="11"/>
        <v>-100.01454545454547</v>
      </c>
      <c r="AN24" s="1920"/>
      <c r="AO24" s="611">
        <f t="shared" si="12"/>
        <v>-100.00909090909092</v>
      </c>
      <c r="AP24" s="612">
        <f t="shared" si="13"/>
        <v>5.4545454545456614E-3</v>
      </c>
      <c r="AQ24" s="1916"/>
    </row>
    <row r="25" spans="1:43" s="339" customFormat="1" ht="24.75" customHeight="1">
      <c r="A25" s="1955">
        <v>100</v>
      </c>
      <c r="B25" s="1720" t="s">
        <v>952</v>
      </c>
      <c r="C25" s="341">
        <v>45</v>
      </c>
      <c r="D25" s="1795">
        <v>0.2</v>
      </c>
      <c r="E25" s="345">
        <v>45.009</v>
      </c>
      <c r="F25" s="344"/>
      <c r="G25" s="345">
        <v>45.009</v>
      </c>
      <c r="H25" s="346"/>
      <c r="I25" s="1945">
        <f t="shared" si="1"/>
        <v>-1.6363636363636982E-2</v>
      </c>
      <c r="J25" s="1946"/>
      <c r="K25" s="602">
        <f t="shared" si="2"/>
        <v>-1.6363636363636982E-2</v>
      </c>
      <c r="L25" s="603">
        <f t="shared" si="3"/>
        <v>0</v>
      </c>
      <c r="M25" s="1947" t="e">
        <f>2*P25</f>
        <v>#REF!</v>
      </c>
      <c r="N25" s="1942" t="e">
        <f>[3]不确定度评定附表!#REF!</f>
        <v>#REF!</v>
      </c>
      <c r="O25" s="1942" t="e">
        <f>[3]不确定度评定附表!#REF!</f>
        <v>#REF!</v>
      </c>
      <c r="P25" s="1942" t="e">
        <f>[3]不确定度评定附表!#REF!</f>
        <v>#REF!</v>
      </c>
      <c r="S25" s="1940">
        <v>100</v>
      </c>
      <c r="T25" s="1751" t="s">
        <v>952</v>
      </c>
      <c r="U25" s="584">
        <v>45</v>
      </c>
      <c r="V25" s="607">
        <v>45.009</v>
      </c>
      <c r="W25" s="608"/>
      <c r="X25" s="607">
        <v>45.009</v>
      </c>
      <c r="Y25" s="610"/>
      <c r="Z25" s="1919" t="e">
        <f t="shared" si="6"/>
        <v>#VALUE!</v>
      </c>
      <c r="AA25" s="1920"/>
      <c r="AB25" s="611" t="e">
        <f t="shared" si="7"/>
        <v>#VALUE!</v>
      </c>
      <c r="AC25" s="612">
        <f t="shared" si="8"/>
        <v>0</v>
      </c>
      <c r="AF25" s="1940">
        <v>100</v>
      </c>
      <c r="AG25" s="1751" t="s">
        <v>952</v>
      </c>
      <c r="AH25" s="584">
        <v>45</v>
      </c>
      <c r="AI25" s="607">
        <v>45.009</v>
      </c>
      <c r="AJ25" s="608"/>
      <c r="AK25" s="607">
        <v>45.009</v>
      </c>
      <c r="AL25" s="610"/>
      <c r="AM25" s="1919" t="e">
        <f t="shared" si="11"/>
        <v>#VALUE!</v>
      </c>
      <c r="AN25" s="1920"/>
      <c r="AO25" s="611" t="e">
        <f t="shared" si="12"/>
        <v>#VALUE!</v>
      </c>
      <c r="AP25" s="612">
        <f t="shared" si="13"/>
        <v>0</v>
      </c>
      <c r="AQ25" s="1914"/>
    </row>
    <row r="26" spans="1:43" s="339" customFormat="1" ht="24.75" customHeight="1">
      <c r="A26" s="1956"/>
      <c r="B26" s="1953"/>
      <c r="C26" s="341">
        <v>55</v>
      </c>
      <c r="D26" s="1954"/>
      <c r="E26" s="345">
        <v>55.015999999999998</v>
      </c>
      <c r="F26" s="346"/>
      <c r="G26" s="345">
        <v>55.015000000000001</v>
      </c>
      <c r="H26" s="346"/>
      <c r="I26" s="1945">
        <f t="shared" si="1"/>
        <v>-2.9090909090905889E-2</v>
      </c>
      <c r="J26" s="1946"/>
      <c r="K26" s="602">
        <f t="shared" si="2"/>
        <v>-2.7272727272728305E-2</v>
      </c>
      <c r="L26" s="603">
        <f t="shared" si="3"/>
        <v>1.8181818181775807E-3</v>
      </c>
      <c r="M26" s="1948"/>
      <c r="N26" s="1944"/>
      <c r="O26" s="1944"/>
      <c r="P26" s="1944"/>
      <c r="S26" s="1941"/>
      <c r="T26" s="1753"/>
      <c r="U26" s="584">
        <v>55</v>
      </c>
      <c r="V26" s="607">
        <v>55.015999999999998</v>
      </c>
      <c r="W26" s="610"/>
      <c r="X26" s="607">
        <v>55.015000000000001</v>
      </c>
      <c r="Y26" s="610"/>
      <c r="Z26" s="1919">
        <f t="shared" si="6"/>
        <v>-100.02909090909091</v>
      </c>
      <c r="AA26" s="1920"/>
      <c r="AB26" s="611">
        <f t="shared" si="7"/>
        <v>-100.02727272727272</v>
      </c>
      <c r="AC26" s="612">
        <f t="shared" si="8"/>
        <v>1.8181818181775807E-3</v>
      </c>
      <c r="AF26" s="1941"/>
      <c r="AG26" s="1753"/>
      <c r="AH26" s="584">
        <v>55</v>
      </c>
      <c r="AI26" s="607">
        <v>55.015999999999998</v>
      </c>
      <c r="AJ26" s="610"/>
      <c r="AK26" s="607">
        <v>55.015000000000001</v>
      </c>
      <c r="AL26" s="610"/>
      <c r="AM26" s="1919">
        <f t="shared" si="11"/>
        <v>-100.02909090909091</v>
      </c>
      <c r="AN26" s="1920"/>
      <c r="AO26" s="611">
        <f t="shared" si="12"/>
        <v>-100.02727272727272</v>
      </c>
      <c r="AP26" s="612">
        <f t="shared" si="13"/>
        <v>1.8181818181775807E-3</v>
      </c>
      <c r="AQ26" s="1916"/>
    </row>
    <row r="27" spans="1:43" s="339" customFormat="1" ht="23.25" customHeight="1">
      <c r="A27" s="1957">
        <v>127</v>
      </c>
      <c r="B27" s="1720" t="s">
        <v>953</v>
      </c>
      <c r="C27" s="341">
        <v>45</v>
      </c>
      <c r="D27" s="1795">
        <v>0.2</v>
      </c>
      <c r="E27" s="357">
        <v>45.012</v>
      </c>
      <c r="F27" s="346"/>
      <c r="G27" s="345">
        <v>45.011000000000003</v>
      </c>
      <c r="H27" s="346"/>
      <c r="I27" s="1945">
        <f t="shared" si="1"/>
        <v>-2.1818181818182646E-2</v>
      </c>
      <c r="J27" s="1946"/>
      <c r="K27" s="602">
        <f t="shared" si="2"/>
        <v>-2.0000000000005066E-2</v>
      </c>
      <c r="L27" s="603">
        <f t="shared" si="3"/>
        <v>1.8181818181775807E-3</v>
      </c>
      <c r="M27" s="1947">
        <f>2*P27</f>
        <v>100.0016</v>
      </c>
      <c r="N27" s="1942">
        <f>[3]不确定度评定附表!B3</f>
        <v>50.000799999999998</v>
      </c>
      <c r="O27" s="1942">
        <f>[3]不确定度评定附表!D3</f>
        <v>50.000799999999998</v>
      </c>
      <c r="P27" s="1942">
        <f>[3]不确定度评定附表!F3</f>
        <v>50.000799999999998</v>
      </c>
      <c r="S27" s="1917">
        <v>127</v>
      </c>
      <c r="T27" s="1751" t="s">
        <v>952</v>
      </c>
      <c r="U27" s="584">
        <v>45</v>
      </c>
      <c r="V27" s="609">
        <v>45.012</v>
      </c>
      <c r="W27" s="610"/>
      <c r="X27" s="607">
        <v>45.011000000000003</v>
      </c>
      <c r="Y27" s="610"/>
      <c r="Z27" s="1919" t="e">
        <f t="shared" si="6"/>
        <v>#VALUE!</v>
      </c>
      <c r="AA27" s="1920"/>
      <c r="AB27" s="611" t="e">
        <f t="shared" si="7"/>
        <v>#VALUE!</v>
      </c>
      <c r="AC27" s="612">
        <f t="shared" si="8"/>
        <v>1.8181818181775807E-3</v>
      </c>
      <c r="AF27" s="1917">
        <v>127</v>
      </c>
      <c r="AG27" s="1751" t="s">
        <v>952</v>
      </c>
      <c r="AH27" s="584">
        <v>45</v>
      </c>
      <c r="AI27" s="609">
        <v>45.012</v>
      </c>
      <c r="AJ27" s="610"/>
      <c r="AK27" s="607">
        <v>45.011000000000003</v>
      </c>
      <c r="AL27" s="610"/>
      <c r="AM27" s="1919" t="e">
        <f t="shared" si="11"/>
        <v>#VALUE!</v>
      </c>
      <c r="AN27" s="1920"/>
      <c r="AO27" s="611" t="e">
        <f t="shared" si="12"/>
        <v>#VALUE!</v>
      </c>
      <c r="AP27" s="612">
        <f t="shared" si="13"/>
        <v>1.8181818181775807E-3</v>
      </c>
      <c r="AQ27" s="1914"/>
    </row>
    <row r="28" spans="1:43" s="339" customFormat="1" ht="22.5" customHeight="1">
      <c r="A28" s="1958"/>
      <c r="B28" s="1953"/>
      <c r="C28" s="341">
        <v>55</v>
      </c>
      <c r="D28" s="1954"/>
      <c r="E28" s="345">
        <v>55.018999999999998</v>
      </c>
      <c r="F28" s="346"/>
      <c r="G28" s="357">
        <v>55.021999999999998</v>
      </c>
      <c r="H28" s="346"/>
      <c r="I28" s="1945">
        <f t="shared" si="1"/>
        <v>-3.4545454545451548E-2</v>
      </c>
      <c r="J28" s="1946"/>
      <c r="K28" s="602">
        <f t="shared" si="2"/>
        <v>-3.9999999999997211E-2</v>
      </c>
      <c r="L28" s="603">
        <f t="shared" si="3"/>
        <v>5.4545454545456614E-3</v>
      </c>
      <c r="M28" s="1948"/>
      <c r="N28" s="1944"/>
      <c r="O28" s="1944"/>
      <c r="P28" s="1944"/>
      <c r="S28" s="1918"/>
      <c r="T28" s="1753"/>
      <c r="U28" s="584">
        <v>55</v>
      </c>
      <c r="V28" s="607">
        <v>55.018999999999998</v>
      </c>
      <c r="W28" s="610"/>
      <c r="X28" s="609">
        <v>55.021999999999998</v>
      </c>
      <c r="Y28" s="610"/>
      <c r="Z28" s="1919">
        <f t="shared" si="6"/>
        <v>-100.03454545454544</v>
      </c>
      <c r="AA28" s="1920"/>
      <c r="AB28" s="613">
        <f t="shared" si="7"/>
        <v>-100.03999999999999</v>
      </c>
      <c r="AC28" s="614">
        <f t="shared" si="8"/>
        <v>5.4545454545456614E-3</v>
      </c>
      <c r="AF28" s="1918"/>
      <c r="AG28" s="1753"/>
      <c r="AH28" s="584">
        <v>55</v>
      </c>
      <c r="AI28" s="607">
        <v>55.018999999999998</v>
      </c>
      <c r="AJ28" s="610"/>
      <c r="AK28" s="609">
        <v>55.021999999999998</v>
      </c>
      <c r="AL28" s="610"/>
      <c r="AM28" s="1919">
        <f t="shared" si="11"/>
        <v>-100.03454545454544</v>
      </c>
      <c r="AN28" s="1920"/>
      <c r="AO28" s="613">
        <f t="shared" si="12"/>
        <v>-100.03999999999999</v>
      </c>
      <c r="AP28" s="614">
        <f t="shared" si="13"/>
        <v>5.4545454545456614E-3</v>
      </c>
      <c r="AQ28" s="1916"/>
    </row>
    <row r="29" spans="1:43" s="339" customFormat="1" ht="24" customHeight="1">
      <c r="A29" s="1949" t="s">
        <v>954</v>
      </c>
      <c r="B29" s="1950"/>
      <c r="C29" s="1950"/>
      <c r="D29" s="1951">
        <f>IF(ABS(MAX(I14:K28))&gt;ABS(MIN(I14:K28)),MAX(I14:K28),MIN(I14:K28))</f>
        <v>-4.3636363636365291E-2</v>
      </c>
      <c r="E29" s="1951"/>
      <c r="F29" s="356"/>
      <c r="G29" s="356" t="s">
        <v>955</v>
      </c>
      <c r="H29" s="356"/>
      <c r="I29" s="356"/>
      <c r="J29" s="1952">
        <f>MAX(L14:L24)</f>
        <v>1.2727272727268904E-2</v>
      </c>
      <c r="K29" s="1952"/>
      <c r="L29" s="1952"/>
      <c r="M29" s="1952"/>
      <c r="N29" s="600"/>
      <c r="O29" s="600"/>
      <c r="P29" s="601"/>
      <c r="S29" s="1938" t="s">
        <v>1558</v>
      </c>
      <c r="T29" s="1798"/>
      <c r="U29" s="1798"/>
      <c r="V29" s="1939" t="e">
        <f>IF(ABS(MAX(AA4:AC25))&gt;ABS(MIN(AA4:AC25)),MAX(AA4:AC25),MIN(AA4:AC25))</f>
        <v>#VALUE!</v>
      </c>
      <c r="W29" s="1939"/>
      <c r="X29" s="14"/>
      <c r="Y29" s="14" t="s">
        <v>1559</v>
      </c>
      <c r="Z29" s="14"/>
      <c r="AA29" s="14"/>
      <c r="AB29" s="616">
        <f>MAX(AD4:AD14)</f>
        <v>0</v>
      </c>
      <c r="AC29" s="617"/>
      <c r="AD29" s="615"/>
      <c r="AE29" s="615"/>
      <c r="AF29" s="1938" t="s">
        <v>1558</v>
      </c>
      <c r="AG29" s="1798"/>
      <c r="AH29" s="1798"/>
      <c r="AI29" s="1939" t="e">
        <f>IF(ABS(MAX(AN4:AP25))&gt;ABS(MIN(AN4:AP25)),MAX(AN4:AP25),MIN(AN4:AP25))</f>
        <v>#VALUE!</v>
      </c>
      <c r="AJ29" s="1939"/>
      <c r="AK29" s="14"/>
      <c r="AL29" s="14" t="s">
        <v>1559</v>
      </c>
      <c r="AM29" s="14"/>
      <c r="AN29" s="14"/>
      <c r="AO29" s="616">
        <f>MAX(AQ4:AQ14)</f>
        <v>0</v>
      </c>
      <c r="AP29" s="616"/>
      <c r="AQ29" s="601"/>
    </row>
  </sheetData>
  <protectedRanges>
    <protectedRange sqref="F14:F28 H14:H28 A14:D28 S14:U28 W14:W28 Y14:Y28 AF14:AH28 AJ14:AJ28 AL14:AL28" name="区域3"/>
    <protectedRange sqref="E14:E24 V14:V24 AI14:AI24" name="区域3_1"/>
    <protectedRange sqref="G14:G24 X14:X24 AK14:AK24" name="区域3_2"/>
    <protectedRange sqref="E25:E26 V25:V26 AI25:AI26" name="区域3_3"/>
    <protectedRange sqref="G25:G26 X25:X26 AK25:AK26" name="区域3_4"/>
    <protectedRange sqref="E27:E28 V27:V28 AI27:AI28" name="区域3_5"/>
    <protectedRange sqref="G27:G28 X27:X28 AK27:AK28" name="区域3_6"/>
  </protectedRanges>
  <mergeCells count="119">
    <mergeCell ref="O12:O13"/>
    <mergeCell ref="P12:P13"/>
    <mergeCell ref="E13:F13"/>
    <mergeCell ref="G13:H13"/>
    <mergeCell ref="A3:B3"/>
    <mergeCell ref="A12:B13"/>
    <mergeCell ref="C12:C13"/>
    <mergeCell ref="E12:H12"/>
    <mergeCell ref="I12:J13"/>
    <mergeCell ref="K12:K13"/>
    <mergeCell ref="B14:B24"/>
    <mergeCell ref="D14:D24"/>
    <mergeCell ref="I14:J14"/>
    <mergeCell ref="M14:M24"/>
    <mergeCell ref="N14:N24"/>
    <mergeCell ref="I23:J23"/>
    <mergeCell ref="I24:J24"/>
    <mergeCell ref="A14:A24"/>
    <mergeCell ref="L12:L13"/>
    <mergeCell ref="M12:M13"/>
    <mergeCell ref="N12:N13"/>
    <mergeCell ref="D12:D13"/>
    <mergeCell ref="I19:J19"/>
    <mergeCell ref="I20:J20"/>
    <mergeCell ref="I21:J21"/>
    <mergeCell ref="I22:J22"/>
    <mergeCell ref="A29:C29"/>
    <mergeCell ref="D29:E29"/>
    <mergeCell ref="J29:M29"/>
    <mergeCell ref="B27:B28"/>
    <mergeCell ref="D27:D28"/>
    <mergeCell ref="A25:A26"/>
    <mergeCell ref="B25:B26"/>
    <mergeCell ref="D25:D26"/>
    <mergeCell ref="I25:J25"/>
    <mergeCell ref="M25:M26"/>
    <mergeCell ref="A27:A28"/>
    <mergeCell ref="AC12:AC13"/>
    <mergeCell ref="V12:Y12"/>
    <mergeCell ref="V13:W13"/>
    <mergeCell ref="X13:Y13"/>
    <mergeCell ref="S14:S24"/>
    <mergeCell ref="T14:T24"/>
    <mergeCell ref="Z20:AA20"/>
    <mergeCell ref="Z21:AA21"/>
    <mergeCell ref="Z22:AA22"/>
    <mergeCell ref="Z23:AA23"/>
    <mergeCell ref="AB12:AB13"/>
    <mergeCell ref="S12:T13"/>
    <mergeCell ref="U12:U13"/>
    <mergeCell ref="Z12:AA13"/>
    <mergeCell ref="Z14:AA14"/>
    <mergeCell ref="Z15:AA15"/>
    <mergeCell ref="Z16:AA16"/>
    <mergeCell ref="Z17:AA17"/>
    <mergeCell ref="Z18:AA18"/>
    <mergeCell ref="Z19:AA19"/>
    <mergeCell ref="Z24:AA24"/>
    <mergeCell ref="O14:O24"/>
    <mergeCell ref="P14:P24"/>
    <mergeCell ref="I15:J15"/>
    <mergeCell ref="I16:J16"/>
    <mergeCell ref="I17:J17"/>
    <mergeCell ref="I18:J18"/>
    <mergeCell ref="S29:U29"/>
    <mergeCell ref="V29:W29"/>
    <mergeCell ref="S25:S26"/>
    <mergeCell ref="T25:T26"/>
    <mergeCell ref="S27:S28"/>
    <mergeCell ref="T27:T28"/>
    <mergeCell ref="P27:P28"/>
    <mergeCell ref="I28:J28"/>
    <mergeCell ref="I27:J27"/>
    <mergeCell ref="M27:M28"/>
    <mergeCell ref="N27:N28"/>
    <mergeCell ref="O27:O28"/>
    <mergeCell ref="N25:N26"/>
    <mergeCell ref="O25:O26"/>
    <mergeCell ref="P25:P26"/>
    <mergeCell ref="I26:J26"/>
    <mergeCell ref="Z25:AA25"/>
    <mergeCell ref="Z26:AA26"/>
    <mergeCell ref="Z27:AA27"/>
    <mergeCell ref="Z28:AA28"/>
    <mergeCell ref="AM17:AN17"/>
    <mergeCell ref="AM18:AN18"/>
    <mergeCell ref="AF29:AH29"/>
    <mergeCell ref="AI29:AJ29"/>
    <mergeCell ref="AM23:AN23"/>
    <mergeCell ref="AM24:AN24"/>
    <mergeCell ref="AF25:AF26"/>
    <mergeCell ref="AG25:AG26"/>
    <mergeCell ref="AM25:AN25"/>
    <mergeCell ref="AM26:AN26"/>
    <mergeCell ref="AM22:AN22"/>
    <mergeCell ref="AQ12:AQ13"/>
    <mergeCell ref="AQ14:AQ24"/>
    <mergeCell ref="AQ25:AQ26"/>
    <mergeCell ref="AQ27:AQ28"/>
    <mergeCell ref="AF27:AF28"/>
    <mergeCell ref="AG27:AG28"/>
    <mergeCell ref="AM27:AN27"/>
    <mergeCell ref="AM28:AN28"/>
    <mergeCell ref="AP12:AP13"/>
    <mergeCell ref="AI13:AJ13"/>
    <mergeCell ref="AF12:AG13"/>
    <mergeCell ref="AH12:AH13"/>
    <mergeCell ref="AO12:AO13"/>
    <mergeCell ref="AI12:AL12"/>
    <mergeCell ref="AM12:AN13"/>
    <mergeCell ref="AM19:AN19"/>
    <mergeCell ref="AM20:AN20"/>
    <mergeCell ref="AM21:AN21"/>
    <mergeCell ref="AK13:AL13"/>
    <mergeCell ref="AM14:AN14"/>
    <mergeCell ref="AM15:AN15"/>
    <mergeCell ref="AM16:AN16"/>
    <mergeCell ref="AF14:AF24"/>
    <mergeCell ref="AG14:AG24"/>
  </mergeCells>
  <phoneticPr fontId="77" type="noConversion"/>
  <pageMargins left="0.75" right="0.75" top="1" bottom="1" header="0.5" footer="0.5"/>
  <drawing r:id="rId1"/>
  <legacyDrawing r:id="rId2"/>
</worksheet>
</file>

<file path=xl/worksheets/sheet8.xml><?xml version="1.0" encoding="utf-8"?>
<worksheet xmlns="http://schemas.openxmlformats.org/spreadsheetml/2006/main" xmlns:r="http://schemas.openxmlformats.org/officeDocument/2006/relationships">
  <dimension ref="A1:H19"/>
  <sheetViews>
    <sheetView workbookViewId="0">
      <selection activeCell="C2" sqref="C2"/>
    </sheetView>
  </sheetViews>
  <sheetFormatPr defaultRowHeight="14.25"/>
  <cols>
    <col min="2" max="2" width="22.75" bestFit="1" customWidth="1"/>
    <col min="3" max="3" width="15.375" customWidth="1"/>
    <col min="4" max="4" width="14.875" customWidth="1"/>
    <col min="7" max="7" width="14.375" customWidth="1"/>
  </cols>
  <sheetData>
    <row r="1" spans="1:8">
      <c r="A1" s="454" t="s">
        <v>995</v>
      </c>
      <c r="B1" s="483" t="s">
        <v>1064</v>
      </c>
      <c r="C1" s="484" t="s">
        <v>1087</v>
      </c>
      <c r="D1" s="456"/>
      <c r="E1" s="456"/>
      <c r="F1" s="8"/>
      <c r="G1" s="315"/>
      <c r="H1" s="315"/>
    </row>
    <row r="2" spans="1:8">
      <c r="A2" s="454"/>
      <c r="B2" s="435" t="s">
        <v>1560</v>
      </c>
      <c r="C2" s="564" t="s">
        <v>1489</v>
      </c>
      <c r="D2" s="456"/>
      <c r="E2" s="456"/>
      <c r="F2" s="8"/>
      <c r="G2" s="315"/>
      <c r="H2" s="315"/>
    </row>
    <row r="3" spans="1:8">
      <c r="A3" s="13"/>
      <c r="B3" s="459" t="s">
        <v>1067</v>
      </c>
      <c r="C3" s="13"/>
      <c r="D3" s="13" t="s">
        <v>1001</v>
      </c>
      <c r="E3" s="13"/>
      <c r="F3" s="13"/>
      <c r="G3" s="13"/>
      <c r="H3" s="13"/>
    </row>
    <row r="4" spans="1:8" ht="15.75">
      <c r="A4" s="13"/>
      <c r="B4" s="347" t="s">
        <v>1002</v>
      </c>
      <c r="C4" s="347" t="s">
        <v>1003</v>
      </c>
      <c r="D4" s="347" t="s">
        <v>1088</v>
      </c>
      <c r="E4" s="347" t="s">
        <v>1005</v>
      </c>
      <c r="F4" s="448" t="s">
        <v>1006</v>
      </c>
      <c r="G4" s="451"/>
      <c r="H4" s="417"/>
    </row>
    <row r="5" spans="1:8" ht="15">
      <c r="A5" s="13"/>
      <c r="B5" s="349">
        <v>0.99447300000000005</v>
      </c>
      <c r="C5" s="349">
        <v>0.99545300000000003</v>
      </c>
      <c r="D5" s="349">
        <v>0.99447300000000005</v>
      </c>
      <c r="E5" s="349">
        <v>0.99545300000000003</v>
      </c>
      <c r="F5" s="349">
        <v>0.99447300000000005</v>
      </c>
      <c r="G5" s="320"/>
      <c r="H5" s="29"/>
    </row>
    <row r="6" spans="1:8" ht="15">
      <c r="A6" s="13"/>
      <c r="B6" s="349">
        <v>0.99545300000000003</v>
      </c>
      <c r="C6" s="349">
        <v>0.99447300000000005</v>
      </c>
      <c r="D6" s="349">
        <v>0.99545300000000003</v>
      </c>
      <c r="E6" s="349">
        <v>0.99447300000000005</v>
      </c>
      <c r="F6" s="349">
        <v>0.99545300000000003</v>
      </c>
      <c r="G6" s="451"/>
      <c r="H6" s="417"/>
    </row>
    <row r="7" spans="1:8" ht="18.75">
      <c r="A7" s="13"/>
      <c r="B7" s="350" t="s">
        <v>1563</v>
      </c>
      <c r="C7" s="485">
        <f>STDEV(C5:K5)</f>
        <v>5.6580326380582216E-4</v>
      </c>
      <c r="D7" s="14"/>
      <c r="E7" s="14"/>
      <c r="F7" s="39"/>
      <c r="G7" s="9"/>
      <c r="H7" s="9"/>
    </row>
    <row r="8" spans="1:8">
      <c r="A8" s="13"/>
      <c r="B8" s="463"/>
      <c r="C8" s="463"/>
      <c r="D8" s="463"/>
      <c r="E8" s="463"/>
      <c r="F8" s="463"/>
      <c r="G8" s="463"/>
      <c r="H8" s="463"/>
    </row>
    <row r="9" spans="1:8">
      <c r="A9" s="486" t="s">
        <v>1007</v>
      </c>
      <c r="B9" s="153" t="s">
        <v>1008</v>
      </c>
    </row>
    <row r="10" spans="1:8">
      <c r="A10" s="486"/>
      <c r="B10" s="467" t="s">
        <v>1049</v>
      </c>
      <c r="C10" s="467" t="s">
        <v>1010</v>
      </c>
      <c r="D10" s="467" t="s">
        <v>1050</v>
      </c>
      <c r="E10" s="467" t="s">
        <v>1051</v>
      </c>
      <c r="F10" s="467" t="s">
        <v>1052</v>
      </c>
      <c r="G10" s="467" t="s">
        <v>1014</v>
      </c>
    </row>
    <row r="11" spans="1:8" ht="28.5">
      <c r="A11" s="486"/>
      <c r="B11" s="7">
        <v>1</v>
      </c>
      <c r="C11" s="565" t="s">
        <v>1490</v>
      </c>
      <c r="D11" s="487">
        <v>1E-4</v>
      </c>
      <c r="E11" s="467" t="s">
        <v>1054</v>
      </c>
      <c r="F11" s="35">
        <v>3</v>
      </c>
      <c r="G11" s="443">
        <f>D11/F11</f>
        <v>3.3333333333333335E-5</v>
      </c>
    </row>
    <row r="12" spans="1:8" ht="28.5">
      <c r="A12" s="486"/>
      <c r="B12" s="7">
        <v>2</v>
      </c>
      <c r="C12" s="468" t="s">
        <v>1089</v>
      </c>
      <c r="D12" s="487">
        <v>1.0000000000000001E-5</v>
      </c>
      <c r="E12" s="467" t="s">
        <v>1054</v>
      </c>
      <c r="F12" s="35"/>
      <c r="G12" s="443">
        <f>D12/SQRT(3)</f>
        <v>5.7735026918962587E-6</v>
      </c>
    </row>
    <row r="13" spans="1:8" ht="18.75">
      <c r="A13" s="486"/>
      <c r="B13" s="41" t="s">
        <v>1564</v>
      </c>
      <c r="C13" s="1969"/>
      <c r="D13" s="1970"/>
      <c r="E13" s="1970"/>
      <c r="F13" s="1970"/>
      <c r="G13" s="1832"/>
    </row>
    <row r="14" spans="1:8">
      <c r="A14" s="13"/>
      <c r="B14" s="453" t="s">
        <v>1059</v>
      </c>
    </row>
    <row r="15" spans="1:8" ht="18.75">
      <c r="A15" s="13"/>
      <c r="B15" s="502" t="s">
        <v>1565</v>
      </c>
      <c r="C15" s="470"/>
    </row>
    <row r="16" spans="1:8">
      <c r="B16" s="453" t="s">
        <v>1061</v>
      </c>
      <c r="C16" s="28"/>
    </row>
    <row r="17" spans="2:8" ht="15.75">
      <c r="B17" s="502" t="s">
        <v>1566</v>
      </c>
      <c r="C17" s="392"/>
      <c r="D17" s="391"/>
      <c r="E17" s="392"/>
      <c r="F17" s="391"/>
      <c r="G17" s="393"/>
      <c r="H17" s="390"/>
    </row>
    <row r="18" spans="2:8">
      <c r="B18" s="329" t="s">
        <v>1561</v>
      </c>
      <c r="C18" s="13"/>
      <c r="D18" s="13"/>
      <c r="E18" s="13"/>
      <c r="F18" s="13"/>
      <c r="G18" s="13"/>
      <c r="H18" s="13"/>
    </row>
    <row r="19" spans="2:8">
      <c r="B19" t="s">
        <v>1562</v>
      </c>
    </row>
  </sheetData>
  <mergeCells count="1">
    <mergeCell ref="C13:G13"/>
  </mergeCells>
  <phoneticPr fontId="99" type="noConversion"/>
  <pageMargins left="0.75" right="0.75" top="1" bottom="1" header="0.5" footer="0.5"/>
  <legacyDrawing r:id="rId1"/>
  <oleObjects>
    <oleObject progId="Equation.3" shapeId="107521" r:id="rId2"/>
  </oleObjects>
</worksheet>
</file>

<file path=xl/worksheets/sheet9.xml><?xml version="1.0" encoding="utf-8"?>
<worksheet xmlns="http://schemas.openxmlformats.org/spreadsheetml/2006/main" xmlns:r="http://schemas.openxmlformats.org/officeDocument/2006/relationships">
  <dimension ref="A1:BM75"/>
  <sheetViews>
    <sheetView topLeftCell="A7" workbookViewId="0">
      <selection activeCell="B1" sqref="B1"/>
    </sheetView>
  </sheetViews>
  <sheetFormatPr defaultRowHeight="14.25" outlineLevelRow="1"/>
  <cols>
    <col min="1" max="1" width="26.5" style="29" customWidth="1"/>
    <col min="2" max="2" width="26.125" style="29" customWidth="1"/>
    <col min="3" max="3" width="15.25" style="29" customWidth="1"/>
    <col min="4" max="4" width="4.625" style="29" customWidth="1"/>
    <col min="5" max="5" width="2.5" style="29" customWidth="1"/>
    <col min="6" max="6" width="11.625" style="29" customWidth="1"/>
    <col min="7" max="7" width="9" style="29" hidden="1" customWidth="1"/>
    <col min="8" max="8" width="7.5" style="29" customWidth="1"/>
    <col min="9" max="9" width="6.25" style="29" customWidth="1"/>
    <col min="10" max="10" width="12.75" style="29" customWidth="1"/>
    <col min="11" max="11" width="19.25" style="29" customWidth="1"/>
    <col min="12" max="12" width="1.625" style="29" customWidth="1"/>
    <col min="13" max="13" width="1.375" style="29" customWidth="1"/>
    <col min="14" max="14" width="14.75" style="29" customWidth="1"/>
    <col min="15" max="15" width="2.25" style="29" customWidth="1"/>
    <col min="16" max="16" width="1.375" style="29" customWidth="1"/>
    <col min="17" max="17" width="2.5" style="29" customWidth="1"/>
    <col min="18" max="18" width="18.75" style="29" customWidth="1"/>
    <col min="19" max="16384" width="9" style="29"/>
  </cols>
  <sheetData>
    <row r="1" spans="1:39">
      <c r="A1" s="1472" t="s">
        <v>51</v>
      </c>
      <c r="B1" s="1472" t="s">
        <v>3555</v>
      </c>
      <c r="C1" s="1462"/>
      <c r="D1" s="1462"/>
      <c r="E1" s="1462"/>
      <c r="F1" s="1462"/>
      <c r="G1" s="1462"/>
      <c r="H1" s="1462"/>
      <c r="I1" s="1462"/>
      <c r="J1" s="1462"/>
      <c r="K1" s="1462"/>
      <c r="L1" s="1462"/>
      <c r="M1" s="1462"/>
      <c r="N1" s="1462"/>
      <c r="O1" s="1462"/>
      <c r="P1" s="1462"/>
      <c r="Q1" s="1462"/>
      <c r="R1" s="1462"/>
      <c r="S1" s="1462"/>
      <c r="T1" s="1462"/>
      <c r="U1" s="1462"/>
      <c r="V1" s="1462"/>
      <c r="W1" s="1462"/>
      <c r="X1" s="1462"/>
      <c r="Y1" s="1462"/>
      <c r="Z1" s="1462"/>
      <c r="AA1" s="1462"/>
      <c r="AB1" s="1462"/>
      <c r="AC1" s="1462"/>
      <c r="AD1" s="1462"/>
      <c r="AE1" s="1462"/>
      <c r="AF1" s="1462"/>
      <c r="AG1" s="1462"/>
      <c r="AH1" s="1462"/>
      <c r="AI1" s="1462"/>
      <c r="AJ1" s="1462"/>
      <c r="AK1" s="1462"/>
      <c r="AL1" s="1462"/>
      <c r="AM1" s="1462"/>
    </row>
    <row r="2" spans="1:39">
      <c r="A2" s="1462"/>
      <c r="B2" s="1462"/>
      <c r="C2" s="1462"/>
      <c r="D2" s="1462"/>
      <c r="E2" s="1462"/>
      <c r="F2" s="1462"/>
      <c r="G2" s="1462"/>
      <c r="H2" s="1462"/>
      <c r="I2" s="1462"/>
      <c r="J2" s="1462"/>
      <c r="K2" s="1462"/>
      <c r="L2" s="1462"/>
      <c r="M2" s="1462"/>
      <c r="N2" s="1462"/>
      <c r="O2" s="1462"/>
      <c r="P2" s="1462"/>
      <c r="Q2" s="1462"/>
      <c r="R2" s="1462"/>
      <c r="S2" s="1462"/>
      <c r="T2" s="1462"/>
      <c r="U2" s="1462"/>
      <c r="V2" s="1462"/>
      <c r="W2" s="1462"/>
      <c r="X2" s="1462"/>
      <c r="Y2" s="1462"/>
      <c r="Z2" s="1462"/>
      <c r="AA2" s="1462"/>
      <c r="AB2" s="1462"/>
      <c r="AC2" s="1462"/>
      <c r="AD2" s="1462"/>
      <c r="AE2" s="1462"/>
      <c r="AF2" s="1462"/>
      <c r="AG2" s="1462"/>
      <c r="AH2" s="1462"/>
      <c r="AI2" s="1462"/>
      <c r="AJ2" s="1462"/>
      <c r="AK2" s="1462"/>
      <c r="AL2" s="1462"/>
      <c r="AM2" s="1462"/>
    </row>
    <row r="3" spans="1:39" outlineLevel="1">
      <c r="A3" s="2018" t="s">
        <v>32</v>
      </c>
      <c r="B3" s="2019"/>
      <c r="C3" s="2020"/>
      <c r="D3" s="1467"/>
      <c r="E3" s="1462"/>
      <c r="F3" s="1462"/>
      <c r="G3" s="1462"/>
      <c r="H3" s="1462"/>
      <c r="I3" s="1462"/>
      <c r="J3" s="1462"/>
      <c r="K3" s="1462"/>
      <c r="L3" s="1462"/>
      <c r="M3" s="1462"/>
      <c r="N3" s="1462"/>
      <c r="O3" s="1462"/>
      <c r="P3" s="1462"/>
      <c r="Q3" s="1462"/>
      <c r="R3" s="1462"/>
      <c r="S3" s="1462"/>
      <c r="T3" s="1462"/>
      <c r="U3" s="1462"/>
      <c r="V3" s="1462"/>
      <c r="W3" s="1462"/>
      <c r="X3" s="1462"/>
      <c r="Y3" s="1462"/>
      <c r="Z3" s="1462"/>
      <c r="AA3" s="1462"/>
      <c r="AB3" s="1462"/>
      <c r="AC3" s="1462"/>
      <c r="AD3" s="1462"/>
      <c r="AE3" s="1462"/>
      <c r="AF3" s="1462"/>
      <c r="AG3" s="1462"/>
      <c r="AH3" s="1462"/>
      <c r="AI3" s="1462"/>
      <c r="AJ3" s="1462"/>
      <c r="AK3" s="1462"/>
      <c r="AL3" s="1462"/>
      <c r="AM3" s="1462"/>
    </row>
    <row r="4" spans="1:39" ht="18.75" outlineLevel="1">
      <c r="A4" s="1465" t="s">
        <v>3514</v>
      </c>
      <c r="B4" s="1463" t="s">
        <v>581</v>
      </c>
      <c r="C4" s="1464" t="s">
        <v>3556</v>
      </c>
      <c r="D4" s="1462"/>
      <c r="E4" s="1462"/>
      <c r="F4" s="1462"/>
      <c r="G4" s="1462"/>
      <c r="H4" s="1462"/>
      <c r="I4" s="1462"/>
      <c r="J4" s="1462"/>
      <c r="K4" s="1462"/>
      <c r="L4" s="1462"/>
      <c r="M4" s="1462"/>
      <c r="N4" s="1462"/>
      <c r="O4" s="1462"/>
      <c r="P4" s="1462"/>
      <c r="Q4" s="1462"/>
      <c r="R4" s="1462"/>
      <c r="S4" s="1462"/>
      <c r="T4" s="1462"/>
      <c r="U4" s="1462"/>
      <c r="V4" s="1462"/>
      <c r="W4" s="1462"/>
      <c r="X4" s="1462"/>
      <c r="Y4" s="1462"/>
      <c r="Z4" s="1462"/>
      <c r="AA4" s="1462"/>
      <c r="AB4" s="1462"/>
      <c r="AC4" s="1462"/>
      <c r="AD4" s="1462"/>
      <c r="AE4" s="1462"/>
      <c r="AF4" s="1462"/>
      <c r="AG4" s="1462"/>
      <c r="AH4" s="1462"/>
      <c r="AI4" s="1462"/>
      <c r="AJ4" s="1462"/>
      <c r="AK4" s="1462"/>
      <c r="AL4" s="1462"/>
      <c r="AM4" s="1462"/>
    </row>
    <row r="5" spans="1:39" ht="14.25" customHeight="1" outlineLevel="1">
      <c r="A5" s="1466" t="s">
        <v>35</v>
      </c>
      <c r="B5" s="1463" t="s">
        <v>3515</v>
      </c>
      <c r="C5" s="2002" t="s">
        <v>3557</v>
      </c>
      <c r="D5" s="1462"/>
      <c r="E5" s="1462"/>
      <c r="F5" s="1462"/>
      <c r="G5" s="1462"/>
      <c r="H5" s="1462"/>
      <c r="I5" s="1462"/>
      <c r="J5" s="1462"/>
      <c r="K5" s="1462"/>
      <c r="L5" s="1462"/>
      <c r="M5" s="1462"/>
      <c r="N5" s="1462"/>
      <c r="O5" s="1462"/>
      <c r="P5" s="1462"/>
      <c r="Q5" s="1462"/>
      <c r="R5" s="1462"/>
      <c r="S5" s="1462"/>
      <c r="T5" s="1462"/>
      <c r="U5" s="1462"/>
      <c r="V5" s="1462"/>
      <c r="W5" s="1462"/>
      <c r="X5" s="1462"/>
      <c r="Y5" s="1462"/>
      <c r="Z5" s="1462"/>
      <c r="AA5" s="1462"/>
      <c r="AB5" s="1462"/>
      <c r="AC5" s="1462"/>
      <c r="AD5" s="1462"/>
      <c r="AE5" s="1462"/>
      <c r="AF5" s="1462"/>
      <c r="AG5" s="1462"/>
      <c r="AH5" s="1462"/>
      <c r="AI5" s="1462"/>
      <c r="AJ5" s="1462"/>
      <c r="AK5" s="1462"/>
      <c r="AL5" s="1462"/>
      <c r="AM5" s="1462"/>
    </row>
    <row r="6" spans="1:39" outlineLevel="1">
      <c r="A6" s="1466" t="s">
        <v>55</v>
      </c>
      <c r="B6" s="1463" t="s">
        <v>3515</v>
      </c>
      <c r="C6" s="2003"/>
      <c r="D6" s="1462"/>
      <c r="E6" s="1462"/>
      <c r="F6" s="1462"/>
      <c r="G6" s="1462"/>
      <c r="H6" s="1462"/>
      <c r="I6" s="1462"/>
      <c r="J6" s="1462"/>
      <c r="K6" s="1462"/>
      <c r="L6" s="1462"/>
      <c r="M6" s="1462"/>
      <c r="N6" s="1462"/>
      <c r="O6" s="1462"/>
      <c r="P6" s="1462"/>
      <c r="Q6" s="1462"/>
      <c r="R6" s="1462"/>
      <c r="S6" s="1462"/>
      <c r="T6" s="1462"/>
      <c r="U6" s="1462"/>
      <c r="V6" s="1462"/>
      <c r="W6" s="1462"/>
      <c r="X6" s="1462"/>
      <c r="Y6" s="1462"/>
      <c r="Z6" s="1462"/>
      <c r="AA6" s="1462"/>
      <c r="AB6" s="1462"/>
      <c r="AC6" s="1462"/>
      <c r="AD6" s="1462"/>
      <c r="AE6" s="1462"/>
      <c r="AF6" s="1462"/>
      <c r="AG6" s="1462"/>
      <c r="AH6" s="1462"/>
      <c r="AI6" s="1462"/>
      <c r="AJ6" s="1462"/>
      <c r="AK6" s="1462"/>
      <c r="AL6" s="1462"/>
      <c r="AM6" s="1462"/>
    </row>
    <row r="7" spans="1:39" outlineLevel="1">
      <c r="A7" s="1466" t="s">
        <v>3558</v>
      </c>
      <c r="B7" s="1464" t="s">
        <v>3517</v>
      </c>
      <c r="C7" s="2003"/>
      <c r="D7" s="1462"/>
      <c r="E7" s="1462"/>
      <c r="F7" s="1462"/>
      <c r="G7" s="1462"/>
      <c r="H7" s="1462"/>
      <c r="I7" s="1462"/>
      <c r="J7" s="1462"/>
      <c r="K7" s="1462"/>
      <c r="L7" s="1462"/>
      <c r="M7" s="1462"/>
      <c r="N7" s="1462"/>
      <c r="O7" s="1462"/>
      <c r="P7" s="1462"/>
      <c r="Q7" s="1462"/>
      <c r="R7" s="1462"/>
      <c r="S7" s="1462"/>
      <c r="T7" s="1462"/>
      <c r="U7" s="1462"/>
      <c r="V7" s="1462"/>
      <c r="W7" s="1462"/>
      <c r="X7" s="1462"/>
      <c r="Y7" s="1462"/>
      <c r="Z7" s="1462"/>
      <c r="AA7" s="1462"/>
      <c r="AB7" s="1462"/>
      <c r="AC7" s="1462"/>
      <c r="AD7" s="1462"/>
      <c r="AE7" s="1462"/>
      <c r="AF7" s="1462"/>
      <c r="AG7" s="1462"/>
      <c r="AH7" s="1462"/>
      <c r="AI7" s="1462"/>
      <c r="AJ7" s="1462"/>
      <c r="AK7" s="1462"/>
      <c r="AL7" s="1462"/>
      <c r="AM7" s="1462"/>
    </row>
    <row r="8" spans="1:39" outlineLevel="1">
      <c r="A8" s="1466" t="s">
        <v>3559</v>
      </c>
      <c r="B8" s="1463" t="s">
        <v>3517</v>
      </c>
      <c r="C8" s="2003"/>
      <c r="D8" s="1462"/>
      <c r="E8" s="1462"/>
      <c r="F8" s="1462"/>
      <c r="G8" s="1462"/>
      <c r="H8" s="1462"/>
      <c r="I8" s="1462"/>
      <c r="J8" s="1462"/>
      <c r="K8" s="1462"/>
      <c r="L8" s="1462"/>
      <c r="M8" s="1462"/>
      <c r="N8" s="1462"/>
      <c r="O8" s="1462"/>
      <c r="P8" s="1462"/>
      <c r="Q8" s="1462"/>
      <c r="R8" s="1462"/>
      <c r="S8" s="1462"/>
      <c r="T8" s="1462"/>
      <c r="U8" s="1462"/>
      <c r="V8" s="1462"/>
      <c r="W8" s="1462"/>
      <c r="X8" s="1462"/>
      <c r="Y8" s="1462"/>
      <c r="Z8" s="1462"/>
      <c r="AA8" s="1462"/>
      <c r="AB8" s="1462"/>
      <c r="AC8" s="1462"/>
      <c r="AD8" s="1462"/>
      <c r="AE8" s="1462"/>
      <c r="AF8" s="1462"/>
      <c r="AG8" s="1462"/>
      <c r="AH8" s="1462"/>
      <c r="AI8" s="1462"/>
      <c r="AJ8" s="1462"/>
      <c r="AK8" s="1462"/>
      <c r="AL8" s="1462"/>
      <c r="AM8" s="1462"/>
    </row>
    <row r="9" spans="1:39" outlineLevel="1">
      <c r="A9" s="1466" t="s">
        <v>3560</v>
      </c>
      <c r="B9" s="1463" t="s">
        <v>3517</v>
      </c>
      <c r="C9" s="2003"/>
      <c r="D9" s="1462"/>
      <c r="E9" s="1462"/>
      <c r="F9" s="1462"/>
      <c r="G9" s="1462"/>
      <c r="H9" s="1462"/>
      <c r="I9" s="1462"/>
      <c r="J9" s="1462"/>
      <c r="K9" s="1462"/>
      <c r="L9" s="1462"/>
      <c r="M9" s="1462"/>
      <c r="N9" s="1462"/>
      <c r="O9" s="1462"/>
      <c r="P9" s="1462"/>
      <c r="Q9" s="1462"/>
      <c r="R9" s="1462"/>
      <c r="S9" s="1462"/>
      <c r="T9" s="1462"/>
      <c r="U9" s="1462"/>
      <c r="V9" s="1462"/>
      <c r="W9" s="1462"/>
      <c r="X9" s="1462"/>
      <c r="Y9" s="1462"/>
      <c r="Z9" s="1462"/>
      <c r="AA9" s="1462"/>
      <c r="AB9" s="1462"/>
      <c r="AC9" s="1462"/>
      <c r="AD9" s="1462"/>
      <c r="AE9" s="1462"/>
      <c r="AF9" s="1462"/>
      <c r="AG9" s="1462"/>
      <c r="AH9" s="1462"/>
      <c r="AI9" s="1462"/>
      <c r="AJ9" s="1462"/>
      <c r="AK9" s="1462"/>
      <c r="AL9" s="1462"/>
      <c r="AM9" s="1462"/>
    </row>
    <row r="10" spans="1:39" outlineLevel="1">
      <c r="A10" s="1466" t="s">
        <v>57</v>
      </c>
      <c r="B10" s="1463" t="s">
        <v>3517</v>
      </c>
      <c r="C10" s="2003"/>
      <c r="D10" s="1462"/>
      <c r="E10" s="1462"/>
      <c r="F10" s="1462"/>
      <c r="G10" s="1462"/>
      <c r="H10" s="1462"/>
      <c r="I10" s="1462"/>
      <c r="J10" s="1462"/>
      <c r="K10" s="1462"/>
      <c r="L10" s="1462"/>
      <c r="M10" s="1462"/>
      <c r="N10" s="1462"/>
      <c r="O10" s="1462"/>
      <c r="P10" s="1462"/>
      <c r="Q10" s="1462"/>
      <c r="R10" s="1462"/>
      <c r="S10" s="1462"/>
      <c r="T10" s="1462"/>
      <c r="U10" s="1462"/>
      <c r="V10" s="1462"/>
      <c r="W10" s="1462"/>
      <c r="X10" s="1462"/>
      <c r="Y10" s="1462"/>
      <c r="Z10" s="1462"/>
      <c r="AA10" s="1462"/>
      <c r="AB10" s="1462"/>
      <c r="AC10" s="1462"/>
      <c r="AD10" s="1462"/>
      <c r="AE10" s="1462"/>
      <c r="AF10" s="1462"/>
      <c r="AG10" s="1462"/>
      <c r="AH10" s="1462"/>
      <c r="AI10" s="1462"/>
      <c r="AJ10" s="1462"/>
      <c r="AK10" s="1462"/>
      <c r="AL10" s="1462"/>
      <c r="AM10" s="1462"/>
    </row>
    <row r="11" spans="1:39" outlineLevel="1">
      <c r="A11" s="1466" t="s">
        <v>58</v>
      </c>
      <c r="B11" s="1463" t="s">
        <v>3515</v>
      </c>
      <c r="C11" s="2003"/>
      <c r="D11" s="1462"/>
      <c r="E11" s="1462"/>
      <c r="F11" s="1462"/>
      <c r="G11" s="1462"/>
      <c r="H11" s="1462"/>
      <c r="I11" s="1462"/>
      <c r="J11" s="1462"/>
      <c r="K11" s="1462"/>
      <c r="L11" s="1462"/>
      <c r="M11" s="1462"/>
      <c r="N11" s="1462"/>
      <c r="O11" s="1462"/>
      <c r="P11" s="1462"/>
      <c r="Q11" s="1462"/>
      <c r="R11" s="1462"/>
      <c r="S11" s="1462"/>
      <c r="T11" s="1462"/>
      <c r="U11" s="1462"/>
      <c r="V11" s="1462"/>
      <c r="W11" s="1462"/>
      <c r="X11" s="1462"/>
      <c r="Y11" s="1462"/>
      <c r="Z11" s="1462"/>
      <c r="AA11" s="1462"/>
      <c r="AB11" s="1462"/>
      <c r="AC11" s="1462"/>
      <c r="AD11" s="1462"/>
      <c r="AE11" s="1462"/>
      <c r="AF11" s="1462"/>
      <c r="AG11" s="1462"/>
      <c r="AH11" s="1462"/>
      <c r="AI11" s="1462"/>
      <c r="AJ11" s="1462"/>
      <c r="AK11" s="1462"/>
      <c r="AL11" s="1462"/>
      <c r="AM11" s="1462"/>
    </row>
    <row r="12" spans="1:39" outlineLevel="1">
      <c r="A12" s="1470" t="s">
        <v>59</v>
      </c>
      <c r="B12" s="1471" t="s">
        <v>3561</v>
      </c>
      <c r="C12" s="2003"/>
      <c r="D12" s="1462"/>
      <c r="E12" s="1462"/>
      <c r="F12" s="1462"/>
      <c r="G12" s="1462"/>
      <c r="H12" s="1462"/>
      <c r="I12" s="1462"/>
      <c r="J12" s="1462"/>
      <c r="K12" s="1462"/>
      <c r="L12" s="1462"/>
      <c r="M12" s="1462"/>
      <c r="N12" s="1462"/>
      <c r="O12" s="1462"/>
      <c r="P12" s="1462"/>
      <c r="Q12" s="1462"/>
      <c r="R12" s="1462"/>
      <c r="S12" s="1462"/>
      <c r="T12" s="1462"/>
      <c r="U12" s="1462"/>
      <c r="V12" s="1462"/>
      <c r="W12" s="1462"/>
      <c r="X12" s="1462"/>
      <c r="Y12" s="1462"/>
      <c r="Z12" s="1462"/>
      <c r="AA12" s="1462"/>
      <c r="AB12" s="1462"/>
      <c r="AC12" s="1462"/>
      <c r="AD12" s="1462"/>
      <c r="AE12" s="1462"/>
      <c r="AF12" s="1462"/>
      <c r="AG12" s="1462"/>
      <c r="AH12" s="1462"/>
      <c r="AI12" s="1462"/>
      <c r="AJ12" s="1462"/>
      <c r="AK12" s="1462"/>
      <c r="AL12" s="1462"/>
      <c r="AM12" s="1462"/>
    </row>
    <row r="13" spans="1:39" outlineLevel="1">
      <c r="A13" s="1470" t="s">
        <v>60</v>
      </c>
      <c r="B13" s="1471" t="s">
        <v>3561</v>
      </c>
      <c r="C13" s="2004"/>
      <c r="D13" s="1462"/>
      <c r="E13" s="1462"/>
      <c r="F13" s="1462"/>
      <c r="G13" s="1462"/>
      <c r="H13" s="1462"/>
      <c r="I13" s="1462"/>
      <c r="J13" s="1462"/>
      <c r="K13" s="1462"/>
      <c r="L13" s="1462"/>
      <c r="M13" s="1462"/>
      <c r="N13" s="1462"/>
      <c r="O13" s="1462"/>
      <c r="P13" s="1462"/>
      <c r="Q13" s="1462"/>
      <c r="R13" s="1462"/>
      <c r="S13" s="1462"/>
      <c r="T13" s="1462"/>
      <c r="U13" s="1462"/>
      <c r="V13" s="1462"/>
      <c r="W13" s="1462"/>
      <c r="X13" s="1462"/>
      <c r="Y13" s="1462"/>
      <c r="Z13" s="1462"/>
      <c r="AA13" s="1462"/>
      <c r="AB13" s="1462"/>
      <c r="AC13" s="1462"/>
      <c r="AD13" s="1462"/>
      <c r="AE13" s="1462"/>
      <c r="AF13" s="1462"/>
      <c r="AG13" s="1462"/>
      <c r="AH13" s="1462"/>
      <c r="AI13" s="1462"/>
      <c r="AJ13" s="1462"/>
      <c r="AK13" s="1462"/>
      <c r="AL13" s="1462"/>
      <c r="AM13" s="1462"/>
    </row>
    <row r="14" spans="1:39">
      <c r="A14" s="1468"/>
      <c r="B14" s="1462"/>
      <c r="C14" s="1462"/>
      <c r="D14" s="1462"/>
      <c r="E14" s="1462"/>
      <c r="F14" s="1462"/>
      <c r="G14" s="1462"/>
      <c r="H14" s="1462"/>
      <c r="I14" s="1462"/>
      <c r="J14" s="1462"/>
      <c r="K14" s="1462"/>
      <c r="L14" s="1462"/>
      <c r="M14" s="1462"/>
      <c r="N14" s="1462"/>
      <c r="O14" s="1462"/>
      <c r="P14" s="1462"/>
      <c r="Q14" s="1462"/>
      <c r="R14" s="1462"/>
      <c r="S14" s="1462"/>
      <c r="T14" s="1462"/>
      <c r="U14" s="1462"/>
      <c r="V14" s="1462"/>
      <c r="W14" s="1462"/>
      <c r="X14" s="1462"/>
      <c r="Y14" s="1462"/>
      <c r="Z14" s="1462"/>
      <c r="AA14" s="1462"/>
      <c r="AB14" s="1462"/>
      <c r="AC14" s="1462"/>
      <c r="AD14" s="1462"/>
      <c r="AE14" s="1462"/>
      <c r="AF14" s="1462"/>
      <c r="AG14" s="1462"/>
      <c r="AH14" s="1462"/>
      <c r="AI14" s="1462"/>
      <c r="AJ14" s="1462"/>
      <c r="AK14" s="1462"/>
      <c r="AL14" s="1462"/>
      <c r="AM14" s="1462"/>
    </row>
    <row r="15" spans="1:39">
      <c r="A15" s="1473" t="s">
        <v>3562</v>
      </c>
      <c r="B15" s="1473"/>
      <c r="C15" s="1473"/>
      <c r="D15" s="2040"/>
      <c r="E15" s="2040"/>
      <c r="F15" s="2040"/>
      <c r="G15" s="2040"/>
      <c r="H15" s="2040"/>
      <c r="I15" s="2040"/>
      <c r="J15" s="2040"/>
      <c r="K15" s="2040"/>
      <c r="L15" s="2040"/>
      <c r="M15" s="2040"/>
      <c r="N15" s="2040"/>
      <c r="O15" s="2040"/>
      <c r="P15" s="2040"/>
      <c r="Q15" s="2040"/>
      <c r="R15" s="2040"/>
      <c r="S15" s="1468" t="s">
        <v>3563</v>
      </c>
      <c r="T15" s="1462"/>
      <c r="U15" s="1462"/>
      <c r="V15" s="1462"/>
      <c r="W15" s="1462"/>
      <c r="X15" s="1462"/>
      <c r="Y15" s="1462"/>
      <c r="Z15" s="1462"/>
      <c r="AA15" s="1462"/>
      <c r="AB15" s="1462"/>
      <c r="AC15" s="1462"/>
      <c r="AD15" s="1462"/>
      <c r="AE15" s="1462"/>
      <c r="AF15" s="1462"/>
      <c r="AG15" s="1462"/>
      <c r="AH15" s="1462"/>
      <c r="AI15" s="1462"/>
      <c r="AJ15" s="1462"/>
      <c r="AK15" s="1462"/>
      <c r="AL15" s="1462"/>
      <c r="AM15" s="1462"/>
    </row>
    <row r="16" spans="1:39">
      <c r="A16" s="1473" t="s">
        <v>3525</v>
      </c>
      <c r="B16" s="1473"/>
      <c r="C16" s="1473"/>
      <c r="D16" s="1500"/>
      <c r="E16" s="1500"/>
      <c r="F16" s="1500"/>
      <c r="G16" s="1500"/>
      <c r="H16" s="1500"/>
      <c r="I16" s="1500"/>
      <c r="J16" s="1500"/>
      <c r="K16" s="1500"/>
      <c r="L16" s="1500"/>
      <c r="M16" s="1500"/>
      <c r="N16" s="1500"/>
      <c r="O16" s="1500"/>
      <c r="P16" s="1500"/>
      <c r="Q16" s="1500"/>
      <c r="R16" s="1500"/>
      <c r="S16" s="1468"/>
      <c r="T16" s="1462"/>
      <c r="U16" s="1462"/>
      <c r="V16" s="1462"/>
      <c r="W16" s="1462"/>
      <c r="X16" s="1468" t="s">
        <v>3526</v>
      </c>
      <c r="Y16" s="1462"/>
      <c r="Z16" s="1462"/>
      <c r="AA16" s="1462"/>
      <c r="AB16" s="1462"/>
      <c r="AC16" s="1462"/>
      <c r="AD16" s="1462"/>
      <c r="AE16" s="1462"/>
      <c r="AF16" s="1462"/>
      <c r="AG16" s="1462"/>
      <c r="AH16" s="1462"/>
      <c r="AI16" s="1462"/>
      <c r="AJ16" s="1462"/>
      <c r="AK16" s="1462"/>
      <c r="AL16" s="1462"/>
      <c r="AM16" s="1468" t="s">
        <v>3527</v>
      </c>
    </row>
    <row r="17" spans="1:56" ht="30.75" customHeight="1" outlineLevel="1">
      <c r="A17" s="1506" t="s">
        <v>3564</v>
      </c>
      <c r="B17" s="1506" t="s">
        <v>604</v>
      </c>
      <c r="C17" s="1506" t="s">
        <v>3565</v>
      </c>
      <c r="D17" s="1976" t="s">
        <v>3566</v>
      </c>
      <c r="E17" s="1976"/>
      <c r="F17" s="1976"/>
      <c r="G17" s="1976"/>
      <c r="H17" s="1984" t="s">
        <v>3567</v>
      </c>
      <c r="I17" s="1985"/>
      <c r="J17" s="1986"/>
      <c r="K17" s="1984" t="s">
        <v>549</v>
      </c>
      <c r="L17" s="1985"/>
      <c r="M17" s="1985"/>
      <c r="N17" s="1986"/>
      <c r="O17" s="2011" t="s">
        <v>3568</v>
      </c>
      <c r="P17" s="2012"/>
      <c r="Q17" s="2012"/>
      <c r="R17" s="2013"/>
      <c r="S17" s="1508" t="s">
        <v>3569</v>
      </c>
      <c r="T17" s="1508" t="s">
        <v>3569</v>
      </c>
      <c r="U17" s="1508" t="s">
        <v>3570</v>
      </c>
      <c r="V17" s="1462"/>
      <c r="W17" s="1462"/>
      <c r="X17" s="1506" t="s">
        <v>3564</v>
      </c>
      <c r="Y17" s="1506" t="s">
        <v>604</v>
      </c>
      <c r="Z17" s="1506" t="s">
        <v>3565</v>
      </c>
      <c r="AA17" s="1976" t="s">
        <v>3566</v>
      </c>
      <c r="AB17" s="1976"/>
      <c r="AC17" s="1976"/>
      <c r="AD17" s="1976"/>
      <c r="AE17" s="1984" t="s">
        <v>3567</v>
      </c>
      <c r="AF17" s="1985"/>
      <c r="AG17" s="1986"/>
      <c r="AH17" s="1984" t="s">
        <v>549</v>
      </c>
      <c r="AI17" s="1985"/>
      <c r="AJ17" s="1985"/>
      <c r="AK17" s="1986"/>
      <c r="AL17" s="1462"/>
      <c r="AM17" s="1506" t="s">
        <v>3564</v>
      </c>
      <c r="AN17" s="1506" t="s">
        <v>604</v>
      </c>
      <c r="AO17" s="1506" t="s">
        <v>3565</v>
      </c>
      <c r="AP17" s="1976" t="s">
        <v>3566</v>
      </c>
      <c r="AQ17" s="1976"/>
      <c r="AR17" s="1976"/>
      <c r="AS17" s="1976"/>
      <c r="AT17" s="1984" t="s">
        <v>3567</v>
      </c>
      <c r="AU17" s="1985"/>
      <c r="AV17" s="1986"/>
      <c r="AW17" s="1984" t="s">
        <v>549</v>
      </c>
      <c r="AX17" s="1985"/>
      <c r="AY17" s="1985"/>
      <c r="AZ17" s="1986"/>
      <c r="BA17" s="2011" t="s">
        <v>3568</v>
      </c>
      <c r="BB17" s="2012"/>
      <c r="BC17" s="2012"/>
      <c r="BD17" s="2013"/>
    </row>
    <row r="18" spans="1:56" ht="15" customHeight="1" outlineLevel="1">
      <c r="A18" s="2056" t="s">
        <v>3571</v>
      </c>
      <c r="B18" s="2067" t="s">
        <v>3572</v>
      </c>
      <c r="C18" s="2041">
        <v>20</v>
      </c>
      <c r="D18" s="1475" t="s">
        <v>3573</v>
      </c>
      <c r="E18" s="1476" t="s">
        <v>61</v>
      </c>
      <c r="F18" s="1476"/>
      <c r="G18" s="1477"/>
      <c r="H18" s="1478" t="s">
        <v>3574</v>
      </c>
      <c r="I18" s="1479" t="s">
        <v>61</v>
      </c>
      <c r="J18" s="1480"/>
      <c r="K18" s="1981">
        <v>0</v>
      </c>
      <c r="L18" s="1982"/>
      <c r="M18" s="1982"/>
      <c r="N18" s="1983"/>
      <c r="O18" s="2044" t="e">
        <v>#REF!</v>
      </c>
      <c r="P18" s="2045"/>
      <c r="Q18" s="2045"/>
      <c r="R18" s="2046"/>
      <c r="S18" s="1512"/>
      <c r="T18" s="1513"/>
      <c r="U18" s="1514"/>
      <c r="V18" s="1462"/>
      <c r="W18" s="1462"/>
      <c r="X18" s="2005" t="s">
        <v>3571</v>
      </c>
      <c r="Y18" s="2008" t="s">
        <v>3572</v>
      </c>
      <c r="Z18" s="2017">
        <v>20</v>
      </c>
      <c r="AA18" s="1461" t="s">
        <v>3573</v>
      </c>
      <c r="AB18" s="1460" t="s">
        <v>61</v>
      </c>
      <c r="AC18" s="1460"/>
      <c r="AD18" s="1459"/>
      <c r="AE18" s="1461" t="s">
        <v>3574</v>
      </c>
      <c r="AF18" s="1460" t="s">
        <v>61</v>
      </c>
      <c r="AG18" s="1459"/>
      <c r="AH18" s="1987">
        <v>0</v>
      </c>
      <c r="AI18" s="1988"/>
      <c r="AJ18" s="1988"/>
      <c r="AK18" s="1989"/>
      <c r="AL18" s="1462"/>
      <c r="AM18" s="2005" t="s">
        <v>3571</v>
      </c>
      <c r="AN18" s="2008" t="s">
        <v>3572</v>
      </c>
      <c r="AO18" s="2017">
        <v>20</v>
      </c>
      <c r="AP18" s="1461" t="s">
        <v>3573</v>
      </c>
      <c r="AQ18" s="1460" t="s">
        <v>61</v>
      </c>
      <c r="AR18" s="1460"/>
      <c r="AS18" s="1459"/>
      <c r="AT18" s="1461" t="s">
        <v>3574</v>
      </c>
      <c r="AU18" s="1460" t="s">
        <v>61</v>
      </c>
      <c r="AV18" s="1459"/>
      <c r="AW18" s="1987">
        <v>0</v>
      </c>
      <c r="AX18" s="1988"/>
      <c r="AY18" s="1988"/>
      <c r="AZ18" s="1989"/>
      <c r="BA18" s="2014" t="e">
        <v>#REF!</v>
      </c>
      <c r="BB18" s="2015"/>
      <c r="BC18" s="2015"/>
      <c r="BD18" s="2016"/>
    </row>
    <row r="19" spans="1:56" ht="15" outlineLevel="1">
      <c r="A19" s="2057"/>
      <c r="B19" s="2068"/>
      <c r="C19" s="1978"/>
      <c r="D19" s="1475" t="s">
        <v>3575</v>
      </c>
      <c r="E19" s="1476" t="s">
        <v>61</v>
      </c>
      <c r="F19" s="1476"/>
      <c r="G19" s="1477"/>
      <c r="H19" s="1478" t="s">
        <v>3576</v>
      </c>
      <c r="I19" s="1479" t="s">
        <v>61</v>
      </c>
      <c r="J19" s="1480"/>
      <c r="K19" s="1981">
        <v>0</v>
      </c>
      <c r="L19" s="1982"/>
      <c r="M19" s="1982"/>
      <c r="N19" s="1983"/>
      <c r="O19" s="2047" t="e">
        <v>#REF!</v>
      </c>
      <c r="P19" s="2048"/>
      <c r="Q19" s="2048"/>
      <c r="R19" s="2049"/>
      <c r="S19" s="1972" t="e">
        <v>#REF!</v>
      </c>
      <c r="T19" s="1972" t="e">
        <v>#REF!</v>
      </c>
      <c r="U19" s="1972" t="e">
        <v>#REF!</v>
      </c>
      <c r="V19" s="1462"/>
      <c r="W19" s="1462"/>
      <c r="X19" s="2006"/>
      <c r="Y19" s="2009"/>
      <c r="Z19" s="1990"/>
      <c r="AA19" s="1461" t="s">
        <v>3575</v>
      </c>
      <c r="AB19" s="1460" t="s">
        <v>61</v>
      </c>
      <c r="AC19" s="1460"/>
      <c r="AD19" s="1459"/>
      <c r="AE19" s="1461" t="s">
        <v>3576</v>
      </c>
      <c r="AF19" s="1460" t="s">
        <v>61</v>
      </c>
      <c r="AG19" s="1459"/>
      <c r="AH19" s="1987">
        <v>0</v>
      </c>
      <c r="AI19" s="1988"/>
      <c r="AJ19" s="1988"/>
      <c r="AK19" s="1989"/>
      <c r="AL19" s="1462"/>
      <c r="AM19" s="2006"/>
      <c r="AN19" s="2009"/>
      <c r="AO19" s="1990"/>
      <c r="AP19" s="1461" t="s">
        <v>3575</v>
      </c>
      <c r="AQ19" s="1460" t="s">
        <v>61</v>
      </c>
      <c r="AR19" s="1460"/>
      <c r="AS19" s="1459"/>
      <c r="AT19" s="1461" t="s">
        <v>3576</v>
      </c>
      <c r="AU19" s="1460" t="s">
        <v>61</v>
      </c>
      <c r="AV19" s="1459"/>
      <c r="AW19" s="1987">
        <v>0</v>
      </c>
      <c r="AX19" s="1988"/>
      <c r="AY19" s="1988"/>
      <c r="AZ19" s="1989"/>
      <c r="BA19" s="1992">
        <v>0</v>
      </c>
      <c r="BB19" s="1993"/>
      <c r="BC19" s="1993"/>
      <c r="BD19" s="1994"/>
    </row>
    <row r="20" spans="1:56" ht="15" outlineLevel="1">
      <c r="A20" s="2057"/>
      <c r="B20" s="2068"/>
      <c r="C20" s="2041">
        <v>10</v>
      </c>
      <c r="D20" s="1475" t="s">
        <v>3577</v>
      </c>
      <c r="E20" s="1476" t="s">
        <v>61</v>
      </c>
      <c r="F20" s="1476"/>
      <c r="G20" s="1477"/>
      <c r="H20" s="1478" t="s">
        <v>3578</v>
      </c>
      <c r="I20" s="1479" t="s">
        <v>61</v>
      </c>
      <c r="J20" s="1480"/>
      <c r="K20" s="1981">
        <v>0</v>
      </c>
      <c r="L20" s="1982"/>
      <c r="M20" s="1982"/>
      <c r="N20" s="1983"/>
      <c r="O20" s="2050"/>
      <c r="P20" s="2051"/>
      <c r="Q20" s="2051"/>
      <c r="R20" s="2052"/>
      <c r="S20" s="1973"/>
      <c r="T20" s="1973"/>
      <c r="U20" s="1973"/>
      <c r="V20" s="1462"/>
      <c r="W20" s="1462"/>
      <c r="X20" s="2006"/>
      <c r="Y20" s="2009"/>
      <c r="Z20" s="2017">
        <v>10</v>
      </c>
      <c r="AA20" s="1461" t="s">
        <v>3577</v>
      </c>
      <c r="AB20" s="1460" t="s">
        <v>61</v>
      </c>
      <c r="AC20" s="1460"/>
      <c r="AD20" s="1459"/>
      <c r="AE20" s="1461" t="s">
        <v>3578</v>
      </c>
      <c r="AF20" s="1460" t="s">
        <v>61</v>
      </c>
      <c r="AG20" s="1459"/>
      <c r="AH20" s="1987">
        <v>0</v>
      </c>
      <c r="AI20" s="1988"/>
      <c r="AJ20" s="1988"/>
      <c r="AK20" s="1989"/>
      <c r="AL20" s="1462"/>
      <c r="AM20" s="2006"/>
      <c r="AN20" s="2009"/>
      <c r="AO20" s="2017">
        <v>10</v>
      </c>
      <c r="AP20" s="1461" t="s">
        <v>3577</v>
      </c>
      <c r="AQ20" s="1460" t="s">
        <v>61</v>
      </c>
      <c r="AR20" s="1460"/>
      <c r="AS20" s="1459"/>
      <c r="AT20" s="1461" t="s">
        <v>3578</v>
      </c>
      <c r="AU20" s="1460" t="s">
        <v>61</v>
      </c>
      <c r="AV20" s="1459"/>
      <c r="AW20" s="1987">
        <v>0</v>
      </c>
      <c r="AX20" s="1988"/>
      <c r="AY20" s="1988"/>
      <c r="AZ20" s="1989"/>
      <c r="BA20" s="1995"/>
      <c r="BB20" s="1996"/>
      <c r="BC20" s="1996"/>
      <c r="BD20" s="1997"/>
    </row>
    <row r="21" spans="1:56" ht="15" outlineLevel="1">
      <c r="A21" s="2057"/>
      <c r="B21" s="2068"/>
      <c r="C21" s="1978"/>
      <c r="D21" s="1475" t="s">
        <v>3579</v>
      </c>
      <c r="E21" s="1476" t="s">
        <v>61</v>
      </c>
      <c r="F21" s="1476"/>
      <c r="G21" s="1477"/>
      <c r="H21" s="1478" t="s">
        <v>3580</v>
      </c>
      <c r="I21" s="1479" t="s">
        <v>61</v>
      </c>
      <c r="J21" s="1480"/>
      <c r="K21" s="1981">
        <v>-1.9999999999999575E-3</v>
      </c>
      <c r="L21" s="1982"/>
      <c r="M21" s="1982"/>
      <c r="N21" s="1983"/>
      <c r="O21" s="2050"/>
      <c r="P21" s="2051"/>
      <c r="Q21" s="2051"/>
      <c r="R21" s="2052"/>
      <c r="S21" s="1973"/>
      <c r="T21" s="1973"/>
      <c r="U21" s="1973"/>
      <c r="V21" s="1462"/>
      <c r="W21" s="1462"/>
      <c r="X21" s="2006"/>
      <c r="Y21" s="2009"/>
      <c r="Z21" s="1990"/>
      <c r="AA21" s="1461" t="s">
        <v>3579</v>
      </c>
      <c r="AB21" s="1460" t="s">
        <v>61</v>
      </c>
      <c r="AC21" s="1460"/>
      <c r="AD21" s="1459"/>
      <c r="AE21" s="1461" t="s">
        <v>3580</v>
      </c>
      <c r="AF21" s="1460" t="s">
        <v>61</v>
      </c>
      <c r="AG21" s="1459"/>
      <c r="AH21" s="1987">
        <v>-1.9999999999999575E-3</v>
      </c>
      <c r="AI21" s="1988"/>
      <c r="AJ21" s="1988"/>
      <c r="AK21" s="1989"/>
      <c r="AL21" s="1462"/>
      <c r="AM21" s="2006"/>
      <c r="AN21" s="2009"/>
      <c r="AO21" s="1990"/>
      <c r="AP21" s="1461" t="s">
        <v>3579</v>
      </c>
      <c r="AQ21" s="1460" t="s">
        <v>61</v>
      </c>
      <c r="AR21" s="1460"/>
      <c r="AS21" s="1459"/>
      <c r="AT21" s="1461" t="s">
        <v>3580</v>
      </c>
      <c r="AU21" s="1460" t="s">
        <v>61</v>
      </c>
      <c r="AV21" s="1459"/>
      <c r="AW21" s="1987">
        <v>-1.9999999999999575E-3</v>
      </c>
      <c r="AX21" s="1988"/>
      <c r="AY21" s="1988"/>
      <c r="AZ21" s="1989"/>
      <c r="BA21" s="1995"/>
      <c r="BB21" s="1996"/>
      <c r="BC21" s="1996"/>
      <c r="BD21" s="1997"/>
    </row>
    <row r="22" spans="1:56" ht="15" outlineLevel="1">
      <c r="A22" s="2057"/>
      <c r="B22" s="2068"/>
      <c r="C22" s="1978"/>
      <c r="D22" s="1475" t="s">
        <v>3581</v>
      </c>
      <c r="E22" s="1476" t="s">
        <v>61</v>
      </c>
      <c r="F22" s="1476"/>
      <c r="G22" s="1477"/>
      <c r="H22" s="1478" t="s">
        <v>3582</v>
      </c>
      <c r="I22" s="1479" t="s">
        <v>61</v>
      </c>
      <c r="J22" s="1480"/>
      <c r="K22" s="1981">
        <v>0</v>
      </c>
      <c r="L22" s="1982"/>
      <c r="M22" s="1982"/>
      <c r="N22" s="1983"/>
      <c r="O22" s="2050"/>
      <c r="P22" s="2051"/>
      <c r="Q22" s="2051"/>
      <c r="R22" s="2052"/>
      <c r="S22" s="1973"/>
      <c r="T22" s="1973"/>
      <c r="U22" s="1973"/>
      <c r="V22" s="1462"/>
      <c r="W22" s="1462"/>
      <c r="X22" s="2006"/>
      <c r="Y22" s="2009"/>
      <c r="Z22" s="1990"/>
      <c r="AA22" s="1461" t="s">
        <v>3581</v>
      </c>
      <c r="AB22" s="1460" t="s">
        <v>61</v>
      </c>
      <c r="AC22" s="1460"/>
      <c r="AD22" s="1459"/>
      <c r="AE22" s="1461" t="s">
        <v>3582</v>
      </c>
      <c r="AF22" s="1460" t="s">
        <v>61</v>
      </c>
      <c r="AG22" s="1459"/>
      <c r="AH22" s="1987">
        <v>0</v>
      </c>
      <c r="AI22" s="1988"/>
      <c r="AJ22" s="1988"/>
      <c r="AK22" s="1989"/>
      <c r="AL22" s="1462"/>
      <c r="AM22" s="2006"/>
      <c r="AN22" s="2009"/>
      <c r="AO22" s="1990"/>
      <c r="AP22" s="1461" t="s">
        <v>3581</v>
      </c>
      <c r="AQ22" s="1460" t="s">
        <v>61</v>
      </c>
      <c r="AR22" s="1460"/>
      <c r="AS22" s="1459"/>
      <c r="AT22" s="1461" t="s">
        <v>3582</v>
      </c>
      <c r="AU22" s="1460" t="s">
        <v>61</v>
      </c>
      <c r="AV22" s="1459"/>
      <c r="AW22" s="1987">
        <v>0</v>
      </c>
      <c r="AX22" s="1988"/>
      <c r="AY22" s="1988"/>
      <c r="AZ22" s="1989"/>
      <c r="BA22" s="1995"/>
      <c r="BB22" s="1996"/>
      <c r="BC22" s="1996"/>
      <c r="BD22" s="1997"/>
    </row>
    <row r="23" spans="1:56" ht="15" outlineLevel="1">
      <c r="A23" s="2057"/>
      <c r="B23" s="2068"/>
      <c r="C23" s="1978"/>
      <c r="D23" s="1475" t="s">
        <v>3583</v>
      </c>
      <c r="E23" s="1476" t="s">
        <v>61</v>
      </c>
      <c r="F23" s="1476"/>
      <c r="G23" s="1477"/>
      <c r="H23" s="1478" t="s">
        <v>3584</v>
      </c>
      <c r="I23" s="1479" t="s">
        <v>61</v>
      </c>
      <c r="J23" s="1480"/>
      <c r="K23" s="1981">
        <v>-5.0000000000000712E-3</v>
      </c>
      <c r="L23" s="1982"/>
      <c r="M23" s="1982"/>
      <c r="N23" s="1983"/>
      <c r="O23" s="2053"/>
      <c r="P23" s="2054"/>
      <c r="Q23" s="2054"/>
      <c r="R23" s="2055"/>
      <c r="S23" s="1974"/>
      <c r="T23" s="1974"/>
      <c r="U23" s="1974"/>
      <c r="V23" s="1462"/>
      <c r="W23" s="1462"/>
      <c r="X23" s="2006"/>
      <c r="Y23" s="2009"/>
      <c r="Z23" s="1990"/>
      <c r="AA23" s="1461" t="s">
        <v>3583</v>
      </c>
      <c r="AB23" s="1460" t="s">
        <v>61</v>
      </c>
      <c r="AC23" s="1460"/>
      <c r="AD23" s="1459"/>
      <c r="AE23" s="1461" t="s">
        <v>3584</v>
      </c>
      <c r="AF23" s="1460" t="s">
        <v>61</v>
      </c>
      <c r="AG23" s="1459"/>
      <c r="AH23" s="1987">
        <v>-5.0000000000000712E-3</v>
      </c>
      <c r="AI23" s="1988"/>
      <c r="AJ23" s="1988"/>
      <c r="AK23" s="1989"/>
      <c r="AL23" s="1462"/>
      <c r="AM23" s="2006"/>
      <c r="AN23" s="2009"/>
      <c r="AO23" s="1990"/>
      <c r="AP23" s="1461" t="s">
        <v>3583</v>
      </c>
      <c r="AQ23" s="1460" t="s">
        <v>61</v>
      </c>
      <c r="AR23" s="1460"/>
      <c r="AS23" s="1459"/>
      <c r="AT23" s="1461" t="s">
        <v>3584</v>
      </c>
      <c r="AU23" s="1460" t="s">
        <v>61</v>
      </c>
      <c r="AV23" s="1459"/>
      <c r="AW23" s="1987">
        <v>-5.0000000000000712E-3</v>
      </c>
      <c r="AX23" s="1988"/>
      <c r="AY23" s="1988"/>
      <c r="AZ23" s="1989"/>
      <c r="BA23" s="1998"/>
      <c r="BB23" s="1999"/>
      <c r="BC23" s="1999"/>
      <c r="BD23" s="2000"/>
    </row>
    <row r="24" spans="1:56" ht="15" outlineLevel="1">
      <c r="A24" s="2057"/>
      <c r="B24" s="2068"/>
      <c r="C24" s="1978"/>
      <c r="D24" s="1475" t="s">
        <v>3585</v>
      </c>
      <c r="E24" s="1476" t="s">
        <v>61</v>
      </c>
      <c r="F24" s="1476"/>
      <c r="G24" s="1477"/>
      <c r="H24" s="1478" t="s">
        <v>3586</v>
      </c>
      <c r="I24" s="1479" t="s">
        <v>61</v>
      </c>
      <c r="J24" s="1480"/>
      <c r="K24" s="1981">
        <v>-0.02</v>
      </c>
      <c r="L24" s="1982"/>
      <c r="M24" s="1982"/>
      <c r="N24" s="1983"/>
      <c r="O24" s="2047">
        <v>0.6</v>
      </c>
      <c r="P24" s="2048"/>
      <c r="Q24" s="2048"/>
      <c r="R24" s="2049"/>
      <c r="S24" s="1972">
        <v>1.667</v>
      </c>
      <c r="T24" s="1972">
        <v>0.3</v>
      </c>
      <c r="U24" s="1972">
        <v>0</v>
      </c>
      <c r="V24" s="1462"/>
      <c r="W24" s="1462"/>
      <c r="X24" s="2006"/>
      <c r="Y24" s="2009"/>
      <c r="Z24" s="1990"/>
      <c r="AA24" s="1461" t="s">
        <v>3585</v>
      </c>
      <c r="AB24" s="1460" t="s">
        <v>61</v>
      </c>
      <c r="AC24" s="1460"/>
      <c r="AD24" s="1459"/>
      <c r="AE24" s="1461" t="s">
        <v>3586</v>
      </c>
      <c r="AF24" s="1460" t="s">
        <v>61</v>
      </c>
      <c r="AG24" s="1459"/>
      <c r="AH24" s="1987">
        <v>-0.02</v>
      </c>
      <c r="AI24" s="1988"/>
      <c r="AJ24" s="1988"/>
      <c r="AK24" s="1989"/>
      <c r="AL24" s="1462"/>
      <c r="AM24" s="2006"/>
      <c r="AN24" s="2009"/>
      <c r="AO24" s="1990"/>
      <c r="AP24" s="1461" t="s">
        <v>3585</v>
      </c>
      <c r="AQ24" s="1460" t="s">
        <v>61</v>
      </c>
      <c r="AR24" s="1460"/>
      <c r="AS24" s="1459"/>
      <c r="AT24" s="1461" t="s">
        <v>3586</v>
      </c>
      <c r="AU24" s="1460" t="s">
        <v>61</v>
      </c>
      <c r="AV24" s="1459"/>
      <c r="AW24" s="1987">
        <v>-0.02</v>
      </c>
      <c r="AX24" s="1988"/>
      <c r="AY24" s="1988"/>
      <c r="AZ24" s="1989"/>
      <c r="BA24" s="1992">
        <v>0</v>
      </c>
      <c r="BB24" s="1993"/>
      <c r="BC24" s="1993"/>
      <c r="BD24" s="1994"/>
    </row>
    <row r="25" spans="1:56" ht="15" outlineLevel="1">
      <c r="A25" s="2057"/>
      <c r="B25" s="2068"/>
      <c r="C25" s="1979"/>
      <c r="D25" s="1475" t="s">
        <v>3587</v>
      </c>
      <c r="E25" s="1476" t="s">
        <v>61</v>
      </c>
      <c r="F25" s="1476"/>
      <c r="G25" s="1477"/>
      <c r="H25" s="1478" t="s">
        <v>3588</v>
      </c>
      <c r="I25" s="1479" t="s">
        <v>61</v>
      </c>
      <c r="J25" s="1480"/>
      <c r="K25" s="1981">
        <v>-0.02</v>
      </c>
      <c r="L25" s="1982"/>
      <c r="M25" s="1982"/>
      <c r="N25" s="1983"/>
      <c r="O25" s="2050"/>
      <c r="P25" s="2051"/>
      <c r="Q25" s="2051"/>
      <c r="R25" s="2052"/>
      <c r="S25" s="1973"/>
      <c r="T25" s="1973"/>
      <c r="U25" s="1973"/>
      <c r="V25" s="1462"/>
      <c r="W25" s="1462"/>
      <c r="X25" s="2006"/>
      <c r="Y25" s="2009"/>
      <c r="Z25" s="1991"/>
      <c r="AA25" s="1461" t="s">
        <v>3587</v>
      </c>
      <c r="AB25" s="1460" t="s">
        <v>61</v>
      </c>
      <c r="AC25" s="1460"/>
      <c r="AD25" s="1459"/>
      <c r="AE25" s="1461" t="s">
        <v>3588</v>
      </c>
      <c r="AF25" s="1460" t="s">
        <v>61</v>
      </c>
      <c r="AG25" s="1459"/>
      <c r="AH25" s="1987">
        <v>-0.02</v>
      </c>
      <c r="AI25" s="1988"/>
      <c r="AJ25" s="1988"/>
      <c r="AK25" s="1989"/>
      <c r="AL25" s="1462"/>
      <c r="AM25" s="2006"/>
      <c r="AN25" s="2009"/>
      <c r="AO25" s="1991"/>
      <c r="AP25" s="1461" t="s">
        <v>3587</v>
      </c>
      <c r="AQ25" s="1460" t="s">
        <v>61</v>
      </c>
      <c r="AR25" s="1460"/>
      <c r="AS25" s="1459"/>
      <c r="AT25" s="1461" t="s">
        <v>3588</v>
      </c>
      <c r="AU25" s="1460" t="s">
        <v>61</v>
      </c>
      <c r="AV25" s="1459"/>
      <c r="AW25" s="1987">
        <v>-0.02</v>
      </c>
      <c r="AX25" s="1988"/>
      <c r="AY25" s="1988"/>
      <c r="AZ25" s="1989"/>
      <c r="BA25" s="1995"/>
      <c r="BB25" s="1996"/>
      <c r="BC25" s="1996"/>
      <c r="BD25" s="1997"/>
    </row>
    <row r="26" spans="1:56" ht="15" outlineLevel="1">
      <c r="A26" s="2057"/>
      <c r="B26" s="2068"/>
      <c r="C26" s="1474"/>
      <c r="D26" s="1475" t="s">
        <v>3587</v>
      </c>
      <c r="E26" s="1476" t="s">
        <v>61</v>
      </c>
      <c r="F26" s="1476"/>
      <c r="G26" s="1477"/>
      <c r="H26" s="1478" t="s">
        <v>3589</v>
      </c>
      <c r="I26" s="1479" t="s">
        <v>61</v>
      </c>
      <c r="J26" s="1480"/>
      <c r="K26" s="1981">
        <v>-0.08</v>
      </c>
      <c r="L26" s="1982"/>
      <c r="M26" s="1982"/>
      <c r="N26" s="1983"/>
      <c r="O26" s="2053"/>
      <c r="P26" s="2054"/>
      <c r="Q26" s="2054"/>
      <c r="R26" s="2055"/>
      <c r="S26" s="1974"/>
      <c r="T26" s="1974"/>
      <c r="U26" s="1974"/>
      <c r="V26" s="1462"/>
      <c r="W26" s="1462"/>
      <c r="X26" s="2006"/>
      <c r="Y26" s="2009"/>
      <c r="Z26" s="1516"/>
      <c r="AA26" s="1461" t="s">
        <v>3587</v>
      </c>
      <c r="AB26" s="1460" t="s">
        <v>61</v>
      </c>
      <c r="AC26" s="1460"/>
      <c r="AD26" s="1459"/>
      <c r="AE26" s="1461" t="s">
        <v>3589</v>
      </c>
      <c r="AF26" s="1460" t="s">
        <v>61</v>
      </c>
      <c r="AG26" s="1459"/>
      <c r="AH26" s="1987">
        <v>-0.08</v>
      </c>
      <c r="AI26" s="1988"/>
      <c r="AJ26" s="1988"/>
      <c r="AK26" s="1989"/>
      <c r="AL26" s="1462"/>
      <c r="AM26" s="2006"/>
      <c r="AN26" s="2009"/>
      <c r="AO26" s="1516"/>
      <c r="AP26" s="1461" t="s">
        <v>3587</v>
      </c>
      <c r="AQ26" s="1460" t="s">
        <v>61</v>
      </c>
      <c r="AR26" s="1460"/>
      <c r="AS26" s="1459"/>
      <c r="AT26" s="1461" t="s">
        <v>3589</v>
      </c>
      <c r="AU26" s="1460" t="s">
        <v>61</v>
      </c>
      <c r="AV26" s="1459"/>
      <c r="AW26" s="1987">
        <v>-0.08</v>
      </c>
      <c r="AX26" s="1988"/>
      <c r="AY26" s="1988"/>
      <c r="AZ26" s="1989"/>
      <c r="BA26" s="1998"/>
      <c r="BB26" s="1999"/>
      <c r="BC26" s="1999"/>
      <c r="BD26" s="2000"/>
    </row>
    <row r="27" spans="1:56" ht="15" outlineLevel="1">
      <c r="A27" s="2057"/>
      <c r="B27" s="2068"/>
      <c r="C27" s="1474"/>
      <c r="D27" s="1475" t="s">
        <v>3590</v>
      </c>
      <c r="E27" s="1476" t="s">
        <v>61</v>
      </c>
      <c r="F27" s="1476"/>
      <c r="G27" s="1477"/>
      <c r="H27" s="1478" t="s">
        <v>3591</v>
      </c>
      <c r="I27" s="1479" t="s">
        <v>61</v>
      </c>
      <c r="J27" s="1480"/>
      <c r="K27" s="1981">
        <v>-0.02</v>
      </c>
      <c r="L27" s="1982"/>
      <c r="M27" s="1982"/>
      <c r="N27" s="1983"/>
      <c r="O27" s="2077" t="e">
        <v>#VALUE!</v>
      </c>
      <c r="P27" s="2077"/>
      <c r="Q27" s="2077"/>
      <c r="R27" s="2077"/>
      <c r="S27" s="1975" t="s">
        <v>3592</v>
      </c>
      <c r="T27" s="1975" t="s">
        <v>3593</v>
      </c>
      <c r="U27" s="1975" t="s">
        <v>3594</v>
      </c>
      <c r="V27" s="1462"/>
      <c r="W27" s="1462"/>
      <c r="X27" s="2006"/>
      <c r="Y27" s="2009"/>
      <c r="Z27" s="1516"/>
      <c r="AA27" s="1461" t="s">
        <v>3590</v>
      </c>
      <c r="AB27" s="1460" t="s">
        <v>61</v>
      </c>
      <c r="AC27" s="1460"/>
      <c r="AD27" s="1459"/>
      <c r="AE27" s="1461" t="s">
        <v>3591</v>
      </c>
      <c r="AF27" s="1460" t="s">
        <v>61</v>
      </c>
      <c r="AG27" s="1459"/>
      <c r="AH27" s="1987">
        <v>-0.02</v>
      </c>
      <c r="AI27" s="1988"/>
      <c r="AJ27" s="1988"/>
      <c r="AK27" s="1989"/>
      <c r="AL27" s="1462"/>
      <c r="AM27" s="2006"/>
      <c r="AN27" s="2009"/>
      <c r="AO27" s="1516"/>
      <c r="AP27" s="1461" t="s">
        <v>3590</v>
      </c>
      <c r="AQ27" s="1460" t="s">
        <v>61</v>
      </c>
      <c r="AR27" s="1460"/>
      <c r="AS27" s="1459"/>
      <c r="AT27" s="1461" t="s">
        <v>3591</v>
      </c>
      <c r="AU27" s="1460" t="s">
        <v>61</v>
      </c>
      <c r="AV27" s="1459"/>
      <c r="AW27" s="1987">
        <v>-0.02</v>
      </c>
      <c r="AX27" s="1988"/>
      <c r="AY27" s="1988"/>
      <c r="AZ27" s="1989"/>
      <c r="BA27" s="2001">
        <v>0</v>
      </c>
      <c r="BB27" s="2001"/>
      <c r="BC27" s="2001"/>
      <c r="BD27" s="2001"/>
    </row>
    <row r="28" spans="1:56" ht="15" outlineLevel="1">
      <c r="A28" s="2057"/>
      <c r="B28" s="2068"/>
      <c r="C28" s="1978">
        <v>20</v>
      </c>
      <c r="D28" s="1475" t="s">
        <v>3595</v>
      </c>
      <c r="E28" s="1476" t="s">
        <v>61</v>
      </c>
      <c r="F28" s="1476"/>
      <c r="G28" s="1477"/>
      <c r="H28" s="1478" t="s">
        <v>3596</v>
      </c>
      <c r="I28" s="1479" t="s">
        <v>61</v>
      </c>
      <c r="J28" s="1480"/>
      <c r="K28" s="1981">
        <v>-0.05</v>
      </c>
      <c r="L28" s="1982"/>
      <c r="M28" s="1982"/>
      <c r="N28" s="1983"/>
      <c r="O28" s="2077"/>
      <c r="P28" s="2077"/>
      <c r="Q28" s="2077"/>
      <c r="R28" s="2077"/>
      <c r="S28" s="1975"/>
      <c r="T28" s="1975"/>
      <c r="U28" s="1975"/>
      <c r="V28" s="1462"/>
      <c r="W28" s="1462"/>
      <c r="X28" s="2006"/>
      <c r="Y28" s="2009"/>
      <c r="Z28" s="1990">
        <v>20</v>
      </c>
      <c r="AA28" s="1461" t="s">
        <v>3595</v>
      </c>
      <c r="AB28" s="1460" t="s">
        <v>61</v>
      </c>
      <c r="AC28" s="1460"/>
      <c r="AD28" s="1459"/>
      <c r="AE28" s="1461" t="s">
        <v>3596</v>
      </c>
      <c r="AF28" s="1460" t="s">
        <v>61</v>
      </c>
      <c r="AG28" s="1459"/>
      <c r="AH28" s="1987">
        <v>-0.05</v>
      </c>
      <c r="AI28" s="1988"/>
      <c r="AJ28" s="1988"/>
      <c r="AK28" s="1989"/>
      <c r="AL28" s="1462"/>
      <c r="AM28" s="2006"/>
      <c r="AN28" s="2009"/>
      <c r="AO28" s="1990">
        <v>20</v>
      </c>
      <c r="AP28" s="1461" t="s">
        <v>3595</v>
      </c>
      <c r="AQ28" s="1460" t="s">
        <v>61</v>
      </c>
      <c r="AR28" s="1460"/>
      <c r="AS28" s="1459"/>
      <c r="AT28" s="1461" t="s">
        <v>3596</v>
      </c>
      <c r="AU28" s="1460" t="s">
        <v>61</v>
      </c>
      <c r="AV28" s="1459"/>
      <c r="AW28" s="1987">
        <v>-0.05</v>
      </c>
      <c r="AX28" s="1988"/>
      <c r="AY28" s="1988"/>
      <c r="AZ28" s="1989"/>
      <c r="BA28" s="2001"/>
      <c r="BB28" s="2001"/>
      <c r="BC28" s="2001"/>
      <c r="BD28" s="2001"/>
    </row>
    <row r="29" spans="1:56" ht="15" outlineLevel="1">
      <c r="A29" s="2057"/>
      <c r="B29" s="2068"/>
      <c r="C29" s="1978"/>
      <c r="D29" s="1475" t="s">
        <v>3590</v>
      </c>
      <c r="E29" s="1476" t="s">
        <v>61</v>
      </c>
      <c r="F29" s="1476"/>
      <c r="G29" s="1477"/>
      <c r="H29" s="1478" t="s">
        <v>3597</v>
      </c>
      <c r="I29" s="1479" t="s">
        <v>61</v>
      </c>
      <c r="J29" s="1480"/>
      <c r="K29" s="1981">
        <v>-0.14000000000000001</v>
      </c>
      <c r="L29" s="1982"/>
      <c r="M29" s="1982"/>
      <c r="N29" s="1983"/>
      <c r="O29" s="1509"/>
      <c r="P29" s="1510"/>
      <c r="Q29" s="1510"/>
      <c r="R29" s="1511"/>
      <c r="S29" s="1515"/>
      <c r="T29" s="1515"/>
      <c r="U29" s="1515"/>
      <c r="V29" s="1462"/>
      <c r="W29" s="1462"/>
      <c r="X29" s="2006"/>
      <c r="Y29" s="2009"/>
      <c r="Z29" s="1990"/>
      <c r="AA29" s="1461" t="s">
        <v>3590</v>
      </c>
      <c r="AB29" s="1460" t="s">
        <v>61</v>
      </c>
      <c r="AC29" s="1460"/>
      <c r="AD29" s="1459"/>
      <c r="AE29" s="1461" t="s">
        <v>3597</v>
      </c>
      <c r="AF29" s="1460" t="s">
        <v>61</v>
      </c>
      <c r="AG29" s="1459"/>
      <c r="AH29" s="1987">
        <v>-0.14000000000000001</v>
      </c>
      <c r="AI29" s="1988"/>
      <c r="AJ29" s="1988"/>
      <c r="AK29" s="1989"/>
      <c r="AL29" s="1462"/>
      <c r="AM29" s="2006"/>
      <c r="AN29" s="2009"/>
      <c r="AO29" s="1990"/>
      <c r="AP29" s="1461" t="s">
        <v>3590</v>
      </c>
      <c r="AQ29" s="1460" t="s">
        <v>61</v>
      </c>
      <c r="AR29" s="1460"/>
      <c r="AS29" s="1459"/>
      <c r="AT29" s="1461" t="s">
        <v>3597</v>
      </c>
      <c r="AU29" s="1460" t="s">
        <v>61</v>
      </c>
      <c r="AV29" s="1459"/>
      <c r="AW29" s="1987">
        <v>-0.14000000000000001</v>
      </c>
      <c r="AX29" s="1988"/>
      <c r="AY29" s="1988"/>
      <c r="AZ29" s="1989"/>
      <c r="BA29" s="1503"/>
      <c r="BB29" s="1504"/>
      <c r="BC29" s="1504"/>
      <c r="BD29" s="1505"/>
    </row>
    <row r="30" spans="1:56" ht="15" outlineLevel="1">
      <c r="A30" s="2058"/>
      <c r="B30" s="2069"/>
      <c r="C30" s="1979"/>
      <c r="D30" s="1475" t="s">
        <v>3598</v>
      </c>
      <c r="E30" s="1476" t="s">
        <v>61</v>
      </c>
      <c r="F30" s="1476"/>
      <c r="G30" s="1477"/>
      <c r="H30" s="1478" t="s">
        <v>3599</v>
      </c>
      <c r="I30" s="1479" t="s">
        <v>61</v>
      </c>
      <c r="J30" s="1480"/>
      <c r="K30" s="1981">
        <v>-0.19</v>
      </c>
      <c r="L30" s="1982"/>
      <c r="M30" s="1982"/>
      <c r="N30" s="1983"/>
      <c r="O30" s="1509"/>
      <c r="P30" s="1510"/>
      <c r="Q30" s="1510"/>
      <c r="R30" s="1511"/>
      <c r="S30" s="1515"/>
      <c r="T30" s="1515"/>
      <c r="U30" s="1515"/>
      <c r="V30" s="1462"/>
      <c r="W30" s="1462"/>
      <c r="X30" s="2007"/>
      <c r="Y30" s="2010"/>
      <c r="Z30" s="1991"/>
      <c r="AA30" s="1461" t="s">
        <v>3598</v>
      </c>
      <c r="AB30" s="1460" t="s">
        <v>61</v>
      </c>
      <c r="AC30" s="1460"/>
      <c r="AD30" s="1459"/>
      <c r="AE30" s="1461" t="s">
        <v>3599</v>
      </c>
      <c r="AF30" s="1460" t="s">
        <v>61</v>
      </c>
      <c r="AG30" s="1459"/>
      <c r="AH30" s="1987">
        <v>-0.19</v>
      </c>
      <c r="AI30" s="1988"/>
      <c r="AJ30" s="1988"/>
      <c r="AK30" s="1989"/>
      <c r="AL30" s="1462"/>
      <c r="AM30" s="2007"/>
      <c r="AN30" s="2010"/>
      <c r="AO30" s="1991"/>
      <c r="AP30" s="1461" t="s">
        <v>3598</v>
      </c>
      <c r="AQ30" s="1460" t="s">
        <v>61</v>
      </c>
      <c r="AR30" s="1460"/>
      <c r="AS30" s="1459"/>
      <c r="AT30" s="1461" t="s">
        <v>3599</v>
      </c>
      <c r="AU30" s="1460" t="s">
        <v>61</v>
      </c>
      <c r="AV30" s="1459"/>
      <c r="AW30" s="1987">
        <v>-0.19</v>
      </c>
      <c r="AX30" s="1988"/>
      <c r="AY30" s="1988"/>
      <c r="AZ30" s="1989"/>
      <c r="BA30" s="1503"/>
      <c r="BB30" s="1504"/>
      <c r="BC30" s="1504"/>
      <c r="BD30" s="1505"/>
    </row>
    <row r="31" spans="1:56" outlineLevel="1">
      <c r="A31" s="1469"/>
      <c r="B31" s="1462"/>
      <c r="C31" s="1462"/>
      <c r="D31" s="1462"/>
      <c r="E31" s="1462"/>
      <c r="F31" s="1462"/>
      <c r="G31" s="1462"/>
      <c r="H31" s="1462"/>
      <c r="I31" s="1462"/>
      <c r="J31" s="1462"/>
      <c r="K31" s="1462"/>
      <c r="L31" s="1462"/>
      <c r="M31" s="1462"/>
      <c r="N31" s="1462"/>
      <c r="O31" s="1462"/>
      <c r="P31" s="1462"/>
      <c r="Q31" s="1462"/>
      <c r="R31" s="1462"/>
      <c r="S31" s="1462"/>
      <c r="T31" s="1462"/>
      <c r="U31" s="1462"/>
      <c r="V31" s="1462"/>
      <c r="W31" s="1462"/>
      <c r="X31" s="1462"/>
      <c r="Y31" s="1462"/>
      <c r="Z31" s="1462"/>
      <c r="AA31" s="1462"/>
      <c r="AB31" s="1462"/>
      <c r="AC31" s="1462"/>
      <c r="AD31" s="1462"/>
      <c r="AE31" s="1462"/>
      <c r="AF31" s="1462"/>
      <c r="AG31" s="1462"/>
      <c r="AH31" s="1462"/>
      <c r="AI31" s="1462"/>
      <c r="AJ31" s="1462"/>
      <c r="AK31" s="1462"/>
      <c r="AL31" s="1462"/>
      <c r="AM31" s="1462"/>
      <c r="AN31" s="1462"/>
      <c r="AO31" s="1462"/>
      <c r="AP31" s="1462"/>
      <c r="AQ31" s="1462"/>
      <c r="AR31" s="1462"/>
      <c r="AS31" s="1462"/>
      <c r="AT31" s="1462"/>
      <c r="AU31" s="1462"/>
      <c r="AV31" s="1462"/>
      <c r="AW31" s="1462"/>
      <c r="AX31" s="1462"/>
      <c r="AY31" s="1462"/>
      <c r="AZ31" s="1462"/>
      <c r="BA31" s="1462"/>
      <c r="BB31" s="1462"/>
      <c r="BC31" s="1462"/>
      <c r="BD31" s="1462"/>
    </row>
    <row r="32" spans="1:56" outlineLevel="1">
      <c r="A32" s="1481" t="s">
        <v>593</v>
      </c>
      <c r="B32" s="1462"/>
      <c r="C32" s="1462"/>
      <c r="D32" s="1462"/>
      <c r="E32" s="1462"/>
      <c r="F32" s="1462"/>
      <c r="G32" s="1462"/>
      <c r="H32" s="1462"/>
      <c r="I32" s="1462"/>
      <c r="J32" s="1462"/>
      <c r="K32" s="1462"/>
      <c r="L32" s="1462"/>
      <c r="M32" s="1462"/>
      <c r="N32" s="1462"/>
      <c r="O32" s="1462"/>
      <c r="P32" s="1462"/>
      <c r="Q32" s="1462"/>
      <c r="R32" s="1462"/>
      <c r="S32" s="1462"/>
      <c r="T32" s="1462"/>
      <c r="U32" s="1462"/>
      <c r="V32" s="1462"/>
      <c r="W32" s="1462"/>
      <c r="X32" s="1462"/>
      <c r="Y32" s="1462"/>
      <c r="Z32" s="1462"/>
      <c r="AA32" s="1462"/>
      <c r="AB32" s="1462"/>
      <c r="AC32" s="1462"/>
      <c r="AD32" s="1462"/>
      <c r="AE32" s="1462"/>
      <c r="AF32" s="1462"/>
      <c r="AG32" s="1462"/>
      <c r="AH32" s="1462"/>
      <c r="AI32" s="1462"/>
      <c r="AJ32" s="1462"/>
      <c r="AK32" s="1462"/>
      <c r="AL32" s="1462"/>
      <c r="AM32" s="1462"/>
      <c r="AN32" s="1462"/>
      <c r="AO32" s="1462"/>
      <c r="AP32" s="1462"/>
      <c r="AQ32" s="1462"/>
      <c r="AR32" s="1462"/>
      <c r="AS32" s="1462"/>
      <c r="AT32" s="1462"/>
      <c r="AU32" s="1462"/>
      <c r="AV32" s="1462"/>
      <c r="AW32" s="1462"/>
      <c r="AX32" s="1462"/>
      <c r="AY32" s="1462"/>
      <c r="AZ32" s="1462"/>
      <c r="BA32" s="1462"/>
      <c r="BB32" s="1462"/>
      <c r="BC32" s="1462"/>
      <c r="BD32" s="1462"/>
    </row>
    <row r="33" spans="1:65" outlineLevel="1">
      <c r="A33" s="1468"/>
      <c r="B33" s="1468" t="s">
        <v>3600</v>
      </c>
      <c r="C33" s="1462"/>
      <c r="D33" s="1462"/>
      <c r="E33" s="1462"/>
      <c r="F33" s="1462"/>
      <c r="G33" s="1462"/>
      <c r="H33" s="1462"/>
      <c r="I33" s="1462"/>
      <c r="J33" s="1462"/>
      <c r="K33" s="1462"/>
      <c r="L33" s="1462"/>
      <c r="M33" s="1462"/>
      <c r="N33" s="1462"/>
      <c r="O33" s="1462"/>
      <c r="P33" s="1462"/>
      <c r="Q33" s="1462"/>
      <c r="R33" s="1462"/>
      <c r="S33" s="1462"/>
      <c r="T33" s="1462"/>
      <c r="U33" s="1462"/>
      <c r="V33" s="1462"/>
      <c r="W33" s="1462"/>
      <c r="X33" s="1462"/>
      <c r="Y33" s="1462"/>
      <c r="Z33" s="1462"/>
      <c r="AA33" s="1462"/>
      <c r="AB33" s="1462"/>
      <c r="AC33" s="1462"/>
      <c r="AD33" s="1462"/>
      <c r="AE33" s="1462"/>
      <c r="AF33" s="1462"/>
      <c r="AG33" s="1462"/>
      <c r="AH33" s="1462"/>
      <c r="AI33" s="1462"/>
      <c r="AJ33" s="1462"/>
      <c r="AK33" s="1462"/>
      <c r="AL33" s="1462"/>
      <c r="AM33" s="1462"/>
      <c r="AN33" s="1462"/>
      <c r="AO33" s="1462"/>
      <c r="AP33" s="1462"/>
      <c r="AQ33" s="1462"/>
      <c r="AR33" s="1462"/>
      <c r="AS33" s="1462"/>
      <c r="AT33" s="1462"/>
      <c r="AU33" s="1462"/>
      <c r="AV33" s="1462"/>
      <c r="AW33" s="1462"/>
      <c r="AX33" s="1462"/>
      <c r="AY33" s="1462"/>
      <c r="AZ33" s="1462"/>
      <c r="BA33" s="1462"/>
      <c r="BB33" s="1462"/>
      <c r="BC33" s="1462"/>
      <c r="BD33" s="1462"/>
      <c r="BE33" s="1462"/>
      <c r="BF33" s="1462"/>
      <c r="BG33" s="1462"/>
      <c r="BH33" s="1462"/>
      <c r="BI33" s="1462"/>
      <c r="BJ33" s="1462"/>
      <c r="BK33" s="1462"/>
      <c r="BL33" s="1462"/>
      <c r="BM33" s="1462"/>
    </row>
    <row r="34" spans="1:65">
      <c r="A34" s="1469"/>
      <c r="B34" s="1462"/>
      <c r="C34" s="1462"/>
      <c r="D34" s="1462"/>
      <c r="E34" s="1462"/>
      <c r="F34" s="1462"/>
      <c r="G34" s="1462"/>
      <c r="H34" s="1462"/>
      <c r="I34" s="1462"/>
      <c r="J34" s="1462"/>
      <c r="K34" s="1462"/>
      <c r="L34" s="1462"/>
      <c r="M34" s="1462"/>
      <c r="N34" s="1462"/>
      <c r="O34" s="1462"/>
      <c r="P34" s="1462"/>
      <c r="Q34" s="1462"/>
      <c r="R34" s="1462"/>
      <c r="S34" s="1462"/>
      <c r="T34" s="1462"/>
      <c r="U34" s="1462"/>
      <c r="V34" s="1462"/>
      <c r="W34" s="1462"/>
      <c r="X34" s="1462"/>
      <c r="Y34" s="1462"/>
      <c r="Z34" s="1462"/>
      <c r="AA34" s="1462"/>
      <c r="AB34" s="1462"/>
      <c r="AC34" s="1462"/>
      <c r="AD34" s="1462"/>
      <c r="AE34" s="1462"/>
      <c r="AF34" s="1462"/>
      <c r="AG34" s="1462"/>
      <c r="AH34" s="1462"/>
      <c r="AI34" s="1462"/>
      <c r="AJ34" s="1462"/>
      <c r="AK34" s="1462"/>
      <c r="AL34" s="1462"/>
      <c r="AM34" s="1462"/>
      <c r="AN34" s="1462"/>
      <c r="AO34" s="1462"/>
      <c r="AP34" s="1462"/>
      <c r="AQ34" s="1462"/>
      <c r="AR34" s="1462"/>
      <c r="AS34" s="1462"/>
      <c r="AT34" s="1462"/>
      <c r="AU34" s="1462"/>
      <c r="AV34" s="1462"/>
      <c r="AW34" s="1462"/>
      <c r="AX34" s="1462"/>
      <c r="AY34" s="1462"/>
      <c r="AZ34" s="1462"/>
      <c r="BA34" s="1462"/>
      <c r="BB34" s="1462"/>
      <c r="BC34" s="1462"/>
      <c r="BD34" s="1462"/>
      <c r="BE34" s="1462"/>
      <c r="BF34" s="1462"/>
      <c r="BG34" s="1462"/>
      <c r="BH34" s="1462"/>
      <c r="BI34" s="1462"/>
      <c r="BJ34" s="1462"/>
      <c r="BK34" s="1462"/>
      <c r="BL34" s="1462"/>
      <c r="BM34" s="1462"/>
    </row>
    <row r="35" spans="1:65">
      <c r="A35" s="1484"/>
      <c r="B35" s="1484"/>
      <c r="C35" s="1484"/>
      <c r="D35" s="1483"/>
      <c r="E35" s="1483"/>
      <c r="F35" s="1483"/>
      <c r="G35" s="1483"/>
      <c r="H35" s="1483"/>
      <c r="I35" s="1483"/>
      <c r="J35" s="1483"/>
      <c r="K35" s="1483"/>
      <c r="L35" s="1483"/>
      <c r="M35" s="1483"/>
      <c r="N35" s="1483"/>
      <c r="O35" s="1483"/>
      <c r="P35" s="1483"/>
      <c r="Q35" s="1483"/>
      <c r="R35" s="1483"/>
      <c r="S35" s="1462"/>
      <c r="T35" s="1462"/>
      <c r="U35" s="1462"/>
      <c r="V35" s="1462"/>
      <c r="W35" s="1462"/>
      <c r="X35" s="1462"/>
      <c r="Y35" s="1462"/>
      <c r="Z35" s="1462"/>
      <c r="AA35" s="1462"/>
      <c r="AB35" s="1462"/>
      <c r="AC35" s="1462"/>
      <c r="AD35" s="1462"/>
      <c r="AE35" s="1462"/>
      <c r="AF35" s="1462"/>
      <c r="AG35" s="1462"/>
      <c r="AH35" s="1462"/>
      <c r="AI35" s="1462"/>
      <c r="AJ35" s="1462"/>
      <c r="AK35" s="1462"/>
      <c r="AL35" s="1462"/>
      <c r="AM35" s="1462"/>
      <c r="AN35" s="1462"/>
      <c r="AO35" s="1462"/>
      <c r="AP35" s="1462"/>
      <c r="AQ35" s="1462"/>
      <c r="AR35" s="1462"/>
      <c r="AS35" s="1462"/>
      <c r="AT35" s="1462"/>
      <c r="AU35" s="1462"/>
      <c r="AV35" s="1462"/>
      <c r="AW35" s="1462"/>
      <c r="AX35" s="1462"/>
      <c r="AY35" s="1462"/>
      <c r="AZ35" s="1462"/>
      <c r="BA35" s="1462"/>
      <c r="BB35" s="1462"/>
      <c r="BC35" s="1462"/>
      <c r="BD35" s="1462"/>
      <c r="BE35" s="1462"/>
      <c r="BF35" s="1462"/>
      <c r="BG35" s="1462"/>
      <c r="BH35" s="1462"/>
      <c r="BI35" s="1462"/>
      <c r="BJ35" s="1462"/>
      <c r="BK35" s="1462"/>
      <c r="BL35" s="1462"/>
      <c r="BM35" s="1462"/>
    </row>
    <row r="36" spans="1:65">
      <c r="A36" s="1473" t="s">
        <v>3601</v>
      </c>
      <c r="B36" s="1473"/>
      <c r="C36" s="1473"/>
      <c r="D36" s="1980"/>
      <c r="E36" s="1980"/>
      <c r="F36" s="1980"/>
      <c r="G36" s="1980"/>
      <c r="H36" s="1980"/>
      <c r="I36" s="1980"/>
      <c r="J36" s="1980"/>
      <c r="K36" s="1980"/>
      <c r="L36" s="1980"/>
      <c r="M36" s="1980"/>
      <c r="N36" s="1980"/>
      <c r="O36" s="1980"/>
      <c r="P36" s="1980"/>
      <c r="Q36" s="1980"/>
      <c r="R36" s="1980"/>
      <c r="S36" s="1462"/>
      <c r="T36" s="1462"/>
      <c r="U36" s="1462"/>
      <c r="V36" s="1462"/>
      <c r="W36" s="1462"/>
      <c r="X36" s="1462"/>
      <c r="Y36" s="1462"/>
      <c r="Z36" s="1462"/>
      <c r="AA36" s="1462"/>
      <c r="AB36" s="1462"/>
      <c r="AC36" s="1462"/>
      <c r="AD36" s="1462"/>
      <c r="AE36" s="1462"/>
      <c r="AF36" s="1462"/>
      <c r="AG36" s="1462"/>
      <c r="AH36" s="1462"/>
      <c r="AI36" s="1462"/>
      <c r="AJ36" s="1462"/>
      <c r="AK36" s="1462"/>
      <c r="AL36" s="1462"/>
      <c r="AM36" s="1462"/>
      <c r="AN36" s="1462"/>
      <c r="AO36" s="1462"/>
      <c r="AP36" s="1462"/>
      <c r="AQ36" s="1462"/>
      <c r="AR36" s="1462"/>
      <c r="AS36" s="1462"/>
      <c r="AT36" s="1462"/>
      <c r="AU36" s="1462"/>
      <c r="AV36" s="1462"/>
      <c r="AW36" s="1462"/>
      <c r="AX36" s="1462"/>
      <c r="AY36" s="1462"/>
      <c r="AZ36" s="1462"/>
      <c r="BA36" s="1462"/>
      <c r="BB36" s="1462"/>
      <c r="BC36" s="1462"/>
      <c r="BD36" s="1462"/>
      <c r="BE36" s="1462"/>
      <c r="BF36" s="1462"/>
      <c r="BG36" s="1462"/>
      <c r="BH36" s="1462"/>
      <c r="BI36" s="1462"/>
      <c r="BJ36" s="1462"/>
      <c r="BK36" s="1462"/>
      <c r="BL36" s="1462"/>
      <c r="BM36" s="1462"/>
    </row>
    <row r="37" spans="1:65">
      <c r="A37" s="1473" t="s">
        <v>3525</v>
      </c>
      <c r="B37" s="1473"/>
      <c r="C37" s="1473"/>
      <c r="D37" s="1502"/>
      <c r="E37" s="1502"/>
      <c r="F37" s="1502"/>
      <c r="G37" s="1502"/>
      <c r="H37" s="1502"/>
      <c r="I37" s="1502"/>
      <c r="J37" s="1502"/>
      <c r="K37" s="1502"/>
      <c r="L37" s="1502"/>
      <c r="M37" s="1502"/>
      <c r="N37" s="1502"/>
      <c r="O37" s="1502"/>
      <c r="P37" s="1502"/>
      <c r="Q37" s="1502"/>
      <c r="R37" s="1502"/>
      <c r="S37" s="1462"/>
      <c r="T37" s="1462"/>
      <c r="U37" s="1462"/>
      <c r="V37" s="1462"/>
      <c r="W37" s="1462"/>
      <c r="X37" s="1468" t="s">
        <v>3526</v>
      </c>
      <c r="Y37" s="1462"/>
      <c r="Z37" s="1462"/>
      <c r="AA37" s="1462"/>
      <c r="AB37" s="1462"/>
      <c r="AC37" s="1462"/>
      <c r="AD37" s="1462"/>
      <c r="AE37" s="1462"/>
      <c r="AF37" s="1462"/>
      <c r="AG37" s="1462"/>
      <c r="AH37" s="1462"/>
      <c r="AI37" s="1462"/>
      <c r="AJ37" s="1462"/>
      <c r="AK37" s="1462"/>
      <c r="AL37" s="1462"/>
      <c r="AM37" s="1462"/>
      <c r="AN37" s="1462"/>
      <c r="AO37" s="1462"/>
      <c r="AP37" s="1462"/>
      <c r="AQ37" s="1462"/>
      <c r="AR37" s="1468" t="s">
        <v>3527</v>
      </c>
      <c r="AS37" s="1462"/>
      <c r="AT37" s="1462"/>
      <c r="AU37" s="1462"/>
      <c r="AV37" s="1462"/>
      <c r="AW37" s="1462"/>
      <c r="AX37" s="1462"/>
      <c r="AY37" s="1462"/>
      <c r="AZ37" s="1462"/>
      <c r="BA37" s="1462"/>
      <c r="BB37" s="1462"/>
      <c r="BC37" s="1462"/>
      <c r="BD37" s="1462"/>
      <c r="BE37" s="1462"/>
      <c r="BF37" s="1462"/>
      <c r="BG37" s="1462"/>
      <c r="BH37" s="1462"/>
      <c r="BI37" s="1462"/>
      <c r="BJ37" s="1462"/>
      <c r="BK37" s="1462"/>
      <c r="BL37" s="1462"/>
      <c r="BM37" s="1462"/>
    </row>
    <row r="38" spans="1:65" ht="36" outlineLevel="1">
      <c r="A38" s="1984" t="s">
        <v>3602</v>
      </c>
      <c r="B38" s="1986"/>
      <c r="C38" s="1984" t="s">
        <v>3603</v>
      </c>
      <c r="D38" s="1986"/>
      <c r="E38" s="1984" t="s">
        <v>3604</v>
      </c>
      <c r="F38" s="1985"/>
      <c r="G38" s="1984" t="s">
        <v>3605</v>
      </c>
      <c r="H38" s="1985"/>
      <c r="I38" s="1986"/>
      <c r="J38" s="1984" t="s">
        <v>3606</v>
      </c>
      <c r="K38" s="1986"/>
      <c r="L38" s="1984" t="s">
        <v>3604</v>
      </c>
      <c r="M38" s="1985"/>
      <c r="N38" s="1986"/>
      <c r="O38" s="2021" t="s">
        <v>3607</v>
      </c>
      <c r="P38" s="2021"/>
      <c r="Q38" s="2021"/>
      <c r="R38" s="2021"/>
      <c r="S38" s="1518" t="s">
        <v>3608</v>
      </c>
      <c r="T38" s="1508" t="s">
        <v>3569</v>
      </c>
      <c r="U38" s="1508" t="s">
        <v>3569</v>
      </c>
      <c r="V38" s="1508" t="s">
        <v>3570</v>
      </c>
      <c r="W38" s="1462"/>
      <c r="X38" s="1984" t="s">
        <v>3602</v>
      </c>
      <c r="Y38" s="1986"/>
      <c r="Z38" s="1984" t="s">
        <v>3603</v>
      </c>
      <c r="AA38" s="1986"/>
      <c r="AB38" s="1984" t="s">
        <v>3604</v>
      </c>
      <c r="AC38" s="1985"/>
      <c r="AD38" s="1984" t="s">
        <v>3605</v>
      </c>
      <c r="AE38" s="1985"/>
      <c r="AF38" s="1986"/>
      <c r="AG38" s="1984" t="s">
        <v>3606</v>
      </c>
      <c r="AH38" s="1986"/>
      <c r="AI38" s="1984" t="s">
        <v>3604</v>
      </c>
      <c r="AJ38" s="1985"/>
      <c r="AK38" s="1986"/>
      <c r="AL38" s="2021" t="s">
        <v>3607</v>
      </c>
      <c r="AM38" s="2021"/>
      <c r="AN38" s="2021"/>
      <c r="AO38" s="2021"/>
      <c r="AP38" s="1462"/>
      <c r="AQ38" s="1462"/>
      <c r="AR38" s="1984" t="s">
        <v>3602</v>
      </c>
      <c r="AS38" s="1986"/>
      <c r="AT38" s="1984" t="s">
        <v>3603</v>
      </c>
      <c r="AU38" s="1986"/>
      <c r="AV38" s="1984" t="s">
        <v>3604</v>
      </c>
      <c r="AW38" s="1985"/>
      <c r="AX38" s="1984" t="s">
        <v>3605</v>
      </c>
      <c r="AY38" s="1985"/>
      <c r="AZ38" s="1986"/>
      <c r="BA38" s="1984" t="s">
        <v>3606</v>
      </c>
      <c r="BB38" s="1986"/>
      <c r="BC38" s="1984" t="s">
        <v>3604</v>
      </c>
      <c r="BD38" s="1985"/>
      <c r="BE38" s="1986"/>
      <c r="BF38" s="2021" t="s">
        <v>3607</v>
      </c>
      <c r="BG38" s="2021"/>
      <c r="BH38" s="2021"/>
      <c r="BI38" s="2021"/>
      <c r="BJ38" s="1518" t="s">
        <v>3608</v>
      </c>
      <c r="BK38" s="1522"/>
      <c r="BL38" s="1499"/>
      <c r="BM38" s="1499"/>
    </row>
    <row r="39" spans="1:65" ht="15" outlineLevel="1">
      <c r="A39" s="2042">
        <v>1000</v>
      </c>
      <c r="B39" s="2043"/>
      <c r="C39" s="2059">
        <v>1038.2</v>
      </c>
      <c r="D39" s="2060"/>
      <c r="E39" s="2061">
        <v>3.8200000000000047</v>
      </c>
      <c r="F39" s="2062"/>
      <c r="G39" s="2063" t="s">
        <v>3609</v>
      </c>
      <c r="H39" s="2064"/>
      <c r="I39" s="2065"/>
      <c r="J39" s="2059">
        <v>941.2</v>
      </c>
      <c r="K39" s="2060"/>
      <c r="L39" s="2061">
        <v>-5.8799999999999955</v>
      </c>
      <c r="M39" s="2062"/>
      <c r="N39" s="2066"/>
      <c r="O39" s="2078" t="s">
        <v>3610</v>
      </c>
      <c r="P39" s="2079"/>
      <c r="Q39" s="2079"/>
      <c r="R39" s="2079"/>
      <c r="S39" s="1521"/>
      <c r="T39" s="1519"/>
      <c r="U39" s="1520"/>
      <c r="V39" s="1514"/>
      <c r="W39" s="1462"/>
      <c r="X39" s="2022">
        <v>1000</v>
      </c>
      <c r="Y39" s="2023"/>
      <c r="Z39" s="2022">
        <v>1038.2</v>
      </c>
      <c r="AA39" s="2024"/>
      <c r="AB39" s="2025">
        <v>3.8200000000000047</v>
      </c>
      <c r="AC39" s="2026"/>
      <c r="AD39" s="2027" t="s">
        <v>3609</v>
      </c>
      <c r="AE39" s="2028"/>
      <c r="AF39" s="2029"/>
      <c r="AG39" s="2022">
        <v>941.2</v>
      </c>
      <c r="AH39" s="2024"/>
      <c r="AI39" s="2025">
        <v>-5.8799999999999955</v>
      </c>
      <c r="AJ39" s="2026"/>
      <c r="AK39" s="2030"/>
      <c r="AL39" s="2021" t="s">
        <v>3610</v>
      </c>
      <c r="AM39" s="2031"/>
      <c r="AN39" s="2031"/>
      <c r="AO39" s="2031"/>
      <c r="AP39" s="1462"/>
      <c r="AQ39" s="1462"/>
      <c r="AR39" s="2022">
        <v>1000</v>
      </c>
      <c r="AS39" s="2023"/>
      <c r="AT39" s="2022">
        <v>1038.2</v>
      </c>
      <c r="AU39" s="2024"/>
      <c r="AV39" s="2025">
        <v>3.8200000000000047</v>
      </c>
      <c r="AW39" s="2026"/>
      <c r="AX39" s="2027" t="s">
        <v>3609</v>
      </c>
      <c r="AY39" s="2028"/>
      <c r="AZ39" s="2029"/>
      <c r="BA39" s="2022">
        <v>941.2</v>
      </c>
      <c r="BB39" s="2024"/>
      <c r="BC39" s="2025">
        <v>-5.8799999999999955</v>
      </c>
      <c r="BD39" s="2026"/>
      <c r="BE39" s="2030"/>
      <c r="BF39" s="2021" t="s">
        <v>3610</v>
      </c>
      <c r="BG39" s="2031"/>
      <c r="BH39" s="2031"/>
      <c r="BI39" s="2031"/>
      <c r="BJ39" s="1498"/>
      <c r="BK39" s="1523"/>
      <c r="BL39" s="1524"/>
      <c r="BM39" s="1497"/>
    </row>
    <row r="40" spans="1:65" ht="15" outlineLevel="1">
      <c r="A40" s="1485"/>
      <c r="B40" s="1485"/>
      <c r="C40" s="1485"/>
      <c r="D40" s="1485"/>
      <c r="E40" s="1486"/>
      <c r="F40" s="1486"/>
      <c r="G40" s="1486"/>
      <c r="H40" s="1486"/>
      <c r="I40" s="1486"/>
      <c r="J40" s="1486"/>
      <c r="K40" s="1486"/>
      <c r="L40" s="1486"/>
      <c r="M40" s="1486"/>
      <c r="N40" s="1486"/>
      <c r="O40" s="1486"/>
      <c r="P40" s="1486"/>
      <c r="Q40" s="1486"/>
      <c r="R40" s="1486"/>
      <c r="S40" s="1462"/>
      <c r="T40" s="1462"/>
      <c r="U40" s="1462"/>
      <c r="V40" s="1462"/>
      <c r="W40" s="1462"/>
      <c r="X40" s="1462"/>
      <c r="Y40" s="1462"/>
      <c r="Z40" s="1462"/>
      <c r="AA40" s="1462"/>
      <c r="AB40" s="1462"/>
      <c r="AC40" s="1462"/>
      <c r="AD40" s="1462"/>
      <c r="AE40" s="1462"/>
      <c r="AF40" s="1462"/>
      <c r="AG40" s="1462"/>
      <c r="AH40" s="1462"/>
      <c r="AI40" s="1462"/>
      <c r="AJ40" s="1462"/>
      <c r="AK40" s="1462"/>
      <c r="AL40" s="1462"/>
      <c r="AM40" s="1462"/>
      <c r="AN40" s="1462"/>
      <c r="AO40" s="1462"/>
      <c r="AP40" s="1462"/>
      <c r="AQ40" s="1462"/>
      <c r="AR40" s="1462"/>
      <c r="AS40" s="1462"/>
      <c r="AT40" s="1462"/>
      <c r="AU40" s="1462"/>
      <c r="AV40" s="1462"/>
      <c r="AW40" s="1462"/>
      <c r="AX40" s="1462"/>
      <c r="AY40" s="1462"/>
      <c r="AZ40" s="1462"/>
      <c r="BA40" s="1462"/>
      <c r="BB40" s="1462"/>
      <c r="BC40" s="1462"/>
      <c r="BD40" s="1462"/>
      <c r="BE40" s="1462"/>
      <c r="BF40" s="1462"/>
      <c r="BG40" s="1462"/>
      <c r="BH40" s="1462"/>
      <c r="BI40" s="1462"/>
      <c r="BJ40" s="1462"/>
      <c r="BK40" s="1462"/>
      <c r="BL40" s="1462"/>
      <c r="BM40" s="1462"/>
    </row>
    <row r="41" spans="1:65" ht="15" outlineLevel="1">
      <c r="A41" s="1493" t="s">
        <v>593</v>
      </c>
      <c r="B41" s="1485"/>
      <c r="C41" s="1485"/>
      <c r="D41" s="1485"/>
      <c r="E41" s="1486"/>
      <c r="F41" s="1486"/>
      <c r="G41" s="1486"/>
      <c r="H41" s="1486"/>
      <c r="I41" s="1486"/>
      <c r="J41" s="1486"/>
      <c r="K41" s="1486"/>
      <c r="L41" s="1486"/>
      <c r="M41" s="1486"/>
      <c r="N41" s="1486"/>
      <c r="O41" s="1486"/>
      <c r="P41" s="1486"/>
      <c r="Q41" s="1486"/>
      <c r="R41" s="1486"/>
      <c r="S41" s="1462"/>
      <c r="T41" s="1462"/>
      <c r="U41" s="1462"/>
      <c r="V41" s="1462"/>
      <c r="W41" s="1462"/>
      <c r="X41" s="1462"/>
      <c r="Y41" s="1462"/>
      <c r="Z41" s="1462"/>
      <c r="AA41" s="1462"/>
      <c r="AB41" s="1462"/>
      <c r="AC41" s="1462"/>
      <c r="AD41" s="1462"/>
      <c r="AE41" s="1462"/>
      <c r="AF41" s="1462"/>
      <c r="AG41" s="1462"/>
      <c r="AH41" s="1462"/>
      <c r="AI41" s="1462"/>
      <c r="AJ41" s="1462"/>
      <c r="AK41" s="1462"/>
      <c r="AL41" s="1462"/>
      <c r="AM41" s="1462"/>
      <c r="AN41" s="1462"/>
      <c r="AO41" s="1462"/>
      <c r="AP41" s="1462"/>
      <c r="AQ41" s="1462"/>
      <c r="AR41" s="1462"/>
      <c r="AS41" s="1462"/>
      <c r="AT41" s="1462"/>
      <c r="AU41" s="1462"/>
      <c r="AV41" s="1462"/>
      <c r="AW41" s="1462"/>
      <c r="AX41" s="1462"/>
      <c r="AY41" s="1462"/>
      <c r="AZ41" s="1462"/>
      <c r="BA41" s="1462"/>
      <c r="BB41" s="1462"/>
      <c r="BC41" s="1462"/>
      <c r="BD41" s="1462"/>
      <c r="BE41" s="1462"/>
      <c r="BF41" s="1462"/>
      <c r="BG41" s="1462"/>
      <c r="BH41" s="1462"/>
      <c r="BI41" s="1462"/>
      <c r="BJ41" s="1462"/>
      <c r="BK41" s="1462"/>
      <c r="BL41" s="1462"/>
      <c r="BM41" s="1462"/>
    </row>
    <row r="42" spans="1:65" ht="15" outlineLevel="1">
      <c r="A42" s="1493"/>
      <c r="B42" s="1485" t="s">
        <v>3611</v>
      </c>
      <c r="C42" s="1485"/>
      <c r="D42" s="1485"/>
      <c r="E42" s="1486"/>
      <c r="F42" s="1486"/>
      <c r="G42" s="1486"/>
      <c r="H42" s="1486"/>
      <c r="I42" s="1486"/>
      <c r="J42" s="1486"/>
      <c r="K42" s="1486"/>
      <c r="L42" s="1486"/>
      <c r="M42" s="1486"/>
      <c r="N42" s="1486"/>
      <c r="O42" s="1486"/>
      <c r="P42" s="1486"/>
      <c r="Q42" s="1486"/>
      <c r="R42" s="1486"/>
      <c r="S42" s="1462"/>
      <c r="T42" s="1462"/>
      <c r="U42" s="1462"/>
      <c r="V42" s="1462"/>
      <c r="W42" s="1462"/>
      <c r="X42" s="1462"/>
      <c r="Y42" s="1462"/>
      <c r="Z42" s="1462"/>
      <c r="AA42" s="1462"/>
      <c r="AB42" s="1462"/>
      <c r="AC42" s="1462"/>
      <c r="AD42" s="1462"/>
      <c r="AE42" s="1462"/>
      <c r="AF42" s="1462"/>
      <c r="AG42" s="1462"/>
      <c r="AH42" s="1462"/>
      <c r="AI42" s="1462"/>
      <c r="AJ42" s="1462"/>
      <c r="AK42" s="1462"/>
      <c r="AL42" s="1462"/>
      <c r="AM42" s="1462"/>
      <c r="AN42" s="1462"/>
      <c r="AO42" s="1462"/>
      <c r="AP42" s="1462"/>
      <c r="AQ42" s="1462"/>
      <c r="AR42" s="1462"/>
      <c r="AS42" s="1462"/>
      <c r="AT42" s="1462"/>
      <c r="AU42" s="1462"/>
      <c r="AV42" s="1462"/>
      <c r="AW42" s="1462"/>
      <c r="AX42" s="1462"/>
      <c r="AY42" s="1462"/>
      <c r="AZ42" s="1462"/>
      <c r="BA42" s="1462"/>
      <c r="BB42" s="1462"/>
      <c r="BC42" s="1462"/>
      <c r="BD42" s="1462"/>
      <c r="BE42" s="1462"/>
      <c r="BF42" s="1462"/>
      <c r="BG42" s="1462"/>
      <c r="BH42" s="1462"/>
      <c r="BI42" s="1462"/>
      <c r="BJ42" s="1462"/>
      <c r="BK42" s="1462"/>
      <c r="BL42" s="1462"/>
      <c r="BM42" s="1462"/>
    </row>
    <row r="43" spans="1:65" ht="15">
      <c r="A43" s="1485"/>
      <c r="B43" s="1485"/>
      <c r="C43" s="1485"/>
      <c r="D43" s="1485"/>
      <c r="E43" s="1486"/>
      <c r="F43" s="1486"/>
      <c r="G43" s="1486"/>
      <c r="H43" s="1486"/>
      <c r="I43" s="1486"/>
      <c r="J43" s="1487"/>
      <c r="K43" s="1487"/>
      <c r="L43" s="1487"/>
      <c r="M43" s="1487"/>
      <c r="N43" s="1487"/>
      <c r="O43" s="1487"/>
      <c r="P43" s="1488"/>
      <c r="Q43" s="1486"/>
      <c r="R43" s="1486"/>
      <c r="S43" s="1462"/>
      <c r="T43" s="1462"/>
      <c r="U43" s="1462"/>
      <c r="V43" s="1462"/>
      <c r="W43" s="1462"/>
      <c r="X43" s="1462"/>
      <c r="Y43" s="1462"/>
      <c r="Z43" s="1462"/>
      <c r="AA43" s="1462"/>
      <c r="AB43" s="1462"/>
      <c r="AC43" s="1462"/>
      <c r="AD43" s="1462"/>
      <c r="AE43" s="1462"/>
      <c r="AF43" s="1462"/>
      <c r="AG43" s="1462"/>
      <c r="AH43" s="1462"/>
      <c r="AI43" s="1462"/>
      <c r="AJ43" s="1462"/>
      <c r="AK43" s="1462"/>
      <c r="AL43" s="1462"/>
      <c r="AM43" s="1462"/>
      <c r="AN43" s="1462"/>
      <c r="AO43" s="1462"/>
      <c r="AP43" s="1462"/>
      <c r="AQ43" s="1462"/>
      <c r="AR43" s="1462"/>
      <c r="AS43" s="1462"/>
      <c r="AT43" s="1462"/>
      <c r="AU43" s="1462"/>
      <c r="AV43" s="1462"/>
      <c r="AW43" s="1462"/>
      <c r="AX43" s="1462"/>
      <c r="AY43" s="1462"/>
      <c r="AZ43" s="1462"/>
      <c r="BA43" s="1462"/>
      <c r="BB43" s="1462"/>
      <c r="BC43" s="1462"/>
      <c r="BD43" s="1462"/>
      <c r="BE43" s="1462"/>
      <c r="BF43" s="1462"/>
      <c r="BG43" s="1462"/>
      <c r="BH43" s="1462"/>
      <c r="BI43" s="1462"/>
      <c r="BJ43" s="1462"/>
      <c r="BK43" s="1462"/>
      <c r="BL43" s="1462"/>
      <c r="BM43" s="1462"/>
    </row>
    <row r="44" spans="1:65">
      <c r="A44" s="2076" t="s">
        <v>3612</v>
      </c>
      <c r="B44" s="2076"/>
      <c r="C44" s="2076"/>
      <c r="D44" s="1482"/>
      <c r="E44" s="1482"/>
      <c r="F44" s="1482"/>
      <c r="G44" s="1482"/>
      <c r="H44" s="1482"/>
      <c r="I44" s="1482"/>
      <c r="J44" s="1482"/>
      <c r="K44" s="1482"/>
      <c r="L44" s="1482"/>
      <c r="M44" s="1482"/>
      <c r="N44" s="1482"/>
      <c r="O44" s="1482"/>
      <c r="P44" s="1482"/>
      <c r="Q44" s="1482"/>
      <c r="R44" s="1482"/>
      <c r="S44" s="1462"/>
      <c r="T44" s="1462"/>
      <c r="U44" s="1462"/>
      <c r="V44" s="1462"/>
      <c r="W44" s="1462"/>
      <c r="X44" s="1462"/>
      <c r="Y44" s="1462"/>
      <c r="Z44" s="1462"/>
      <c r="AA44" s="1462"/>
      <c r="AB44" s="1462"/>
      <c r="AC44" s="1462"/>
      <c r="AD44" s="1462"/>
      <c r="AE44" s="1462"/>
      <c r="AF44" s="1462"/>
      <c r="AG44" s="1462"/>
      <c r="AH44" s="1462"/>
      <c r="AI44" s="1462"/>
      <c r="AJ44" s="1462"/>
      <c r="AK44" s="1462"/>
      <c r="AL44" s="1462"/>
      <c r="AM44" s="1462"/>
      <c r="AN44" s="1462"/>
      <c r="AO44" s="1462"/>
      <c r="AP44" s="1462"/>
      <c r="AQ44" s="1462"/>
      <c r="AR44" s="1462"/>
      <c r="AS44" s="1462"/>
      <c r="AT44" s="1462"/>
      <c r="AU44" s="1462"/>
      <c r="AV44" s="1462"/>
      <c r="AW44" s="1462"/>
      <c r="AX44" s="1462"/>
      <c r="AY44" s="1462"/>
      <c r="AZ44" s="1462"/>
      <c r="BA44" s="1462"/>
      <c r="BB44" s="1462"/>
      <c r="BC44" s="1462"/>
      <c r="BD44" s="1462"/>
      <c r="BE44" s="1462"/>
      <c r="BF44" s="1462"/>
      <c r="BG44" s="1462"/>
      <c r="BH44" s="1462"/>
      <c r="BI44" s="1462"/>
      <c r="BJ44" s="1462"/>
      <c r="BK44" s="1462"/>
      <c r="BL44" s="1462"/>
      <c r="BM44" s="1462"/>
    </row>
    <row r="45" spans="1:65">
      <c r="A45" s="1501" t="s">
        <v>3525</v>
      </c>
      <c r="B45" s="1501"/>
      <c r="C45" s="1501"/>
      <c r="D45" s="1489"/>
      <c r="E45" s="1482"/>
      <c r="F45" s="1482"/>
      <c r="G45" s="1482"/>
      <c r="H45" s="1482"/>
      <c r="I45" s="1482"/>
      <c r="J45" s="1482"/>
      <c r="K45" s="1482"/>
      <c r="L45" s="1482"/>
      <c r="M45" s="1482"/>
      <c r="N45" s="1482"/>
      <c r="O45" s="1482"/>
      <c r="P45" s="1482"/>
      <c r="Q45" s="1482"/>
      <c r="R45" s="1482"/>
      <c r="S45" s="1462"/>
      <c r="T45" s="1462"/>
      <c r="U45" s="1468" t="s">
        <v>3613</v>
      </c>
      <c r="V45" s="1462"/>
      <c r="W45" s="1462"/>
      <c r="X45" s="1462"/>
      <c r="Y45" s="1462"/>
      <c r="Z45" s="1462"/>
      <c r="AA45" s="1462"/>
      <c r="AB45" s="1462"/>
      <c r="AC45" s="1462"/>
      <c r="AD45" s="1462"/>
      <c r="AE45" s="1462"/>
      <c r="AF45" s="1462"/>
      <c r="AG45" s="1462"/>
      <c r="AH45" s="1462"/>
      <c r="AI45" s="1462"/>
      <c r="AJ45" s="1462"/>
      <c r="AK45" s="1462"/>
      <c r="AL45" s="1462"/>
      <c r="AM45" s="1462"/>
      <c r="AN45" s="1462"/>
      <c r="AO45" s="1462"/>
      <c r="AP45" s="1462"/>
      <c r="AQ45" s="1462"/>
      <c r="AR45" s="1462"/>
      <c r="AS45" s="1462"/>
      <c r="AT45" s="1462"/>
      <c r="AU45" s="1462"/>
      <c r="AV45" s="1462"/>
      <c r="AW45" s="1462"/>
      <c r="AX45" s="1462"/>
      <c r="AY45" s="1462"/>
      <c r="AZ45" s="1462"/>
      <c r="BA45" s="1462"/>
      <c r="BB45" s="1462"/>
      <c r="BC45" s="1462"/>
      <c r="BD45" s="1462"/>
      <c r="BE45" s="1462"/>
      <c r="BF45" s="1462"/>
      <c r="BG45" s="1462"/>
      <c r="BH45" s="1462"/>
      <c r="BI45" s="1462"/>
      <c r="BJ45" s="1462"/>
      <c r="BK45" s="1462"/>
      <c r="BL45" s="1462"/>
      <c r="BM45" s="1462"/>
    </row>
    <row r="46" spans="1:65" outlineLevel="1">
      <c r="A46" s="1976" t="s">
        <v>3614</v>
      </c>
      <c r="B46" s="1976"/>
      <c r="C46" s="1976"/>
      <c r="D46" s="1976"/>
      <c r="E46" s="1976"/>
      <c r="F46" s="1976"/>
      <c r="G46" s="1976"/>
      <c r="H46" s="1976"/>
      <c r="I46" s="1976"/>
      <c r="J46" s="1976"/>
      <c r="K46" s="1976"/>
      <c r="L46" s="1976"/>
      <c r="M46" s="1976"/>
      <c r="N46" s="1976"/>
      <c r="O46" s="1976"/>
      <c r="P46" s="1976"/>
      <c r="Q46" s="1976"/>
      <c r="R46" s="1976"/>
      <c r="S46" s="1462"/>
      <c r="T46" s="1462"/>
      <c r="U46" s="1976" t="s">
        <v>3614</v>
      </c>
      <c r="V46" s="1976"/>
      <c r="W46" s="1976"/>
      <c r="X46" s="1976"/>
      <c r="Y46" s="1976"/>
      <c r="Z46" s="1976"/>
      <c r="AA46" s="1976"/>
      <c r="AB46" s="1976"/>
      <c r="AC46" s="1976"/>
      <c r="AD46" s="1976"/>
      <c r="AE46" s="1976"/>
      <c r="AF46" s="1976"/>
      <c r="AG46" s="1976"/>
      <c r="AH46" s="1976"/>
      <c r="AI46" s="1976"/>
      <c r="AJ46" s="1976"/>
      <c r="AK46" s="1976"/>
      <c r="AL46" s="1976"/>
      <c r="AM46" s="1462"/>
      <c r="AN46" s="1462"/>
      <c r="AO46" s="1462"/>
      <c r="AP46" s="1462"/>
      <c r="AQ46" s="1462"/>
      <c r="AR46" s="1462"/>
      <c r="AS46" s="1462"/>
      <c r="AT46" s="1462"/>
      <c r="AU46" s="1462"/>
      <c r="AV46" s="1462"/>
      <c r="AW46" s="1462"/>
      <c r="AX46" s="1462"/>
      <c r="AY46" s="1462"/>
      <c r="AZ46" s="1462"/>
      <c r="BA46" s="1462"/>
      <c r="BB46" s="1462"/>
      <c r="BC46" s="1462"/>
      <c r="BD46" s="1462"/>
      <c r="BE46" s="1462"/>
      <c r="BF46" s="1462"/>
      <c r="BG46" s="1462"/>
      <c r="BH46" s="1462"/>
      <c r="BI46" s="1462"/>
      <c r="BJ46" s="1462"/>
      <c r="BK46" s="1462"/>
      <c r="BL46" s="1462"/>
      <c r="BM46" s="1462"/>
    </row>
    <row r="47" spans="1:65" ht="15" outlineLevel="1">
      <c r="A47" s="1977">
        <v>1035.8</v>
      </c>
      <c r="B47" s="1977"/>
      <c r="C47" s="1977">
        <v>1035.0999999999999</v>
      </c>
      <c r="D47" s="1977"/>
      <c r="E47" s="1971">
        <v>1036.7</v>
      </c>
      <c r="F47" s="1971"/>
      <c r="G47" s="1971"/>
      <c r="H47" s="1971">
        <v>1036.5</v>
      </c>
      <c r="I47" s="1971"/>
      <c r="J47" s="2035">
        <v>1037.2</v>
      </c>
      <c r="K47" s="2035"/>
      <c r="L47" s="1971">
        <v>1038.2</v>
      </c>
      <c r="M47" s="1971"/>
      <c r="N47" s="1971"/>
      <c r="O47" s="1971"/>
      <c r="P47" s="1971">
        <v>1037.7</v>
      </c>
      <c r="Q47" s="1971"/>
      <c r="R47" s="1971"/>
      <c r="S47" s="1462"/>
      <c r="T47" s="1462"/>
      <c r="U47" s="1977">
        <v>1035.8</v>
      </c>
      <c r="V47" s="1977"/>
      <c r="W47" s="1977">
        <v>1035.0999999999999</v>
      </c>
      <c r="X47" s="1977"/>
      <c r="Y47" s="1971">
        <v>1036.7</v>
      </c>
      <c r="Z47" s="1971"/>
      <c r="AA47" s="1971"/>
      <c r="AB47" s="1971">
        <v>1036.5</v>
      </c>
      <c r="AC47" s="1971"/>
      <c r="AD47" s="2035">
        <v>1037.2</v>
      </c>
      <c r="AE47" s="2035"/>
      <c r="AF47" s="1971">
        <v>1038.2</v>
      </c>
      <c r="AG47" s="1971"/>
      <c r="AH47" s="1971"/>
      <c r="AI47" s="1971"/>
      <c r="AJ47" s="1971">
        <v>1037.7</v>
      </c>
      <c r="AK47" s="1971"/>
      <c r="AL47" s="1971"/>
      <c r="AM47" s="1462"/>
      <c r="AN47" s="1462"/>
      <c r="AO47" s="1462"/>
      <c r="AP47" s="1462"/>
      <c r="AQ47" s="1462"/>
      <c r="AR47" s="1462"/>
      <c r="AS47" s="1462"/>
      <c r="AT47" s="1462"/>
      <c r="AU47" s="1462"/>
      <c r="AV47" s="1462"/>
      <c r="AW47" s="1462"/>
      <c r="AX47" s="1462"/>
      <c r="AY47" s="1462"/>
      <c r="AZ47" s="1462"/>
      <c r="BA47" s="1462"/>
      <c r="BB47" s="1462"/>
      <c r="BC47" s="1462"/>
      <c r="BD47" s="1462"/>
      <c r="BE47" s="1462"/>
      <c r="BF47" s="1462"/>
      <c r="BG47" s="1462"/>
      <c r="BH47" s="1462"/>
      <c r="BI47" s="1462"/>
      <c r="BJ47" s="1462"/>
      <c r="BK47" s="1462"/>
      <c r="BL47" s="1462"/>
      <c r="BM47" s="1462"/>
    </row>
    <row r="48" spans="1:65" ht="15" outlineLevel="1">
      <c r="A48" s="1977">
        <v>1038.2</v>
      </c>
      <c r="B48" s="1977"/>
      <c r="C48" s="2035">
        <v>1038.2</v>
      </c>
      <c r="D48" s="2035"/>
      <c r="E48" s="1971">
        <v>1037.9000000000001</v>
      </c>
      <c r="F48" s="1971"/>
      <c r="G48" s="1971"/>
      <c r="H48" s="1971">
        <v>1038.2</v>
      </c>
      <c r="I48" s="1971"/>
      <c r="J48" s="1971">
        <v>1038.9000000000001</v>
      </c>
      <c r="K48" s="1971"/>
      <c r="L48" s="1971">
        <v>1038.3</v>
      </c>
      <c r="M48" s="1971"/>
      <c r="N48" s="1971"/>
      <c r="O48" s="1971"/>
      <c r="P48" s="1971">
        <v>1038.7</v>
      </c>
      <c r="Q48" s="1971"/>
      <c r="R48" s="1971"/>
      <c r="S48" s="1462"/>
      <c r="T48" s="1462"/>
      <c r="U48" s="1977">
        <v>1038.2</v>
      </c>
      <c r="V48" s="1977"/>
      <c r="W48" s="2035">
        <v>1038.2</v>
      </c>
      <c r="X48" s="2035"/>
      <c r="Y48" s="1971">
        <v>1037.9000000000001</v>
      </c>
      <c r="Z48" s="1971"/>
      <c r="AA48" s="1971"/>
      <c r="AB48" s="1971">
        <v>1038.2</v>
      </c>
      <c r="AC48" s="1971"/>
      <c r="AD48" s="1971">
        <v>1038.9000000000001</v>
      </c>
      <c r="AE48" s="1971"/>
      <c r="AF48" s="1971">
        <v>1038.3</v>
      </c>
      <c r="AG48" s="1971"/>
      <c r="AH48" s="1971"/>
      <c r="AI48" s="1971"/>
      <c r="AJ48" s="1971">
        <v>1038.7</v>
      </c>
      <c r="AK48" s="1971"/>
      <c r="AL48" s="1971"/>
      <c r="AM48" s="1462"/>
      <c r="AN48" s="1462"/>
      <c r="AO48" s="1462"/>
      <c r="AP48" s="1462"/>
      <c r="AQ48" s="1462"/>
      <c r="AR48" s="1462"/>
      <c r="AS48" s="1462"/>
      <c r="AT48" s="1462"/>
      <c r="AU48" s="1462"/>
      <c r="AV48" s="1462"/>
      <c r="AW48" s="1462"/>
      <c r="AX48" s="1462"/>
      <c r="AY48" s="1462"/>
      <c r="AZ48" s="1462"/>
      <c r="BA48" s="1462"/>
      <c r="BB48" s="1462"/>
      <c r="BC48" s="1462"/>
      <c r="BD48" s="1462"/>
      <c r="BE48" s="1462"/>
      <c r="BF48" s="1462"/>
      <c r="BG48" s="1462"/>
      <c r="BH48" s="1462"/>
      <c r="BI48" s="1462"/>
      <c r="BJ48" s="1462"/>
      <c r="BK48" s="1462"/>
      <c r="BL48" s="1462"/>
      <c r="BM48" s="1462"/>
    </row>
    <row r="49" spans="1:38" ht="16.5" outlineLevel="1">
      <c r="A49" s="1977" t="s">
        <v>3615</v>
      </c>
      <c r="B49" s="1977"/>
      <c r="C49" s="1977"/>
      <c r="D49" s="1977"/>
      <c r="E49" s="1971" t="s">
        <v>3616</v>
      </c>
      <c r="F49" s="1971"/>
      <c r="G49" s="1971"/>
      <c r="H49" s="1971"/>
      <c r="I49" s="1971"/>
      <c r="J49" s="1971" t="s">
        <v>3617</v>
      </c>
      <c r="K49" s="1971"/>
      <c r="L49" s="1971"/>
      <c r="M49" s="1971"/>
      <c r="N49" s="1971"/>
      <c r="O49" s="1971"/>
      <c r="P49" s="1971" t="s">
        <v>3618</v>
      </c>
      <c r="Q49" s="1971"/>
      <c r="R49" s="1971"/>
      <c r="S49" s="1462"/>
      <c r="T49" s="1462"/>
      <c r="U49" s="1977" t="s">
        <v>3615</v>
      </c>
      <c r="V49" s="1977"/>
      <c r="W49" s="1977"/>
      <c r="X49" s="1977"/>
      <c r="Y49" s="1971" t="s">
        <v>3616</v>
      </c>
      <c r="Z49" s="1971"/>
      <c r="AA49" s="1971"/>
      <c r="AB49" s="1971"/>
      <c r="AC49" s="1971"/>
      <c r="AD49" s="1971" t="s">
        <v>3617</v>
      </c>
      <c r="AE49" s="1971"/>
      <c r="AF49" s="1971"/>
      <c r="AG49" s="1971"/>
      <c r="AH49" s="1971"/>
      <c r="AI49" s="1971"/>
      <c r="AJ49" s="1971" t="s">
        <v>3618</v>
      </c>
      <c r="AK49" s="1971"/>
      <c r="AL49" s="1971"/>
    </row>
    <row r="50" spans="1:38" ht="15" outlineLevel="1">
      <c r="A50" s="1977">
        <v>1038.9000000000001</v>
      </c>
      <c r="B50" s="1977"/>
      <c r="C50" s="1977"/>
      <c r="D50" s="1977"/>
      <c r="E50" s="1971">
        <v>1035.0999999999999</v>
      </c>
      <c r="F50" s="1971"/>
      <c r="G50" s="1971"/>
      <c r="H50" s="1971"/>
      <c r="I50" s="1971"/>
      <c r="J50" s="2035">
        <v>0.38000000000001821</v>
      </c>
      <c r="K50" s="2035"/>
      <c r="L50" s="2035"/>
      <c r="M50" s="2035"/>
      <c r="N50" s="2035"/>
      <c r="O50" s="2035"/>
      <c r="P50" s="2039" t="s">
        <v>3619</v>
      </c>
      <c r="Q50" s="1971"/>
      <c r="R50" s="1971"/>
      <c r="S50" s="1462"/>
      <c r="T50" s="1462"/>
      <c r="U50" s="1977">
        <v>1038.9000000000001</v>
      </c>
      <c r="V50" s="1977"/>
      <c r="W50" s="1977"/>
      <c r="X50" s="1977"/>
      <c r="Y50" s="1971">
        <v>1035.0999999999999</v>
      </c>
      <c r="Z50" s="1971"/>
      <c r="AA50" s="1971"/>
      <c r="AB50" s="1971"/>
      <c r="AC50" s="1971"/>
      <c r="AD50" s="2035">
        <v>0.38000000000001821</v>
      </c>
      <c r="AE50" s="2035"/>
      <c r="AF50" s="2035"/>
      <c r="AG50" s="2035"/>
      <c r="AH50" s="2035"/>
      <c r="AI50" s="2035"/>
      <c r="AJ50" s="2039" t="s">
        <v>3619</v>
      </c>
      <c r="AK50" s="1971"/>
      <c r="AL50" s="1971"/>
    </row>
    <row r="51" spans="1:38" outlineLevel="1">
      <c r="A51" s="1462"/>
      <c r="B51" s="1462"/>
      <c r="C51" s="1462"/>
      <c r="D51" s="1462"/>
      <c r="E51" s="1462"/>
      <c r="F51" s="1462"/>
      <c r="G51" s="1462"/>
      <c r="H51" s="1462"/>
      <c r="I51" s="1462"/>
      <c r="J51" s="1462"/>
      <c r="K51" s="1462"/>
      <c r="L51" s="1462"/>
      <c r="M51" s="1462"/>
      <c r="N51" s="1462"/>
      <c r="O51" s="1462"/>
      <c r="P51" s="1462"/>
      <c r="Q51" s="1462"/>
      <c r="R51" s="1462"/>
      <c r="S51" s="1462"/>
      <c r="T51" s="1462"/>
      <c r="U51" s="1462"/>
      <c r="V51" s="1462"/>
      <c r="W51" s="1462"/>
      <c r="X51" s="1462"/>
      <c r="Y51" s="1462"/>
      <c r="Z51" s="1462"/>
      <c r="AA51" s="1462"/>
      <c r="AB51" s="1462"/>
      <c r="AC51" s="1462"/>
      <c r="AD51" s="1462"/>
      <c r="AE51" s="1462"/>
      <c r="AF51" s="1462"/>
      <c r="AG51" s="1462"/>
      <c r="AH51" s="1462"/>
      <c r="AI51" s="1462"/>
      <c r="AJ51" s="1462"/>
      <c r="AK51" s="1462"/>
      <c r="AL51" s="1462"/>
    </row>
    <row r="52" spans="1:38" outlineLevel="1">
      <c r="A52" s="1468" t="s">
        <v>3620</v>
      </c>
      <c r="B52" s="1462"/>
      <c r="C52" s="1462"/>
      <c r="D52" s="1462"/>
      <c r="E52" s="1462"/>
      <c r="F52" s="1462"/>
      <c r="G52" s="1462"/>
      <c r="H52" s="1462"/>
      <c r="I52" s="1462"/>
      <c r="J52" s="1462"/>
      <c r="K52" s="1462"/>
      <c r="L52" s="1462"/>
      <c r="M52" s="1462"/>
      <c r="N52" s="1462"/>
      <c r="O52" s="1462"/>
      <c r="P52" s="1462"/>
      <c r="Q52" s="1462"/>
      <c r="R52" s="1462"/>
      <c r="S52" s="1462"/>
      <c r="T52" s="1462"/>
      <c r="U52" s="1462"/>
      <c r="V52" s="1462"/>
      <c r="W52" s="1462"/>
      <c r="X52" s="1462"/>
      <c r="Y52" s="1462"/>
      <c r="Z52" s="1462"/>
      <c r="AA52" s="1462"/>
      <c r="AB52" s="1462"/>
      <c r="AC52" s="1462"/>
      <c r="AD52" s="1462"/>
      <c r="AE52" s="1462"/>
      <c r="AF52" s="1462"/>
      <c r="AG52" s="1462"/>
      <c r="AH52" s="1462"/>
      <c r="AI52" s="1462"/>
      <c r="AJ52" s="1462"/>
      <c r="AK52" s="1462"/>
      <c r="AL52" s="1462"/>
    </row>
    <row r="53" spans="1:38" outlineLevel="1">
      <c r="A53" s="1494" t="s">
        <v>3621</v>
      </c>
      <c r="B53" s="1495" t="s">
        <v>3622</v>
      </c>
      <c r="C53" s="2080" t="s">
        <v>3623</v>
      </c>
      <c r="D53" s="2081"/>
      <c r="E53" s="2081"/>
      <c r="F53" s="2082"/>
      <c r="G53" s="1491"/>
      <c r="H53" s="1495" t="s">
        <v>3624</v>
      </c>
      <c r="I53" s="1491"/>
      <c r="J53" s="1491"/>
      <c r="K53" s="2083" t="s">
        <v>3625</v>
      </c>
      <c r="L53" s="2019"/>
      <c r="M53" s="2019"/>
      <c r="N53" s="2020"/>
      <c r="O53" s="1462"/>
      <c r="P53" s="1462"/>
      <c r="Q53" s="1462"/>
      <c r="R53" s="1462"/>
      <c r="S53" s="1462"/>
      <c r="T53" s="1462"/>
      <c r="U53" s="1462"/>
      <c r="V53" s="1462"/>
      <c r="W53" s="1462"/>
      <c r="X53" s="1462"/>
      <c r="Y53" s="1462"/>
      <c r="Z53" s="1462"/>
      <c r="AA53" s="1462"/>
      <c r="AB53" s="1462"/>
      <c r="AC53" s="1462"/>
      <c r="AD53" s="1462"/>
      <c r="AE53" s="1462"/>
      <c r="AF53" s="1462"/>
      <c r="AG53" s="1462"/>
      <c r="AH53" s="1462"/>
      <c r="AI53" s="1462"/>
      <c r="AJ53" s="1462"/>
      <c r="AK53" s="1462"/>
      <c r="AL53" s="1462"/>
    </row>
    <row r="54" spans="1:38" outlineLevel="1">
      <c r="A54" s="1490">
        <v>1035.8</v>
      </c>
      <c r="B54" s="2092">
        <v>1038.9000000000001</v>
      </c>
      <c r="C54" s="2097">
        <v>1035.0999999999999</v>
      </c>
      <c r="D54" s="2098"/>
      <c r="E54" s="2098"/>
      <c r="F54" s="2099"/>
      <c r="G54" s="1491"/>
      <c r="H54" s="2097">
        <v>0.4</v>
      </c>
      <c r="I54" s="2098"/>
      <c r="J54" s="2099"/>
      <c r="K54" s="2106" t="s">
        <v>3626</v>
      </c>
      <c r="L54" s="2107"/>
      <c r="M54" s="2107"/>
      <c r="N54" s="2108"/>
      <c r="O54" s="1462"/>
      <c r="P54" s="1462"/>
      <c r="Q54" s="1462"/>
      <c r="R54" s="1462"/>
      <c r="S54" s="1462"/>
      <c r="T54" s="1462"/>
      <c r="U54" s="1462"/>
      <c r="V54" s="1462"/>
      <c r="W54" s="1462"/>
      <c r="X54" s="1462"/>
      <c r="Y54" s="1462"/>
      <c r="Z54" s="1462"/>
      <c r="AA54" s="1462"/>
      <c r="AB54" s="1462"/>
      <c r="AC54" s="1462"/>
      <c r="AD54" s="1462"/>
      <c r="AE54" s="1462"/>
      <c r="AF54" s="1462"/>
      <c r="AG54" s="1462"/>
      <c r="AH54" s="1462"/>
      <c r="AI54" s="1462"/>
      <c r="AJ54" s="1462"/>
      <c r="AK54" s="1462"/>
      <c r="AL54" s="1462"/>
    </row>
    <row r="55" spans="1:38" outlineLevel="1">
      <c r="A55" s="1490">
        <v>1035.0999999999999</v>
      </c>
      <c r="B55" s="2093"/>
      <c r="C55" s="2100"/>
      <c r="D55" s="2101"/>
      <c r="E55" s="2101"/>
      <c r="F55" s="2102"/>
      <c r="G55" s="1491"/>
      <c r="H55" s="2100"/>
      <c r="I55" s="2115"/>
      <c r="J55" s="2102"/>
      <c r="K55" s="2109"/>
      <c r="L55" s="2110"/>
      <c r="M55" s="2110"/>
      <c r="N55" s="2111"/>
      <c r="O55" s="1462"/>
      <c r="P55" s="1462"/>
      <c r="Q55" s="1462"/>
      <c r="R55" s="1462"/>
      <c r="S55" s="1462"/>
      <c r="T55" s="1462"/>
      <c r="U55" s="1462"/>
      <c r="V55" s="1462"/>
      <c r="W55" s="1462"/>
      <c r="X55" s="1462"/>
      <c r="Y55" s="1462"/>
      <c r="Z55" s="1462"/>
      <c r="AA55" s="1462"/>
      <c r="AB55" s="1462"/>
      <c r="AC55" s="1462"/>
      <c r="AD55" s="1462"/>
      <c r="AE55" s="1462"/>
      <c r="AF55" s="1462"/>
      <c r="AG55" s="1462"/>
      <c r="AH55" s="1462"/>
      <c r="AI55" s="1462"/>
      <c r="AJ55" s="1462"/>
      <c r="AK55" s="1462"/>
      <c r="AL55" s="1462"/>
    </row>
    <row r="56" spans="1:38" outlineLevel="1">
      <c r="A56" s="1490">
        <v>1036.7</v>
      </c>
      <c r="B56" s="2093"/>
      <c r="C56" s="2100"/>
      <c r="D56" s="2101"/>
      <c r="E56" s="2101"/>
      <c r="F56" s="2102"/>
      <c r="G56" s="1491"/>
      <c r="H56" s="2100"/>
      <c r="I56" s="2115"/>
      <c r="J56" s="2102"/>
      <c r="K56" s="2109"/>
      <c r="L56" s="2110"/>
      <c r="M56" s="2110"/>
      <c r="N56" s="2111"/>
      <c r="O56" s="1462"/>
      <c r="P56" s="1462"/>
      <c r="Q56" s="1462"/>
      <c r="R56" s="1462"/>
      <c r="S56" s="1462"/>
      <c r="T56" s="1462"/>
      <c r="U56" s="1462"/>
      <c r="V56" s="1462"/>
      <c r="W56" s="1462"/>
      <c r="X56" s="1462"/>
      <c r="Y56" s="1462"/>
      <c r="Z56" s="1462"/>
      <c r="AA56" s="1462"/>
      <c r="AB56" s="1462"/>
      <c r="AC56" s="1462"/>
      <c r="AD56" s="1462"/>
      <c r="AE56" s="1462"/>
      <c r="AF56" s="1462"/>
      <c r="AG56" s="1462"/>
      <c r="AH56" s="1462"/>
      <c r="AI56" s="1462"/>
      <c r="AJ56" s="1462"/>
      <c r="AK56" s="1462"/>
      <c r="AL56" s="1462"/>
    </row>
    <row r="57" spans="1:38" outlineLevel="1">
      <c r="A57" s="1490">
        <v>1036.5</v>
      </c>
      <c r="B57" s="2093"/>
      <c r="C57" s="2100"/>
      <c r="D57" s="2101"/>
      <c r="E57" s="2101"/>
      <c r="F57" s="2102"/>
      <c r="G57" s="1491"/>
      <c r="H57" s="2100"/>
      <c r="I57" s="2115"/>
      <c r="J57" s="2102"/>
      <c r="K57" s="2109"/>
      <c r="L57" s="2110"/>
      <c r="M57" s="2110"/>
      <c r="N57" s="2111"/>
      <c r="O57" s="1462"/>
      <c r="P57" s="1462"/>
      <c r="Q57" s="1462"/>
      <c r="R57" s="1462"/>
      <c r="S57" s="1462"/>
      <c r="T57" s="1462"/>
      <c r="U57" s="1462"/>
      <c r="V57" s="1462"/>
      <c r="W57" s="1462"/>
      <c r="X57" s="1462"/>
      <c r="Y57" s="1462"/>
      <c r="Z57" s="1462"/>
      <c r="AA57" s="1462"/>
      <c r="AB57" s="1462"/>
      <c r="AC57" s="1462"/>
      <c r="AD57" s="1462"/>
      <c r="AE57" s="1462"/>
      <c r="AF57" s="1462"/>
      <c r="AG57" s="1462"/>
      <c r="AH57" s="1462"/>
      <c r="AI57" s="1462"/>
      <c r="AJ57" s="1462"/>
      <c r="AK57" s="1462"/>
      <c r="AL57" s="1462"/>
    </row>
    <row r="58" spans="1:38" outlineLevel="1">
      <c r="A58" s="1490">
        <v>1037.2</v>
      </c>
      <c r="B58" s="2093"/>
      <c r="C58" s="2100"/>
      <c r="D58" s="2101"/>
      <c r="E58" s="2101"/>
      <c r="F58" s="2102"/>
      <c r="G58" s="1491"/>
      <c r="H58" s="2100"/>
      <c r="I58" s="2115"/>
      <c r="J58" s="2102"/>
      <c r="K58" s="2109"/>
      <c r="L58" s="2110"/>
      <c r="M58" s="2110"/>
      <c r="N58" s="2111"/>
      <c r="O58" s="1462"/>
      <c r="P58" s="1462"/>
      <c r="Q58" s="1462"/>
      <c r="R58" s="1462"/>
      <c r="S58" s="1462"/>
      <c r="T58" s="1462"/>
      <c r="U58" s="1462"/>
      <c r="V58" s="1462"/>
      <c r="W58" s="1462"/>
      <c r="X58" s="1462"/>
      <c r="Y58" s="1462"/>
      <c r="Z58" s="1462"/>
      <c r="AA58" s="1462"/>
      <c r="AB58" s="1462"/>
      <c r="AC58" s="1462"/>
      <c r="AD58" s="1462"/>
      <c r="AE58" s="1462"/>
      <c r="AF58" s="1462"/>
      <c r="AG58" s="1462"/>
      <c r="AH58" s="1462"/>
      <c r="AI58" s="1462"/>
      <c r="AJ58" s="1462"/>
      <c r="AK58" s="1462"/>
      <c r="AL58" s="1462"/>
    </row>
    <row r="59" spans="1:38" outlineLevel="1">
      <c r="A59" s="1490">
        <v>1038.2</v>
      </c>
      <c r="B59" s="2093"/>
      <c r="C59" s="2100"/>
      <c r="D59" s="2101"/>
      <c r="E59" s="2101"/>
      <c r="F59" s="2102"/>
      <c r="G59" s="1491"/>
      <c r="H59" s="2100"/>
      <c r="I59" s="2115"/>
      <c r="J59" s="2102"/>
      <c r="K59" s="2109"/>
      <c r="L59" s="2110"/>
      <c r="M59" s="2110"/>
      <c r="N59" s="2111"/>
      <c r="O59" s="1462"/>
      <c r="P59" s="1462"/>
      <c r="Q59" s="1462"/>
      <c r="R59" s="1462"/>
      <c r="S59" s="1462"/>
      <c r="T59" s="1462"/>
      <c r="U59" s="1462"/>
      <c r="V59" s="1462"/>
      <c r="W59" s="1462"/>
      <c r="X59" s="1462"/>
      <c r="Y59" s="1462"/>
      <c r="Z59" s="1462"/>
      <c r="AA59" s="1462"/>
      <c r="AB59" s="1462"/>
      <c r="AC59" s="1462"/>
      <c r="AD59" s="1462"/>
      <c r="AE59" s="1462"/>
      <c r="AF59" s="1462"/>
      <c r="AG59" s="1462"/>
      <c r="AH59" s="1462"/>
      <c r="AI59" s="1462"/>
      <c r="AJ59" s="1462"/>
      <c r="AK59" s="1462"/>
      <c r="AL59" s="1462"/>
    </row>
    <row r="60" spans="1:38" outlineLevel="1">
      <c r="A60" s="1490">
        <v>1037.7</v>
      </c>
      <c r="B60" s="2093"/>
      <c r="C60" s="2100"/>
      <c r="D60" s="2101"/>
      <c r="E60" s="2101"/>
      <c r="F60" s="2102"/>
      <c r="G60" s="1491"/>
      <c r="H60" s="2100"/>
      <c r="I60" s="2115"/>
      <c r="J60" s="2102"/>
      <c r="K60" s="2109"/>
      <c r="L60" s="2110"/>
      <c r="M60" s="2110"/>
      <c r="N60" s="2111"/>
      <c r="O60" s="1462"/>
      <c r="P60" s="1462"/>
      <c r="Q60" s="1462"/>
      <c r="R60" s="1462"/>
      <c r="S60" s="1462"/>
      <c r="T60" s="1462"/>
      <c r="U60" s="1462"/>
      <c r="V60" s="1462"/>
      <c r="W60" s="1462"/>
      <c r="X60" s="1462"/>
      <c r="Y60" s="1462"/>
      <c r="Z60" s="1462"/>
      <c r="AA60" s="1462"/>
      <c r="AB60" s="1462"/>
      <c r="AC60" s="1462"/>
      <c r="AD60" s="1462"/>
      <c r="AE60" s="1462"/>
      <c r="AF60" s="1462"/>
      <c r="AG60" s="1462"/>
      <c r="AH60" s="1462"/>
      <c r="AI60" s="1462"/>
      <c r="AJ60" s="1462"/>
      <c r="AK60" s="1462"/>
      <c r="AL60" s="1462"/>
    </row>
    <row r="61" spans="1:38" outlineLevel="1">
      <c r="A61" s="1490">
        <v>1038.2</v>
      </c>
      <c r="B61" s="2093"/>
      <c r="C61" s="2100"/>
      <c r="D61" s="2101"/>
      <c r="E61" s="2101"/>
      <c r="F61" s="2102"/>
      <c r="G61" s="1491"/>
      <c r="H61" s="2100"/>
      <c r="I61" s="2115"/>
      <c r="J61" s="2102"/>
      <c r="K61" s="2109"/>
      <c r="L61" s="2110"/>
      <c r="M61" s="2110"/>
      <c r="N61" s="2111"/>
      <c r="O61" s="1462"/>
      <c r="P61" s="1462"/>
      <c r="Q61" s="1462"/>
      <c r="R61" s="1462"/>
      <c r="S61" s="1462"/>
      <c r="T61" s="1462"/>
      <c r="U61" s="1462"/>
      <c r="V61" s="1462"/>
      <c r="W61" s="1462"/>
      <c r="X61" s="1462"/>
      <c r="Y61" s="1462"/>
      <c r="Z61" s="1462"/>
      <c r="AA61" s="1462"/>
      <c r="AB61" s="1462"/>
      <c r="AC61" s="1462"/>
      <c r="AD61" s="1462"/>
      <c r="AE61" s="1462"/>
      <c r="AF61" s="1462"/>
      <c r="AG61" s="1462"/>
      <c r="AH61" s="1462"/>
      <c r="AI61" s="1462"/>
      <c r="AJ61" s="1462"/>
      <c r="AK61" s="1462"/>
      <c r="AL61" s="1462"/>
    </row>
    <row r="62" spans="1:38" outlineLevel="1">
      <c r="A62" s="1490">
        <v>1038.2</v>
      </c>
      <c r="B62" s="2093"/>
      <c r="C62" s="2100"/>
      <c r="D62" s="2101"/>
      <c r="E62" s="2101"/>
      <c r="F62" s="2102"/>
      <c r="G62" s="1491"/>
      <c r="H62" s="2100"/>
      <c r="I62" s="2115"/>
      <c r="J62" s="2102"/>
      <c r="K62" s="2109"/>
      <c r="L62" s="2110"/>
      <c r="M62" s="2110"/>
      <c r="N62" s="2111"/>
      <c r="O62" s="1462"/>
      <c r="P62" s="1462"/>
      <c r="Q62" s="1462"/>
      <c r="R62" s="1462"/>
      <c r="S62" s="1462"/>
      <c r="T62" s="1462"/>
      <c r="U62" s="1462"/>
      <c r="V62" s="1462"/>
      <c r="W62" s="1462"/>
      <c r="X62" s="1462"/>
      <c r="Y62" s="1462"/>
      <c r="Z62" s="1462"/>
      <c r="AA62" s="1462"/>
      <c r="AB62" s="1462"/>
      <c r="AC62" s="1462"/>
      <c r="AD62" s="1462"/>
      <c r="AE62" s="1462"/>
      <c r="AF62" s="1462"/>
      <c r="AG62" s="1462"/>
      <c r="AH62" s="1462"/>
      <c r="AI62" s="1462"/>
      <c r="AJ62" s="1462"/>
      <c r="AK62" s="1462"/>
      <c r="AL62" s="1462"/>
    </row>
    <row r="63" spans="1:38" outlineLevel="1">
      <c r="A63" s="1490">
        <v>1037.9000000000001</v>
      </c>
      <c r="B63" s="2093"/>
      <c r="C63" s="2100"/>
      <c r="D63" s="2101"/>
      <c r="E63" s="2101"/>
      <c r="F63" s="2102"/>
      <c r="G63" s="1491"/>
      <c r="H63" s="2100"/>
      <c r="I63" s="2115"/>
      <c r="J63" s="2102"/>
      <c r="K63" s="2109"/>
      <c r="L63" s="2110"/>
      <c r="M63" s="2110"/>
      <c r="N63" s="2111"/>
      <c r="O63" s="1462"/>
      <c r="P63" s="1462"/>
      <c r="Q63" s="1462"/>
      <c r="R63" s="1462"/>
      <c r="S63" s="1462"/>
      <c r="T63" s="1462"/>
      <c r="U63" s="1462"/>
      <c r="V63" s="1462"/>
      <c r="W63" s="1462"/>
      <c r="X63" s="1462"/>
      <c r="Y63" s="1462"/>
      <c r="Z63" s="1462"/>
      <c r="AA63" s="1462"/>
      <c r="AB63" s="1462"/>
      <c r="AC63" s="1462"/>
      <c r="AD63" s="1462"/>
      <c r="AE63" s="1462"/>
      <c r="AF63" s="1462"/>
      <c r="AG63" s="1462"/>
      <c r="AH63" s="1462"/>
      <c r="AI63" s="1462"/>
      <c r="AJ63" s="1462"/>
      <c r="AK63" s="1462"/>
      <c r="AL63" s="1462"/>
    </row>
    <row r="64" spans="1:38" outlineLevel="1">
      <c r="A64" s="1490">
        <v>1038.2</v>
      </c>
      <c r="B64" s="2093"/>
      <c r="C64" s="2100"/>
      <c r="D64" s="2101"/>
      <c r="E64" s="2101"/>
      <c r="F64" s="2102"/>
      <c r="G64" s="1491"/>
      <c r="H64" s="2100"/>
      <c r="I64" s="2115"/>
      <c r="J64" s="2102"/>
      <c r="K64" s="2109"/>
      <c r="L64" s="2110"/>
      <c r="M64" s="2110"/>
      <c r="N64" s="2111"/>
      <c r="O64" s="1462"/>
      <c r="P64" s="1462"/>
      <c r="Q64" s="1462"/>
      <c r="R64" s="1462"/>
      <c r="S64" s="1462"/>
      <c r="T64" s="1462"/>
      <c r="U64" s="1462"/>
      <c r="V64" s="1462"/>
      <c r="W64" s="1462"/>
      <c r="X64" s="1462"/>
      <c r="Y64" s="1462"/>
      <c r="Z64" s="1462"/>
      <c r="AA64" s="1462"/>
      <c r="AB64" s="1462"/>
      <c r="AC64" s="1462"/>
      <c r="AD64" s="1462"/>
      <c r="AE64" s="1462"/>
      <c r="AF64" s="1462"/>
      <c r="AG64" s="1462"/>
      <c r="AH64" s="1462"/>
      <c r="AI64" s="1462"/>
      <c r="AJ64" s="1462"/>
      <c r="AK64" s="1462"/>
      <c r="AL64" s="1462"/>
    </row>
    <row r="65" spans="1:38" outlineLevel="1">
      <c r="A65" s="1490">
        <v>1038.9000000000001</v>
      </c>
      <c r="B65" s="2093"/>
      <c r="C65" s="2100"/>
      <c r="D65" s="2101"/>
      <c r="E65" s="2101"/>
      <c r="F65" s="2102"/>
      <c r="G65" s="1491"/>
      <c r="H65" s="2100"/>
      <c r="I65" s="2115"/>
      <c r="J65" s="2102"/>
      <c r="K65" s="2109"/>
      <c r="L65" s="2110"/>
      <c r="M65" s="2110"/>
      <c r="N65" s="2111"/>
      <c r="O65" s="1462"/>
      <c r="P65" s="1462"/>
      <c r="Q65" s="1462"/>
      <c r="R65" s="1462"/>
      <c r="S65" s="1462"/>
      <c r="T65" s="1462"/>
      <c r="U65" s="1462"/>
      <c r="V65" s="1462"/>
      <c r="W65" s="1462"/>
      <c r="X65" s="1462"/>
      <c r="Y65" s="1462"/>
      <c r="Z65" s="1462"/>
      <c r="AA65" s="1462"/>
      <c r="AB65" s="1462"/>
      <c r="AC65" s="1462"/>
      <c r="AD65" s="1462"/>
      <c r="AE65" s="1462"/>
      <c r="AF65" s="1462"/>
      <c r="AG65" s="1462"/>
      <c r="AH65" s="1462"/>
      <c r="AI65" s="1462"/>
      <c r="AJ65" s="1462"/>
      <c r="AK65" s="1462"/>
      <c r="AL65" s="1462"/>
    </row>
    <row r="66" spans="1:38" outlineLevel="1">
      <c r="A66" s="1490">
        <v>1038.3</v>
      </c>
      <c r="B66" s="2093"/>
      <c r="C66" s="2100"/>
      <c r="D66" s="2101"/>
      <c r="E66" s="2101"/>
      <c r="F66" s="2102"/>
      <c r="G66" s="1491"/>
      <c r="H66" s="2100"/>
      <c r="I66" s="2115"/>
      <c r="J66" s="2102"/>
      <c r="K66" s="2109"/>
      <c r="L66" s="2110"/>
      <c r="M66" s="2110"/>
      <c r="N66" s="2111"/>
      <c r="O66" s="1462"/>
      <c r="P66" s="1462"/>
      <c r="Q66" s="1462"/>
      <c r="R66" s="1462"/>
      <c r="S66" s="1462"/>
      <c r="T66" s="1462"/>
      <c r="U66" s="1462"/>
      <c r="V66" s="1462"/>
      <c r="W66" s="1462"/>
      <c r="X66" s="1462"/>
      <c r="Y66" s="1462"/>
      <c r="Z66" s="1462"/>
      <c r="AA66" s="1462"/>
      <c r="AB66" s="1462"/>
      <c r="AC66" s="1462"/>
      <c r="AD66" s="1462"/>
      <c r="AE66" s="1462"/>
      <c r="AF66" s="1462"/>
      <c r="AG66" s="1462"/>
      <c r="AH66" s="1462"/>
      <c r="AI66" s="1462"/>
      <c r="AJ66" s="1462"/>
      <c r="AK66" s="1462"/>
      <c r="AL66" s="1462"/>
    </row>
    <row r="67" spans="1:38" outlineLevel="1">
      <c r="A67" s="1490">
        <v>1038.7</v>
      </c>
      <c r="B67" s="2094"/>
      <c r="C67" s="2103"/>
      <c r="D67" s="2104"/>
      <c r="E67" s="2104"/>
      <c r="F67" s="2105"/>
      <c r="G67" s="1491"/>
      <c r="H67" s="2103"/>
      <c r="I67" s="2104"/>
      <c r="J67" s="2105"/>
      <c r="K67" s="2112"/>
      <c r="L67" s="2113"/>
      <c r="M67" s="2113"/>
      <c r="N67" s="2114"/>
      <c r="O67" s="1462"/>
      <c r="P67" s="1462"/>
      <c r="Q67" s="1462"/>
      <c r="R67" s="1462"/>
      <c r="S67" s="1462"/>
      <c r="T67" s="1462"/>
      <c r="U67" s="1462"/>
      <c r="V67" s="1462"/>
      <c r="W67" s="1462"/>
      <c r="X67" s="1462"/>
      <c r="Y67" s="1462"/>
      <c r="Z67" s="1462"/>
      <c r="AA67" s="1462"/>
      <c r="AB67" s="1462"/>
      <c r="AC67" s="1462"/>
      <c r="AD67" s="1462"/>
      <c r="AE67" s="1462"/>
      <c r="AF67" s="1462"/>
      <c r="AG67" s="1462"/>
      <c r="AH67" s="1462"/>
      <c r="AI67" s="1462"/>
      <c r="AJ67" s="1462"/>
      <c r="AK67" s="1462"/>
      <c r="AL67" s="1462"/>
    </row>
    <row r="69" spans="1:38">
      <c r="A69" s="1473" t="s">
        <v>3627</v>
      </c>
      <c r="B69" s="1473"/>
      <c r="C69" s="1473"/>
      <c r="D69" s="1473"/>
      <c r="E69" s="1473"/>
      <c r="F69" s="1473"/>
      <c r="G69" s="1473"/>
      <c r="H69" s="1473"/>
      <c r="I69" s="1473"/>
      <c r="J69" s="1473"/>
      <c r="K69" s="1473"/>
      <c r="L69" s="1473"/>
      <c r="M69" s="1473"/>
      <c r="N69" s="1473"/>
      <c r="O69" s="1473"/>
      <c r="P69" s="1473"/>
      <c r="Q69" s="1473"/>
      <c r="R69" s="1473"/>
      <c r="S69" s="1462"/>
      <c r="T69" s="1462"/>
      <c r="U69" s="1462"/>
      <c r="V69" s="1462"/>
      <c r="W69" s="1462"/>
      <c r="X69" s="1462"/>
      <c r="Y69" s="1462"/>
      <c r="Z69" s="1462"/>
      <c r="AA69" s="1462"/>
      <c r="AB69" s="1462"/>
      <c r="AC69" s="1462"/>
      <c r="AD69" s="1462"/>
      <c r="AE69" s="1462"/>
      <c r="AF69" s="1462"/>
      <c r="AG69" s="1462"/>
      <c r="AH69" s="1462"/>
      <c r="AI69" s="1462"/>
      <c r="AJ69" s="1462"/>
      <c r="AK69" s="1462"/>
      <c r="AL69" s="1462"/>
    </row>
    <row r="70" spans="1:38">
      <c r="A70" s="1473" t="s">
        <v>3525</v>
      </c>
      <c r="B70" s="1473"/>
      <c r="C70" s="1473"/>
      <c r="D70" s="1473"/>
      <c r="E70" s="1473"/>
      <c r="F70" s="1473"/>
      <c r="G70" s="1473"/>
      <c r="H70" s="1473"/>
      <c r="I70" s="1473"/>
      <c r="J70" s="1473"/>
      <c r="K70" s="1473"/>
      <c r="L70" s="1473"/>
      <c r="M70" s="1473"/>
      <c r="N70" s="1473"/>
      <c r="O70" s="1473"/>
      <c r="P70" s="1473"/>
      <c r="Q70" s="1473"/>
      <c r="R70" s="1473"/>
      <c r="S70" s="1462"/>
      <c r="T70" s="1462"/>
      <c r="U70" s="1473" t="s">
        <v>3628</v>
      </c>
      <c r="V70" s="1473"/>
      <c r="W70" s="1473"/>
      <c r="X70" s="1473"/>
      <c r="Y70" s="1473"/>
      <c r="Z70" s="1473"/>
      <c r="AA70" s="1473"/>
      <c r="AB70" s="1473"/>
      <c r="AC70" s="1473"/>
      <c r="AD70" s="1473"/>
      <c r="AE70" s="1473"/>
      <c r="AF70" s="1473"/>
      <c r="AG70" s="1473"/>
      <c r="AH70" s="1473"/>
      <c r="AI70" s="1473"/>
      <c r="AJ70" s="1473"/>
      <c r="AK70" s="1473"/>
      <c r="AL70" s="1473"/>
    </row>
    <row r="71" spans="1:38" outlineLevel="1">
      <c r="A71" s="2084" t="s">
        <v>3629</v>
      </c>
      <c r="B71" s="2085"/>
      <c r="C71" s="2086" t="s">
        <v>3630</v>
      </c>
      <c r="D71" s="2087"/>
      <c r="E71" s="2088" t="s">
        <v>3631</v>
      </c>
      <c r="F71" s="2089"/>
      <c r="G71" s="2089"/>
      <c r="H71" s="2090"/>
      <c r="I71" s="2086" t="s">
        <v>3632</v>
      </c>
      <c r="J71" s="2087"/>
      <c r="K71" s="1496" t="s">
        <v>3631</v>
      </c>
      <c r="L71" s="2086" t="s">
        <v>3633</v>
      </c>
      <c r="M71" s="2091"/>
      <c r="N71" s="2091"/>
      <c r="O71" s="2087"/>
      <c r="P71" s="2088" t="s">
        <v>3631</v>
      </c>
      <c r="Q71" s="2089"/>
      <c r="R71" s="2090"/>
      <c r="S71" s="1462"/>
      <c r="T71" s="1462"/>
      <c r="U71" s="1984" t="s">
        <v>3629</v>
      </c>
      <c r="V71" s="1986"/>
      <c r="W71" s="1984" t="s">
        <v>3630</v>
      </c>
      <c r="X71" s="1986"/>
      <c r="Y71" s="1984" t="s">
        <v>3631</v>
      </c>
      <c r="Z71" s="1985"/>
      <c r="AA71" s="1985"/>
      <c r="AB71" s="1986"/>
      <c r="AC71" s="1984" t="s">
        <v>3632</v>
      </c>
      <c r="AD71" s="1986"/>
      <c r="AE71" s="1507" t="s">
        <v>3631</v>
      </c>
      <c r="AF71" s="1984" t="s">
        <v>3633</v>
      </c>
      <c r="AG71" s="1985"/>
      <c r="AH71" s="1985"/>
      <c r="AI71" s="1986"/>
      <c r="AJ71" s="1984" t="s">
        <v>3631</v>
      </c>
      <c r="AK71" s="1985"/>
      <c r="AL71" s="1986"/>
    </row>
    <row r="72" spans="1:38" ht="15.75" outlineLevel="1">
      <c r="A72" s="2116" t="s">
        <v>3634</v>
      </c>
      <c r="B72" s="2117"/>
      <c r="C72" s="2073" t="s">
        <v>3635</v>
      </c>
      <c r="D72" s="2074"/>
      <c r="E72" s="2070" t="e">
        <v>#DIV/0!</v>
      </c>
      <c r="F72" s="2071"/>
      <c r="G72" s="2071"/>
      <c r="H72" s="2072"/>
      <c r="I72" s="2073" t="s">
        <v>3636</v>
      </c>
      <c r="J72" s="2074"/>
      <c r="K72" s="1492" t="e">
        <v>#DIV/0!</v>
      </c>
      <c r="L72" s="2073" t="s">
        <v>3637</v>
      </c>
      <c r="M72" s="2075"/>
      <c r="N72" s="2075"/>
      <c r="O72" s="2074"/>
      <c r="P72" s="2070" t="e">
        <v>#DIV/0!</v>
      </c>
      <c r="Q72" s="2071"/>
      <c r="R72" s="2072"/>
      <c r="S72" s="1462"/>
      <c r="T72" s="1462"/>
      <c r="U72" s="2095" t="s">
        <v>3634</v>
      </c>
      <c r="V72" s="2096"/>
      <c r="W72" s="2032" t="s">
        <v>3635</v>
      </c>
      <c r="X72" s="2034"/>
      <c r="Y72" s="2036" t="e">
        <v>#DIV/0!</v>
      </c>
      <c r="Z72" s="2037"/>
      <c r="AA72" s="2037"/>
      <c r="AB72" s="2038"/>
      <c r="AC72" s="2032" t="s">
        <v>3636</v>
      </c>
      <c r="AD72" s="2034"/>
      <c r="AE72" s="1517" t="e">
        <v>#DIV/0!</v>
      </c>
      <c r="AF72" s="2032" t="s">
        <v>3637</v>
      </c>
      <c r="AG72" s="2033"/>
      <c r="AH72" s="2033"/>
      <c r="AI72" s="2034"/>
      <c r="AJ72" s="2036" t="e">
        <v>#DIV/0!</v>
      </c>
      <c r="AK72" s="2037"/>
      <c r="AL72" s="2038"/>
    </row>
    <row r="73" spans="1:38" ht="15.75" outlineLevel="1">
      <c r="A73" s="2116" t="s">
        <v>3638</v>
      </c>
      <c r="B73" s="2117"/>
      <c r="C73" s="2073" t="s">
        <v>3635</v>
      </c>
      <c r="D73" s="2074"/>
      <c r="E73" s="2070" t="e">
        <v>#DIV/0!</v>
      </c>
      <c r="F73" s="2071"/>
      <c r="G73" s="2071"/>
      <c r="H73" s="2072"/>
      <c r="I73" s="2073" t="s">
        <v>3636</v>
      </c>
      <c r="J73" s="2074"/>
      <c r="K73" s="1492" t="e">
        <v>#DIV/0!</v>
      </c>
      <c r="L73" s="2073" t="s">
        <v>3639</v>
      </c>
      <c r="M73" s="2075"/>
      <c r="N73" s="2075"/>
      <c r="O73" s="2074"/>
      <c r="P73" s="2070" t="e">
        <v>#DIV/0!</v>
      </c>
      <c r="Q73" s="2071"/>
      <c r="R73" s="2072"/>
      <c r="S73" s="1462"/>
      <c r="T73" s="1462"/>
      <c r="U73" s="2095" t="s">
        <v>3638</v>
      </c>
      <c r="V73" s="2096"/>
      <c r="W73" s="2032" t="s">
        <v>3635</v>
      </c>
      <c r="X73" s="2034"/>
      <c r="Y73" s="2036" t="e">
        <v>#DIV/0!</v>
      </c>
      <c r="Z73" s="2037"/>
      <c r="AA73" s="2037"/>
      <c r="AB73" s="2038"/>
      <c r="AC73" s="2032" t="s">
        <v>3636</v>
      </c>
      <c r="AD73" s="2034"/>
      <c r="AE73" s="1517" t="e">
        <v>#DIV/0!</v>
      </c>
      <c r="AF73" s="2032" t="s">
        <v>3639</v>
      </c>
      <c r="AG73" s="2033"/>
      <c r="AH73" s="2033"/>
      <c r="AI73" s="2034"/>
      <c r="AJ73" s="2036" t="e">
        <v>#DIV/0!</v>
      </c>
      <c r="AK73" s="2037"/>
      <c r="AL73" s="2038"/>
    </row>
    <row r="74" spans="1:38" ht="15.75" outlineLevel="1">
      <c r="A74" s="2116" t="s">
        <v>3640</v>
      </c>
      <c r="B74" s="2117"/>
      <c r="C74" s="2073" t="s">
        <v>3588</v>
      </c>
      <c r="D74" s="2074"/>
      <c r="E74" s="2070" t="e">
        <v>#DIV/0!</v>
      </c>
      <c r="F74" s="2071"/>
      <c r="G74" s="2071"/>
      <c r="H74" s="2072"/>
      <c r="I74" s="2073" t="s">
        <v>3641</v>
      </c>
      <c r="J74" s="2074"/>
      <c r="K74" s="1492" t="e">
        <v>#DIV/0!</v>
      </c>
      <c r="L74" s="2073" t="s">
        <v>3639</v>
      </c>
      <c r="M74" s="2075"/>
      <c r="N74" s="2075"/>
      <c r="O74" s="2074"/>
      <c r="P74" s="2070" t="e">
        <v>#DIV/0!</v>
      </c>
      <c r="Q74" s="2071"/>
      <c r="R74" s="2072"/>
      <c r="S74" s="1462"/>
      <c r="T74" s="1462"/>
      <c r="U74" s="2095" t="s">
        <v>3640</v>
      </c>
      <c r="V74" s="2096"/>
      <c r="W74" s="2032" t="s">
        <v>3588</v>
      </c>
      <c r="X74" s="2034"/>
      <c r="Y74" s="2036" t="e">
        <v>#DIV/0!</v>
      </c>
      <c r="Z74" s="2037"/>
      <c r="AA74" s="2037"/>
      <c r="AB74" s="2038"/>
      <c r="AC74" s="2032" t="s">
        <v>3641</v>
      </c>
      <c r="AD74" s="2034"/>
      <c r="AE74" s="1517" t="e">
        <v>#DIV/0!</v>
      </c>
      <c r="AF74" s="2032" t="s">
        <v>3639</v>
      </c>
      <c r="AG74" s="2033"/>
      <c r="AH74" s="2033"/>
      <c r="AI74" s="2034"/>
      <c r="AJ74" s="2036" t="e">
        <v>#DIV/0!</v>
      </c>
      <c r="AK74" s="2037"/>
      <c r="AL74" s="2038"/>
    </row>
    <row r="75" spans="1:38" ht="15.75" outlineLevel="1">
      <c r="A75" s="2116" t="s">
        <v>3642</v>
      </c>
      <c r="B75" s="2117"/>
      <c r="C75" s="2073" t="s">
        <v>3643</v>
      </c>
      <c r="D75" s="2074"/>
      <c r="E75" s="2070" t="e">
        <v>#DIV/0!</v>
      </c>
      <c r="F75" s="2071"/>
      <c r="G75" s="2071"/>
      <c r="H75" s="2072"/>
      <c r="I75" s="2073" t="s">
        <v>3644</v>
      </c>
      <c r="J75" s="2074"/>
      <c r="K75" s="1492" t="e">
        <v>#DIV/0!</v>
      </c>
      <c r="L75" s="2073" t="s">
        <v>3637</v>
      </c>
      <c r="M75" s="2075"/>
      <c r="N75" s="2075"/>
      <c r="O75" s="2074"/>
      <c r="P75" s="2070" t="e">
        <v>#DIV/0!</v>
      </c>
      <c r="Q75" s="2071"/>
      <c r="R75" s="2072"/>
      <c r="S75" s="1462"/>
      <c r="T75" s="1462"/>
      <c r="U75" s="2095" t="s">
        <v>3642</v>
      </c>
      <c r="V75" s="2096"/>
      <c r="W75" s="2032" t="s">
        <v>3643</v>
      </c>
      <c r="X75" s="2034"/>
      <c r="Y75" s="2036" t="e">
        <v>#DIV/0!</v>
      </c>
      <c r="Z75" s="2037"/>
      <c r="AA75" s="2037"/>
      <c r="AB75" s="2038"/>
      <c r="AC75" s="2032" t="s">
        <v>3644</v>
      </c>
      <c r="AD75" s="2034"/>
      <c r="AE75" s="1517" t="e">
        <v>#DIV/0!</v>
      </c>
      <c r="AF75" s="2032" t="s">
        <v>3637</v>
      </c>
      <c r="AG75" s="2033"/>
      <c r="AH75" s="2033"/>
      <c r="AI75" s="2034"/>
      <c r="AJ75" s="2036" t="e">
        <v>#DIV/0!</v>
      </c>
      <c r="AK75" s="2037"/>
      <c r="AL75" s="2038"/>
    </row>
  </sheetData>
  <protectedRanges>
    <protectedRange sqref="A18:B30 C30 C18:C28 D18:G30 X18:Y30 Z30 Z18:Z28 AA18:AD30 AM18:AN30 AO30 AO18:AO28 AP18:AS30" name="区域4"/>
    <protectedRange sqref="H18:J30 AE18:AG30 AT18:AV30" name="区域4_1"/>
  </protectedRanges>
  <mergeCells count="241">
    <mergeCell ref="AC75:AD75"/>
    <mergeCell ref="AF75:AI75"/>
    <mergeCell ref="AJ75:AL75"/>
    <mergeCell ref="AC74:AD74"/>
    <mergeCell ref="AF74:AI74"/>
    <mergeCell ref="AJ74:AL74"/>
    <mergeCell ref="BF38:BI38"/>
    <mergeCell ref="AR39:AS39"/>
    <mergeCell ref="AT39:AU39"/>
    <mergeCell ref="AV39:AW39"/>
    <mergeCell ref="AX39:AZ39"/>
    <mergeCell ref="BA39:BB39"/>
    <mergeCell ref="BC39:BE39"/>
    <mergeCell ref="BF39:BI39"/>
    <mergeCell ref="AR38:AS38"/>
    <mergeCell ref="AT38:AU38"/>
    <mergeCell ref="BC38:BE38"/>
    <mergeCell ref="AV38:AW38"/>
    <mergeCell ref="AX38:AZ38"/>
    <mergeCell ref="BA38:BB38"/>
    <mergeCell ref="Y50:AC50"/>
    <mergeCell ref="AD50:AI50"/>
    <mergeCell ref="AC73:AD73"/>
    <mergeCell ref="AJ73:AL73"/>
    <mergeCell ref="P74:R74"/>
    <mergeCell ref="U74:V74"/>
    <mergeCell ref="W74:X74"/>
    <mergeCell ref="Y74:AB74"/>
    <mergeCell ref="W73:X73"/>
    <mergeCell ref="A75:B75"/>
    <mergeCell ref="C75:D75"/>
    <mergeCell ref="E75:H75"/>
    <mergeCell ref="I75:J75"/>
    <mergeCell ref="P75:R75"/>
    <mergeCell ref="U75:V75"/>
    <mergeCell ref="W75:X75"/>
    <mergeCell ref="Y75:AB75"/>
    <mergeCell ref="L75:O75"/>
    <mergeCell ref="A74:B74"/>
    <mergeCell ref="C74:D74"/>
    <mergeCell ref="E74:H74"/>
    <mergeCell ref="Y73:AB73"/>
    <mergeCell ref="A71:B71"/>
    <mergeCell ref="C71:D71"/>
    <mergeCell ref="E71:H71"/>
    <mergeCell ref="I71:J71"/>
    <mergeCell ref="L71:O71"/>
    <mergeCell ref="I74:J74"/>
    <mergeCell ref="L74:O74"/>
    <mergeCell ref="B54:B67"/>
    <mergeCell ref="U73:V73"/>
    <mergeCell ref="U72:V72"/>
    <mergeCell ref="U71:V71"/>
    <mergeCell ref="P71:R71"/>
    <mergeCell ref="C54:F67"/>
    <mergeCell ref="K54:N67"/>
    <mergeCell ref="H54:J67"/>
    <mergeCell ref="P72:R72"/>
    <mergeCell ref="A73:B73"/>
    <mergeCell ref="C73:D73"/>
    <mergeCell ref="E73:H73"/>
    <mergeCell ref="I73:J73"/>
    <mergeCell ref="L73:O73"/>
    <mergeCell ref="P73:R73"/>
    <mergeCell ref="A72:B72"/>
    <mergeCell ref="C72:D72"/>
    <mergeCell ref="E72:H72"/>
    <mergeCell ref="I72:J72"/>
    <mergeCell ref="L72:O72"/>
    <mergeCell ref="A44:C44"/>
    <mergeCell ref="O27:R28"/>
    <mergeCell ref="K28:N28"/>
    <mergeCell ref="K27:N27"/>
    <mergeCell ref="O38:R38"/>
    <mergeCell ref="O39:R39"/>
    <mergeCell ref="C38:D38"/>
    <mergeCell ref="E38:F38"/>
    <mergeCell ref="G38:I38"/>
    <mergeCell ref="J38:K38"/>
    <mergeCell ref="L38:N38"/>
    <mergeCell ref="H48:I48"/>
    <mergeCell ref="J48:K48"/>
    <mergeCell ref="L48:O48"/>
    <mergeCell ref="J47:K47"/>
    <mergeCell ref="L47:O47"/>
    <mergeCell ref="C53:F53"/>
    <mergeCell ref="K53:N53"/>
    <mergeCell ref="P48:R48"/>
    <mergeCell ref="A49:D49"/>
    <mergeCell ref="E49:I49"/>
    <mergeCell ref="A38:B38"/>
    <mergeCell ref="A39:B39"/>
    <mergeCell ref="O18:R18"/>
    <mergeCell ref="O19:R23"/>
    <mergeCell ref="O24:R26"/>
    <mergeCell ref="A18:A30"/>
    <mergeCell ref="C18:C19"/>
    <mergeCell ref="K18:N18"/>
    <mergeCell ref="K21:N21"/>
    <mergeCell ref="C39:D39"/>
    <mergeCell ref="E39:F39"/>
    <mergeCell ref="G39:I39"/>
    <mergeCell ref="J39:K39"/>
    <mergeCell ref="L39:N39"/>
    <mergeCell ref="B18:B30"/>
    <mergeCell ref="O17:R17"/>
    <mergeCell ref="D15:R15"/>
    <mergeCell ref="D17:G17"/>
    <mergeCell ref="H17:J17"/>
    <mergeCell ref="K17:N17"/>
    <mergeCell ref="K19:N19"/>
    <mergeCell ref="K26:N26"/>
    <mergeCell ref="P50:R50"/>
    <mergeCell ref="A50:D50"/>
    <mergeCell ref="E50:I50"/>
    <mergeCell ref="J50:O50"/>
    <mergeCell ref="A47:B47"/>
    <mergeCell ref="C47:D47"/>
    <mergeCell ref="E47:G47"/>
    <mergeCell ref="H47:I47"/>
    <mergeCell ref="A48:B48"/>
    <mergeCell ref="C48:D48"/>
    <mergeCell ref="E48:G48"/>
    <mergeCell ref="C20:C25"/>
    <mergeCell ref="K20:N20"/>
    <mergeCell ref="K22:N22"/>
    <mergeCell ref="K23:N23"/>
    <mergeCell ref="K24:N24"/>
    <mergeCell ref="K25:N25"/>
    <mergeCell ref="AJ72:AL72"/>
    <mergeCell ref="AJ71:AL71"/>
    <mergeCell ref="AJ48:AL48"/>
    <mergeCell ref="AJ49:AL49"/>
    <mergeCell ref="AJ50:AL50"/>
    <mergeCell ref="AJ47:AL47"/>
    <mergeCell ref="W48:X48"/>
    <mergeCell ref="Y48:AA48"/>
    <mergeCell ref="AB48:AC48"/>
    <mergeCell ref="AD48:AE48"/>
    <mergeCell ref="AF48:AI48"/>
    <mergeCell ref="W72:X72"/>
    <mergeCell ref="Y72:AB72"/>
    <mergeCell ref="AC72:AD72"/>
    <mergeCell ref="W71:X71"/>
    <mergeCell ref="Y71:AB71"/>
    <mergeCell ref="AC71:AD71"/>
    <mergeCell ref="AF73:AI73"/>
    <mergeCell ref="AF72:AI72"/>
    <mergeCell ref="AF71:AI71"/>
    <mergeCell ref="W47:X47"/>
    <mergeCell ref="Y47:AA47"/>
    <mergeCell ref="AB47:AC47"/>
    <mergeCell ref="AD47:AE47"/>
    <mergeCell ref="AF47:AI47"/>
    <mergeCell ref="U49:X49"/>
    <mergeCell ref="Y49:AC49"/>
    <mergeCell ref="AD49:AI49"/>
    <mergeCell ref="U50:X50"/>
    <mergeCell ref="U48:V48"/>
    <mergeCell ref="AL38:AO38"/>
    <mergeCell ref="X39:Y39"/>
    <mergeCell ref="Z39:AA39"/>
    <mergeCell ref="AB39:AC39"/>
    <mergeCell ref="AD39:AF39"/>
    <mergeCell ref="AG39:AH39"/>
    <mergeCell ref="AI39:AK39"/>
    <mergeCell ref="AL39:AO39"/>
    <mergeCell ref="X38:Y38"/>
    <mergeCell ref="Z38:AA38"/>
    <mergeCell ref="AW18:AZ18"/>
    <mergeCell ref="AW19:AZ19"/>
    <mergeCell ref="AO20:AO25"/>
    <mergeCell ref="AW20:AZ20"/>
    <mergeCell ref="AW24:AZ24"/>
    <mergeCell ref="AW25:AZ25"/>
    <mergeCell ref="A3:C3"/>
    <mergeCell ref="AG38:AH38"/>
    <mergeCell ref="AI38:AK38"/>
    <mergeCell ref="AW27:AZ27"/>
    <mergeCell ref="AO28:AO30"/>
    <mergeCell ref="AW28:AZ28"/>
    <mergeCell ref="AW29:AZ29"/>
    <mergeCell ref="AW30:AZ30"/>
    <mergeCell ref="AW26:AZ26"/>
    <mergeCell ref="AM18:AM30"/>
    <mergeCell ref="Z20:Z25"/>
    <mergeCell ref="AH20:AK20"/>
    <mergeCell ref="AH21:AK21"/>
    <mergeCell ref="AH22:AK22"/>
    <mergeCell ref="AH23:AK23"/>
    <mergeCell ref="AH24:AK24"/>
    <mergeCell ref="AH25:AK25"/>
    <mergeCell ref="AB38:AC38"/>
    <mergeCell ref="BA24:BD26"/>
    <mergeCell ref="BA27:BD28"/>
    <mergeCell ref="C5:C13"/>
    <mergeCell ref="AA17:AD17"/>
    <mergeCell ref="AE17:AG17"/>
    <mergeCell ref="AH17:AK17"/>
    <mergeCell ref="X18:X30"/>
    <mergeCell ref="Y18:Y30"/>
    <mergeCell ref="S19:S23"/>
    <mergeCell ref="T19:T23"/>
    <mergeCell ref="AP17:AS17"/>
    <mergeCell ref="AT17:AV17"/>
    <mergeCell ref="AW17:AZ17"/>
    <mergeCell ref="BA17:BD17"/>
    <mergeCell ref="BA18:BD18"/>
    <mergeCell ref="BA19:BD23"/>
    <mergeCell ref="Z18:Z19"/>
    <mergeCell ref="AH18:AK18"/>
    <mergeCell ref="AH19:AK19"/>
    <mergeCell ref="AW21:AZ21"/>
    <mergeCell ref="AW22:AZ22"/>
    <mergeCell ref="AW23:AZ23"/>
    <mergeCell ref="AN18:AN30"/>
    <mergeCell ref="AO18:AO19"/>
    <mergeCell ref="J49:O49"/>
    <mergeCell ref="P49:R49"/>
    <mergeCell ref="U19:U23"/>
    <mergeCell ref="S24:S26"/>
    <mergeCell ref="T24:T26"/>
    <mergeCell ref="U24:U26"/>
    <mergeCell ref="S27:S28"/>
    <mergeCell ref="T27:T28"/>
    <mergeCell ref="U27:U28"/>
    <mergeCell ref="P47:R47"/>
    <mergeCell ref="A46:R46"/>
    <mergeCell ref="U46:AL46"/>
    <mergeCell ref="U47:V47"/>
    <mergeCell ref="C28:C30"/>
    <mergeCell ref="D36:R36"/>
    <mergeCell ref="K29:N29"/>
    <mergeCell ref="K30:N30"/>
    <mergeCell ref="AD38:AF38"/>
    <mergeCell ref="AH26:AK26"/>
    <mergeCell ref="AH27:AK27"/>
    <mergeCell ref="Z28:Z30"/>
    <mergeCell ref="AH28:AK28"/>
    <mergeCell ref="AH29:AK29"/>
    <mergeCell ref="AH30:AK30"/>
  </mergeCells>
  <phoneticPr fontId="5" type="noConversion"/>
  <conditionalFormatting sqref="K18:N30">
    <cfRule type="cellIs" dxfId="212" priority="7" stopIfTrue="1" operator="equal">
      <formula>"/"</formula>
    </cfRule>
    <cfRule type="cellIs" dxfId="211" priority="8" stopIfTrue="1" operator="greaterThan">
      <formula>$C$40</formula>
    </cfRule>
    <cfRule type="cellIs" dxfId="210" priority="9" stopIfTrue="1" operator="lessThan">
      <formula>-$C$40</formula>
    </cfRule>
  </conditionalFormatting>
  <conditionalFormatting sqref="AH18:AK30">
    <cfRule type="cellIs" dxfId="209" priority="4" stopIfTrue="1" operator="equal">
      <formula>"/"</formula>
    </cfRule>
    <cfRule type="cellIs" dxfId="208" priority="5" stopIfTrue="1" operator="greaterThan">
      <formula>$C$40</formula>
    </cfRule>
    <cfRule type="cellIs" dxfId="207" priority="6" stopIfTrue="1" operator="lessThan">
      <formula>-$C$40</formula>
    </cfRule>
  </conditionalFormatting>
  <conditionalFormatting sqref="AW18:AZ30">
    <cfRule type="cellIs" dxfId="206" priority="1" stopIfTrue="1" operator="equal">
      <formula>"/"</formula>
    </cfRule>
    <cfRule type="cellIs" dxfId="205" priority="2" stopIfTrue="1" operator="greaterThan">
      <formula>$C$40</formula>
    </cfRule>
    <cfRule type="cellIs" dxfId="204" priority="3" stopIfTrue="1" operator="lessThan">
      <formula>-$C$40</formula>
    </cfRule>
  </conditionalFormatting>
  <pageMargins left="0.75" right="0.75" top="1" bottom="1" header="0.5" footer="0.5"/>
  <drawing r:id="rId1"/>
  <legacyDrawing r:id="rId2"/>
</worksheet>
</file>

<file path=xl/worksheets/sheet10.xml><?xml version="1.0" encoding="utf-8"?>
<worksheet xmlns="http://schemas.openxmlformats.org/spreadsheetml/2006/main" xmlns:r="http://schemas.openxmlformats.org/officeDocument/2006/relationships">
  <dimension ref="A1:AA138"/>
  <sheetViews>
    <sheetView topLeftCell="A7" workbookViewId="0">
      <selection activeCell="C2" sqref="C2"/>
    </sheetView>
  </sheetViews>
  <sheetFormatPr defaultColWidth="9" defaultRowHeight="14.25"/>
  <cols>
    <col min="3" max="3" width="14.5" customWidth="1"/>
    <col min="4" max="4" width="11.625" bestFit="1" customWidth="1"/>
    <col min="5" max="5" width="13.875" customWidth="1"/>
    <col min="7" max="7" width="11.625" bestFit="1" customWidth="1"/>
    <col min="11" max="11" width="11.625" bestFit="1" customWidth="1"/>
  </cols>
  <sheetData>
    <row r="1" spans="1:27" ht="18" customHeight="1">
      <c r="A1" s="454" t="s">
        <v>995</v>
      </c>
      <c r="B1" s="455" t="s">
        <v>996</v>
      </c>
      <c r="C1" s="455" t="s">
        <v>997</v>
      </c>
      <c r="D1" s="456"/>
      <c r="E1" s="2118"/>
      <c r="F1" s="2118"/>
      <c r="G1" s="2118"/>
      <c r="H1" s="2118"/>
      <c r="I1" s="315"/>
      <c r="J1" s="315"/>
      <c r="K1" s="315"/>
      <c r="L1" s="457"/>
      <c r="M1" s="457"/>
      <c r="N1" s="457"/>
      <c r="O1" s="457"/>
      <c r="P1" s="457"/>
      <c r="Q1" s="457"/>
      <c r="R1" s="457"/>
      <c r="S1" s="457"/>
      <c r="T1" s="457"/>
      <c r="U1" s="457"/>
      <c r="V1" s="457"/>
      <c r="W1" s="457"/>
      <c r="X1" s="457"/>
      <c r="Y1" s="457"/>
      <c r="Z1" s="457"/>
      <c r="AA1" s="457"/>
    </row>
    <row r="2" spans="1:27">
      <c r="A2" s="165"/>
      <c r="B2" s="398" t="s">
        <v>998</v>
      </c>
      <c r="C2" s="567" t="s">
        <v>1494</v>
      </c>
      <c r="D2" s="398"/>
      <c r="E2" s="458" t="s">
        <v>999</v>
      </c>
      <c r="F2" s="398"/>
      <c r="G2" s="398"/>
      <c r="H2" s="398"/>
      <c r="I2" s="398"/>
      <c r="J2" s="398"/>
      <c r="K2" s="411"/>
    </row>
    <row r="3" spans="1:27">
      <c r="A3" s="340"/>
      <c r="B3" s="459" t="s">
        <v>1000</v>
      </c>
      <c r="C3" s="337"/>
      <c r="D3" s="337" t="s">
        <v>1001</v>
      </c>
      <c r="E3" s="337"/>
      <c r="F3" s="337"/>
      <c r="G3" s="337"/>
      <c r="H3" s="337"/>
      <c r="I3" s="337"/>
      <c r="J3" s="337"/>
      <c r="K3" s="460"/>
      <c r="L3" s="13"/>
      <c r="M3" s="13"/>
      <c r="N3" s="13"/>
      <c r="O3" s="13"/>
      <c r="P3" s="13"/>
      <c r="Q3" s="13"/>
      <c r="R3" s="13"/>
      <c r="S3" s="13"/>
      <c r="T3" s="13"/>
      <c r="U3" s="13"/>
      <c r="V3" s="13"/>
      <c r="W3" s="13"/>
      <c r="X3" s="13"/>
      <c r="Y3" s="13"/>
      <c r="Z3" s="13"/>
      <c r="AA3" s="13"/>
    </row>
    <row r="4" spans="1:27" ht="24">
      <c r="A4" s="340"/>
      <c r="B4" s="347" t="s">
        <v>1002</v>
      </c>
      <c r="C4" s="347" t="s">
        <v>1003</v>
      </c>
      <c r="D4" s="347" t="s">
        <v>1004</v>
      </c>
      <c r="E4" s="347" t="s">
        <v>1569</v>
      </c>
      <c r="F4" s="448" t="s">
        <v>1006</v>
      </c>
      <c r="G4" s="480" t="s">
        <v>1081</v>
      </c>
      <c r="H4" s="417"/>
      <c r="I4" s="418"/>
      <c r="J4" s="418"/>
      <c r="K4" s="417"/>
      <c r="L4" s="13"/>
      <c r="M4" s="13"/>
      <c r="N4" s="13"/>
      <c r="O4" s="13"/>
      <c r="P4" s="13"/>
      <c r="Q4" s="13"/>
      <c r="R4" s="13"/>
      <c r="S4" s="13"/>
      <c r="T4" s="13"/>
      <c r="U4" s="13"/>
      <c r="V4" s="13"/>
      <c r="W4" s="13"/>
      <c r="X4" s="13"/>
      <c r="Y4" s="13"/>
      <c r="Z4" s="13"/>
      <c r="AA4" s="13"/>
    </row>
    <row r="5" spans="1:27" ht="15">
      <c r="A5" s="340"/>
      <c r="B5" s="349">
        <v>0.99447300000000005</v>
      </c>
      <c r="C5" s="349">
        <v>0.99545300000000003</v>
      </c>
      <c r="D5" s="349">
        <v>0.99447300000000005</v>
      </c>
      <c r="E5" s="349">
        <v>0.99545300000000003</v>
      </c>
      <c r="F5" s="450">
        <v>0.99447300000000005</v>
      </c>
      <c r="G5" s="451"/>
      <c r="H5" s="417"/>
      <c r="I5" s="417"/>
      <c r="J5" s="417"/>
      <c r="K5" s="417"/>
      <c r="L5" s="13"/>
      <c r="M5" s="13"/>
      <c r="N5" s="13"/>
      <c r="O5" s="13"/>
      <c r="P5" s="13"/>
      <c r="Q5" s="13"/>
      <c r="R5" s="13"/>
      <c r="S5" s="13"/>
      <c r="T5" s="13"/>
      <c r="U5" s="13"/>
      <c r="V5" s="13"/>
      <c r="W5" s="13"/>
      <c r="X5" s="13"/>
      <c r="Y5" s="13"/>
      <c r="Z5" s="13"/>
      <c r="AA5" s="13"/>
    </row>
    <row r="6" spans="1:27" ht="15">
      <c r="A6" s="340"/>
      <c r="B6" s="349">
        <v>0.99447300000000005</v>
      </c>
      <c r="C6" s="349">
        <v>0.99545300000000003</v>
      </c>
      <c r="D6" s="349">
        <v>0.99447300000000005</v>
      </c>
      <c r="E6" s="349">
        <v>0.99545300000000003</v>
      </c>
      <c r="F6" s="450">
        <v>0.99447300000000005</v>
      </c>
      <c r="G6" s="451"/>
      <c r="H6" s="417"/>
      <c r="I6" s="417"/>
      <c r="J6" s="417"/>
      <c r="K6" s="417"/>
      <c r="L6" s="13"/>
      <c r="M6" s="13"/>
      <c r="N6" s="13"/>
      <c r="O6" s="13"/>
      <c r="P6" s="13"/>
      <c r="Q6" s="13"/>
      <c r="R6" s="13"/>
      <c r="S6" s="13"/>
      <c r="T6" s="13"/>
      <c r="U6" s="13"/>
      <c r="V6" s="13"/>
      <c r="W6" s="13"/>
      <c r="X6" s="13"/>
      <c r="Y6" s="13"/>
      <c r="Z6" s="13"/>
      <c r="AA6" s="13"/>
    </row>
    <row r="7" spans="1:27" ht="18.75">
      <c r="A7" s="340"/>
      <c r="B7" s="394" t="s">
        <v>1570</v>
      </c>
      <c r="C7" s="408">
        <f>STDEV(C5:K5)</f>
        <v>5.6580326380582216E-4</v>
      </c>
      <c r="D7" s="409"/>
      <c r="E7" s="409"/>
      <c r="F7" s="409"/>
      <c r="G7" s="461"/>
      <c r="H7" s="421"/>
      <c r="I7" s="421"/>
      <c r="J7" s="421"/>
      <c r="K7" s="462"/>
      <c r="L7" s="13"/>
      <c r="M7" s="13"/>
      <c r="N7" s="13"/>
      <c r="O7" s="13"/>
      <c r="P7" s="13"/>
      <c r="Q7" s="13"/>
      <c r="R7" s="13"/>
      <c r="S7" s="13"/>
      <c r="T7" s="13"/>
      <c r="U7" s="13"/>
      <c r="V7" s="13"/>
      <c r="W7" s="13"/>
      <c r="X7" s="13"/>
      <c r="Y7" s="13"/>
      <c r="Z7" s="13"/>
      <c r="AA7" s="13"/>
    </row>
    <row r="8" spans="1:27">
      <c r="A8" s="340"/>
      <c r="B8" s="463"/>
      <c r="C8" s="463"/>
      <c r="D8" s="463"/>
      <c r="E8" s="463"/>
      <c r="F8" s="463"/>
      <c r="G8" s="463"/>
      <c r="H8" s="463"/>
      <c r="I8" s="463"/>
      <c r="J8" s="463"/>
      <c r="K8" s="464"/>
      <c r="L8" s="13"/>
      <c r="M8" s="13"/>
      <c r="N8" s="13"/>
      <c r="O8" s="13"/>
      <c r="P8" s="13"/>
      <c r="Q8" s="13"/>
      <c r="R8" s="13"/>
      <c r="S8" s="13"/>
      <c r="T8" s="13"/>
      <c r="U8" s="13"/>
      <c r="V8" s="13"/>
      <c r="W8" s="13"/>
      <c r="X8" s="13"/>
      <c r="Y8" s="13"/>
      <c r="Z8" s="13"/>
      <c r="AA8" s="13"/>
    </row>
    <row r="9" spans="1:27" ht="15.75" customHeight="1">
      <c r="A9" s="465" t="s">
        <v>1007</v>
      </c>
      <c r="B9" s="466" t="s">
        <v>1008</v>
      </c>
      <c r="C9" s="28"/>
      <c r="D9" s="28"/>
      <c r="E9" s="28"/>
      <c r="F9" s="28"/>
      <c r="G9" s="28"/>
      <c r="H9" s="28"/>
      <c r="I9" s="28"/>
      <c r="J9" s="28"/>
      <c r="K9" s="410"/>
      <c r="V9" s="13"/>
      <c r="W9" s="13"/>
      <c r="X9" s="13"/>
      <c r="Y9" s="13"/>
      <c r="Z9" s="13"/>
      <c r="AA9" s="13"/>
    </row>
    <row r="10" spans="1:27" ht="15.75" customHeight="1">
      <c r="A10" s="465"/>
      <c r="B10" s="467" t="s">
        <v>1009</v>
      </c>
      <c r="C10" s="467" t="s">
        <v>1010</v>
      </c>
      <c r="D10" s="467" t="s">
        <v>1011</v>
      </c>
      <c r="E10" s="467" t="s">
        <v>1012</v>
      </c>
      <c r="F10" s="467" t="s">
        <v>1013</v>
      </c>
      <c r="G10" s="467" t="s">
        <v>1014</v>
      </c>
      <c r="H10" s="28"/>
      <c r="I10" s="28"/>
      <c r="J10" s="28"/>
      <c r="K10" s="410"/>
      <c r="V10" s="13"/>
      <c r="W10" s="13"/>
      <c r="X10" s="13"/>
      <c r="Y10" s="13"/>
      <c r="Z10" s="13"/>
      <c r="AA10" s="13"/>
    </row>
    <row r="11" spans="1:27" ht="36" customHeight="1">
      <c r="A11" s="465"/>
      <c r="B11" s="7">
        <v>1</v>
      </c>
      <c r="C11" s="568" t="s">
        <v>1496</v>
      </c>
      <c r="D11" s="469">
        <v>2E-3</v>
      </c>
      <c r="E11" s="467" t="s">
        <v>1015</v>
      </c>
      <c r="F11" s="6">
        <v>3</v>
      </c>
      <c r="G11" s="443">
        <f>D11/F11</f>
        <v>6.6666666666666664E-4</v>
      </c>
      <c r="H11" s="28"/>
      <c r="I11" s="28"/>
      <c r="J11" s="28"/>
      <c r="K11" s="410"/>
      <c r="V11" s="13"/>
      <c r="W11" s="13"/>
      <c r="X11" s="13"/>
      <c r="Y11" s="13"/>
      <c r="Z11" s="13"/>
      <c r="AA11" s="13"/>
    </row>
    <row r="12" spans="1:27" ht="48" customHeight="1">
      <c r="A12" s="465"/>
      <c r="B12" s="7">
        <v>2</v>
      </c>
      <c r="C12" s="468" t="s">
        <v>1016</v>
      </c>
      <c r="D12" s="442">
        <v>2.0000000000000001E-4</v>
      </c>
      <c r="E12" s="467" t="s">
        <v>1017</v>
      </c>
      <c r="F12" s="6">
        <v>2</v>
      </c>
      <c r="G12" s="443">
        <f>D12/F12</f>
        <v>1E-4</v>
      </c>
      <c r="H12" s="28"/>
      <c r="I12" s="28"/>
      <c r="J12" s="28"/>
      <c r="K12" s="410"/>
      <c r="V12" s="13"/>
      <c r="W12" s="13"/>
      <c r="X12" s="13"/>
      <c r="Y12" s="13"/>
      <c r="Z12" s="13"/>
      <c r="AA12" s="13"/>
    </row>
    <row r="13" spans="1:27" ht="33.75" customHeight="1">
      <c r="A13" s="465"/>
      <c r="B13" s="7">
        <v>3</v>
      </c>
      <c r="C13" s="565" t="s">
        <v>1495</v>
      </c>
      <c r="D13" s="442">
        <v>5.0000000000000001E-4</v>
      </c>
      <c r="E13" s="467" t="s">
        <v>1018</v>
      </c>
      <c r="F13" s="6"/>
      <c r="G13" s="443">
        <f>D13/SQRT(3)</f>
        <v>2.886751345948129E-4</v>
      </c>
      <c r="H13" s="28"/>
      <c r="I13" s="28"/>
      <c r="J13" s="28"/>
      <c r="K13" s="410"/>
      <c r="V13" s="13"/>
      <c r="W13" s="13"/>
      <c r="X13" s="13"/>
      <c r="Y13" s="13"/>
      <c r="Z13" s="13"/>
      <c r="AA13" s="13"/>
    </row>
    <row r="14" spans="1:27" ht="15.75" customHeight="1">
      <c r="A14" s="465"/>
      <c r="B14" s="578" t="s">
        <v>1571</v>
      </c>
      <c r="C14" s="1970"/>
      <c r="D14" s="1970"/>
      <c r="E14" s="1970"/>
      <c r="F14" s="1970"/>
      <c r="G14" s="1832"/>
      <c r="H14" s="28"/>
      <c r="I14" s="28"/>
      <c r="J14" s="28"/>
      <c r="K14" s="410"/>
      <c r="V14" s="13"/>
      <c r="W14" s="13"/>
      <c r="X14" s="13"/>
      <c r="Y14" s="13"/>
      <c r="Z14" s="13"/>
      <c r="AA14" s="13"/>
    </row>
    <row r="15" spans="1:27">
      <c r="A15" s="340"/>
      <c r="B15" s="470" t="s">
        <v>1020</v>
      </c>
      <c r="C15" s="28"/>
      <c r="D15" s="28"/>
      <c r="E15" s="28"/>
      <c r="F15" s="28"/>
      <c r="G15" s="28"/>
      <c r="H15" s="28"/>
      <c r="I15" s="28"/>
      <c r="J15" s="28"/>
      <c r="K15" s="410"/>
      <c r="V15" s="13"/>
      <c r="W15" s="13"/>
      <c r="X15" s="13"/>
      <c r="Y15" s="13"/>
      <c r="Z15" s="13"/>
      <c r="AA15" s="13"/>
    </row>
    <row r="16" spans="1:27" ht="18.75" customHeight="1">
      <c r="A16" s="340"/>
      <c r="B16" s="471" t="s">
        <v>1021</v>
      </c>
      <c r="C16" s="470"/>
      <c r="D16" s="28"/>
      <c r="E16" s="28"/>
      <c r="F16" s="28"/>
      <c r="G16" s="28"/>
      <c r="H16" s="28"/>
      <c r="I16" s="28"/>
      <c r="J16" s="28"/>
      <c r="K16" s="410"/>
      <c r="V16" s="13"/>
      <c r="W16" s="13"/>
      <c r="X16" s="13"/>
      <c r="Y16" s="13"/>
      <c r="Z16" s="13"/>
      <c r="AA16" s="13"/>
    </row>
    <row r="17" spans="1:27">
      <c r="A17" s="317"/>
      <c r="B17" s="470" t="s">
        <v>1022</v>
      </c>
      <c r="C17" s="28"/>
      <c r="D17" s="28"/>
      <c r="E17" s="28"/>
      <c r="F17" s="28"/>
      <c r="G17" s="28"/>
      <c r="H17" s="28"/>
      <c r="I17" s="28"/>
      <c r="J17" s="28"/>
      <c r="K17" s="410"/>
    </row>
    <row r="18" spans="1:27" ht="15.75" customHeight="1">
      <c r="A18" s="317"/>
      <c r="B18" s="472" t="s">
        <v>1023</v>
      </c>
      <c r="C18" s="392"/>
      <c r="D18" s="391"/>
      <c r="E18" s="392"/>
      <c r="F18" s="391"/>
      <c r="G18" s="393"/>
      <c r="H18" s="390"/>
      <c r="I18" s="390"/>
      <c r="J18" s="390"/>
      <c r="K18" s="473"/>
    </row>
    <row r="19" spans="1:27" ht="15.75" customHeight="1">
      <c r="A19" s="317"/>
      <c r="B19" s="329" t="s">
        <v>1561</v>
      </c>
      <c r="C19" s="392"/>
      <c r="D19" s="391"/>
      <c r="E19" s="392"/>
      <c r="F19" s="391"/>
      <c r="G19" s="393"/>
      <c r="H19" s="390"/>
      <c r="I19" s="390"/>
      <c r="J19" s="390"/>
      <c r="K19" s="473"/>
    </row>
    <row r="20" spans="1:27" ht="15.75" customHeight="1">
      <c r="A20" s="317"/>
      <c r="B20" t="s">
        <v>1562</v>
      </c>
      <c r="C20" s="392"/>
      <c r="D20" s="391"/>
      <c r="E20" s="392"/>
      <c r="F20" s="391"/>
      <c r="G20" s="393"/>
      <c r="H20" s="390"/>
      <c r="I20" s="390"/>
      <c r="J20" s="390"/>
      <c r="K20" s="473"/>
    </row>
    <row r="21" spans="1:27">
      <c r="A21" s="317"/>
      <c r="B21" s="28" t="s">
        <v>1024</v>
      </c>
      <c r="C21" s="566" t="s">
        <v>1491</v>
      </c>
      <c r="D21" s="28"/>
      <c r="E21" s="28"/>
      <c r="F21" s="28"/>
      <c r="G21" s="28"/>
      <c r="H21" s="28"/>
      <c r="I21" s="28"/>
      <c r="J21" s="28"/>
      <c r="K21" s="410"/>
    </row>
    <row r="22" spans="1:27">
      <c r="A22" s="340"/>
      <c r="B22" s="459" t="s">
        <v>1025</v>
      </c>
      <c r="C22" s="337"/>
      <c r="D22" s="337" t="s">
        <v>1026</v>
      </c>
      <c r="E22" s="337"/>
      <c r="F22" s="337"/>
      <c r="G22" s="337"/>
      <c r="H22" s="337"/>
      <c r="I22" s="337"/>
      <c r="J22" s="337"/>
      <c r="K22" s="460"/>
      <c r="L22" s="13"/>
      <c r="M22" s="13"/>
      <c r="N22" s="13"/>
      <c r="O22" s="13"/>
      <c r="P22" s="13"/>
      <c r="Q22" s="13"/>
      <c r="R22" s="13"/>
      <c r="S22" s="13"/>
      <c r="T22" s="13"/>
      <c r="U22" s="13"/>
      <c r="V22" s="13"/>
      <c r="W22" s="13"/>
      <c r="X22" s="13"/>
      <c r="Y22" s="13"/>
      <c r="Z22" s="13"/>
      <c r="AA22" s="13"/>
    </row>
    <row r="23" spans="1:27" ht="15.75">
      <c r="A23" s="340"/>
      <c r="B23" s="347" t="s">
        <v>1002</v>
      </c>
      <c r="C23" s="347" t="s">
        <v>1003</v>
      </c>
      <c r="D23" s="347" t="s">
        <v>1004</v>
      </c>
      <c r="E23" s="347" t="s">
        <v>1005</v>
      </c>
      <c r="F23" s="448" t="s">
        <v>1006</v>
      </c>
      <c r="G23" s="451"/>
      <c r="H23" s="417"/>
      <c r="I23" s="418"/>
      <c r="J23" s="418"/>
      <c r="K23" s="417"/>
      <c r="L23" s="13"/>
      <c r="M23" s="13"/>
      <c r="N23" s="13"/>
      <c r="O23" s="13"/>
      <c r="P23" s="13"/>
      <c r="Q23" s="13"/>
      <c r="R23" s="13"/>
      <c r="S23" s="13"/>
      <c r="T23" s="13"/>
      <c r="U23" s="13"/>
      <c r="V23" s="13"/>
      <c r="W23" s="13"/>
      <c r="X23" s="13"/>
      <c r="Y23" s="13"/>
      <c r="Z23" s="13"/>
      <c r="AA23" s="13"/>
    </row>
    <row r="24" spans="1:27" ht="15">
      <c r="A24" s="340"/>
      <c r="B24" s="349">
        <v>0.99447300000000005</v>
      </c>
      <c r="C24" s="349">
        <v>0.99545300000000003</v>
      </c>
      <c r="D24" s="349">
        <v>0.99447300000000005</v>
      </c>
      <c r="E24" s="349">
        <v>0.99545300000000003</v>
      </c>
      <c r="F24" s="349">
        <v>0.99447300000000005</v>
      </c>
      <c r="G24" s="451"/>
      <c r="H24" s="417"/>
      <c r="I24" s="417"/>
      <c r="J24" s="417"/>
      <c r="K24" s="417"/>
      <c r="L24" s="13"/>
      <c r="M24" s="13"/>
      <c r="N24" s="13"/>
      <c r="O24" s="13"/>
      <c r="P24" s="13"/>
      <c r="Q24" s="13"/>
      <c r="R24" s="13"/>
      <c r="S24" s="13"/>
      <c r="T24" s="13"/>
      <c r="U24" s="13"/>
      <c r="V24" s="13"/>
      <c r="W24" s="13"/>
      <c r="X24" s="13"/>
      <c r="Y24" s="13"/>
      <c r="Z24" s="13"/>
      <c r="AA24" s="13"/>
    </row>
    <row r="25" spans="1:27" ht="15">
      <c r="A25" s="340"/>
      <c r="B25" s="349"/>
      <c r="C25" s="349"/>
      <c r="D25" s="349"/>
      <c r="E25" s="349"/>
      <c r="F25" s="349"/>
      <c r="G25" s="417"/>
      <c r="H25" s="417"/>
      <c r="I25" s="417"/>
      <c r="J25" s="417"/>
      <c r="K25" s="620"/>
      <c r="L25" s="13"/>
      <c r="M25" s="13"/>
      <c r="N25" s="13"/>
      <c r="O25" s="13"/>
      <c r="P25" s="13"/>
      <c r="Q25" s="13"/>
      <c r="R25" s="13"/>
      <c r="S25" s="13"/>
      <c r="T25" s="13"/>
      <c r="U25" s="13"/>
      <c r="V25" s="13"/>
      <c r="W25" s="13"/>
      <c r="X25" s="13"/>
      <c r="Y25" s="13"/>
      <c r="Z25" s="13"/>
      <c r="AA25" s="13"/>
    </row>
    <row r="26" spans="1:27" ht="18.75">
      <c r="A26" s="340"/>
      <c r="B26" s="394" t="s">
        <v>1570</v>
      </c>
      <c r="C26" s="408">
        <f>STDEV(C24:K24)</f>
        <v>5.6580326380582216E-4</v>
      </c>
      <c r="D26" s="409"/>
      <c r="E26" s="409"/>
      <c r="F26" s="579"/>
      <c r="G26" s="621"/>
      <c r="H26" s="621"/>
      <c r="I26" s="621"/>
      <c r="J26" s="621"/>
      <c r="K26" s="621"/>
      <c r="L26" s="13"/>
      <c r="M26" s="13"/>
      <c r="N26" s="13"/>
      <c r="O26" s="13"/>
      <c r="P26" s="13"/>
      <c r="Q26" s="13"/>
      <c r="R26" s="13"/>
      <c r="S26" s="13"/>
      <c r="T26" s="13"/>
      <c r="U26" s="13"/>
      <c r="V26" s="13"/>
      <c r="W26" s="13"/>
      <c r="X26" s="13"/>
      <c r="Y26" s="13"/>
      <c r="Z26" s="13"/>
      <c r="AA26" s="13"/>
    </row>
    <row r="27" spans="1:27">
      <c r="A27" s="340"/>
      <c r="B27" s="463"/>
      <c r="C27" s="463"/>
      <c r="D27" s="463"/>
      <c r="E27" s="463"/>
      <c r="F27" s="463"/>
      <c r="G27" s="463"/>
      <c r="H27" s="463"/>
      <c r="I27" s="463"/>
      <c r="J27" s="463"/>
      <c r="K27" s="464"/>
      <c r="L27" s="13"/>
      <c r="M27" s="13"/>
      <c r="N27" s="13"/>
      <c r="O27" s="13"/>
      <c r="P27" s="13"/>
      <c r="Q27" s="13"/>
      <c r="R27" s="13"/>
      <c r="S27" s="13"/>
      <c r="T27" s="13"/>
      <c r="U27" s="13"/>
      <c r="V27" s="13"/>
      <c r="W27" s="13"/>
      <c r="X27" s="13"/>
      <c r="Y27" s="13"/>
      <c r="Z27" s="13"/>
      <c r="AA27" s="13"/>
    </row>
    <row r="28" spans="1:27" ht="15.75" customHeight="1">
      <c r="A28" s="465" t="s">
        <v>1027</v>
      </c>
      <c r="B28" s="466" t="s">
        <v>1028</v>
      </c>
      <c r="C28" s="28"/>
      <c r="D28" s="28"/>
      <c r="E28" s="28"/>
      <c r="F28" s="28"/>
      <c r="G28" s="28"/>
      <c r="H28" s="28"/>
      <c r="I28" s="28"/>
      <c r="J28" s="28"/>
      <c r="K28" s="410"/>
      <c r="V28" s="13"/>
      <c r="W28" s="13"/>
      <c r="X28" s="13"/>
      <c r="Y28" s="13"/>
      <c r="Z28" s="13"/>
      <c r="AA28" s="13"/>
    </row>
    <row r="29" spans="1:27" ht="15.75" customHeight="1">
      <c r="A29" s="465"/>
      <c r="B29" s="467" t="s">
        <v>1029</v>
      </c>
      <c r="C29" s="467" t="s">
        <v>1030</v>
      </c>
      <c r="D29" s="467" t="s">
        <v>1031</v>
      </c>
      <c r="E29" s="467" t="s">
        <v>1032</v>
      </c>
      <c r="F29" s="467" t="s">
        <v>1033</v>
      </c>
      <c r="G29" s="467" t="s">
        <v>1034</v>
      </c>
      <c r="H29" s="28"/>
      <c r="I29" s="28"/>
      <c r="J29" s="28"/>
      <c r="K29" s="410"/>
      <c r="V29" s="13"/>
      <c r="W29" s="13"/>
      <c r="X29" s="13"/>
      <c r="Y29" s="13"/>
      <c r="Z29" s="13"/>
      <c r="AA29" s="13"/>
    </row>
    <row r="30" spans="1:27" ht="36" customHeight="1">
      <c r="A30" s="465"/>
      <c r="B30" s="7">
        <v>1</v>
      </c>
      <c r="C30" s="468" t="s">
        <v>1035</v>
      </c>
      <c r="D30" s="469">
        <v>0.01</v>
      </c>
      <c r="E30" s="467" t="s">
        <v>1036</v>
      </c>
      <c r="F30" s="6">
        <v>3</v>
      </c>
      <c r="G30" s="443">
        <f>D30/F30</f>
        <v>3.3333333333333335E-3</v>
      </c>
      <c r="H30" s="28"/>
      <c r="I30" s="28"/>
      <c r="J30" s="28"/>
      <c r="K30" s="410"/>
      <c r="V30" s="13"/>
      <c r="W30" s="13"/>
      <c r="X30" s="13"/>
      <c r="Y30" s="13"/>
      <c r="Z30" s="13"/>
      <c r="AA30" s="13"/>
    </row>
    <row r="31" spans="1:27" ht="48" customHeight="1">
      <c r="A31" s="465"/>
      <c r="B31" s="7">
        <v>2</v>
      </c>
      <c r="C31" s="468" t="s">
        <v>1037</v>
      </c>
      <c r="D31" s="442">
        <v>1E-3</v>
      </c>
      <c r="E31" s="467" t="s">
        <v>1038</v>
      </c>
      <c r="F31" s="6">
        <v>2</v>
      </c>
      <c r="G31" s="443">
        <f>D31/F31</f>
        <v>5.0000000000000001E-4</v>
      </c>
      <c r="H31" s="28"/>
      <c r="I31" s="28"/>
      <c r="J31" s="28"/>
      <c r="K31" s="410"/>
      <c r="V31" s="13"/>
      <c r="W31" s="13"/>
      <c r="X31" s="13"/>
      <c r="Y31" s="13"/>
      <c r="Z31" s="13"/>
      <c r="AA31" s="13"/>
    </row>
    <row r="32" spans="1:27" ht="33.75" customHeight="1">
      <c r="A32" s="465"/>
      <c r="B32" s="7">
        <v>3</v>
      </c>
      <c r="C32" s="468" t="s">
        <v>1039</v>
      </c>
      <c r="D32" s="442">
        <v>5.0000000000000001E-4</v>
      </c>
      <c r="E32" s="467" t="s">
        <v>1036</v>
      </c>
      <c r="F32" s="6"/>
      <c r="G32" s="443">
        <f>D32/SQRT(3)</f>
        <v>2.886751345948129E-4</v>
      </c>
      <c r="H32" s="28"/>
      <c r="I32" s="28"/>
      <c r="J32" s="28"/>
      <c r="K32" s="410"/>
      <c r="V32" s="13"/>
      <c r="W32" s="13"/>
      <c r="X32" s="13"/>
      <c r="Y32" s="13"/>
      <c r="Z32" s="13"/>
      <c r="AA32" s="13"/>
    </row>
    <row r="33" spans="1:27" ht="15.75" customHeight="1">
      <c r="A33" s="465"/>
      <c r="B33" s="41" t="s">
        <v>1571</v>
      </c>
      <c r="C33" s="1969"/>
      <c r="D33" s="1970"/>
      <c r="E33" s="1970"/>
      <c r="F33" s="1970"/>
      <c r="G33" s="1832"/>
      <c r="H33" s="28"/>
      <c r="I33" s="28"/>
      <c r="J33" s="28"/>
      <c r="K33" s="410"/>
      <c r="V33" s="13"/>
      <c r="W33" s="13"/>
      <c r="X33" s="13"/>
      <c r="Y33" s="13"/>
      <c r="Z33" s="13"/>
      <c r="AA33" s="13"/>
    </row>
    <row r="34" spans="1:27">
      <c r="A34" s="340"/>
      <c r="B34" s="470" t="s">
        <v>1041</v>
      </c>
      <c r="C34" s="28"/>
      <c r="D34" s="28"/>
      <c r="E34" s="28"/>
      <c r="F34" s="28"/>
      <c r="G34" s="28"/>
      <c r="H34" s="28"/>
      <c r="I34" s="28"/>
      <c r="J34" s="28"/>
      <c r="K34" s="410"/>
      <c r="V34" s="13"/>
      <c r="W34" s="13"/>
      <c r="X34" s="13"/>
      <c r="Y34" s="13"/>
      <c r="Z34" s="13"/>
      <c r="AA34" s="13"/>
    </row>
    <row r="35" spans="1:27" ht="18.75" customHeight="1">
      <c r="A35" s="340"/>
      <c r="B35" s="471" t="s">
        <v>1042</v>
      </c>
      <c r="C35" s="470"/>
      <c r="D35" s="28"/>
      <c r="E35" s="28"/>
      <c r="F35" s="28"/>
      <c r="G35" s="28"/>
      <c r="H35" s="28"/>
      <c r="I35" s="28"/>
      <c r="J35" s="28"/>
      <c r="K35" s="410"/>
      <c r="V35" s="13"/>
      <c r="W35" s="13"/>
      <c r="X35" s="13"/>
      <c r="Y35" s="13"/>
      <c r="Z35" s="13"/>
      <c r="AA35" s="13"/>
    </row>
    <row r="36" spans="1:27">
      <c r="A36" s="317"/>
      <c r="B36" s="470" t="s">
        <v>1043</v>
      </c>
      <c r="C36" s="28"/>
      <c r="D36" s="28"/>
      <c r="E36" s="28"/>
      <c r="F36" s="28"/>
      <c r="G36" s="28"/>
      <c r="H36" s="28"/>
      <c r="I36" s="28"/>
      <c r="J36" s="28"/>
      <c r="K36" s="410"/>
    </row>
    <row r="37" spans="1:27" ht="15.75" customHeight="1">
      <c r="A37" s="317"/>
      <c r="B37" s="472" t="s">
        <v>1044</v>
      </c>
      <c r="C37" s="392"/>
      <c r="D37" s="391"/>
      <c r="E37" s="392"/>
      <c r="F37" s="391"/>
      <c r="G37" s="393"/>
      <c r="H37" s="390"/>
      <c r="I37" s="390"/>
      <c r="J37" s="390"/>
      <c r="K37" s="473"/>
    </row>
    <row r="38" spans="1:27" ht="15.75" customHeight="1">
      <c r="A38" s="317"/>
      <c r="B38" s="329" t="s">
        <v>1561</v>
      </c>
      <c r="C38" s="392"/>
      <c r="D38" s="391"/>
      <c r="E38" s="392"/>
      <c r="F38" s="391"/>
      <c r="G38" s="393"/>
      <c r="H38" s="390"/>
      <c r="I38" s="390"/>
      <c r="J38" s="390"/>
      <c r="K38" s="473"/>
    </row>
    <row r="39" spans="1:27">
      <c r="A39" s="317"/>
      <c r="B39" t="s">
        <v>1562</v>
      </c>
      <c r="C39" s="28"/>
      <c r="D39" s="28"/>
      <c r="E39" s="28"/>
      <c r="F39" s="28"/>
      <c r="G39" s="28"/>
      <c r="H39" s="28"/>
      <c r="I39" s="28"/>
      <c r="J39" s="28"/>
      <c r="K39" s="410"/>
    </row>
    <row r="40" spans="1:27">
      <c r="A40" s="317"/>
      <c r="B40" s="28" t="s">
        <v>1045</v>
      </c>
      <c r="C40" s="566" t="s">
        <v>1492</v>
      </c>
      <c r="D40" s="28"/>
      <c r="E40" s="28"/>
      <c r="F40" s="28"/>
      <c r="G40" s="28"/>
      <c r="H40" s="28"/>
      <c r="I40" s="28"/>
      <c r="J40" s="28"/>
      <c r="K40" s="410"/>
    </row>
    <row r="41" spans="1:27">
      <c r="A41" s="340"/>
      <c r="B41" s="459" t="s">
        <v>1047</v>
      </c>
      <c r="C41" s="337"/>
      <c r="D41" s="337" t="s">
        <v>1048</v>
      </c>
      <c r="E41" s="337"/>
      <c r="F41" s="337"/>
      <c r="G41" s="337"/>
      <c r="H41" s="337"/>
      <c r="I41" s="337"/>
      <c r="J41" s="337"/>
      <c r="K41" s="460"/>
      <c r="L41" s="13"/>
      <c r="M41" s="13"/>
      <c r="N41" s="13"/>
      <c r="O41" s="13"/>
      <c r="P41" s="13"/>
      <c r="Q41" s="13"/>
      <c r="R41" s="13"/>
      <c r="S41" s="13"/>
      <c r="T41" s="13"/>
      <c r="U41" s="13"/>
      <c r="V41" s="13"/>
      <c r="W41" s="13"/>
      <c r="X41" s="13"/>
      <c r="Y41" s="13"/>
      <c r="Z41" s="13"/>
      <c r="AA41" s="13"/>
    </row>
    <row r="42" spans="1:27" ht="15.75">
      <c r="A42" s="340"/>
      <c r="B42" s="347" t="s">
        <v>1002</v>
      </c>
      <c r="C42" s="347" t="s">
        <v>1003</v>
      </c>
      <c r="D42" s="347" t="s">
        <v>1004</v>
      </c>
      <c r="E42" s="347" t="s">
        <v>1005</v>
      </c>
      <c r="F42" s="448" t="s">
        <v>1006</v>
      </c>
      <c r="G42" s="451"/>
      <c r="H42" s="417"/>
      <c r="I42" s="418"/>
      <c r="J42" s="418"/>
      <c r="K42" s="417"/>
      <c r="L42" s="13"/>
      <c r="M42" s="13"/>
      <c r="N42" s="13"/>
      <c r="O42" s="13"/>
      <c r="P42" s="13"/>
      <c r="Q42" s="13"/>
      <c r="R42" s="13"/>
      <c r="S42" s="13"/>
      <c r="T42" s="13"/>
      <c r="U42" s="13"/>
      <c r="V42" s="13"/>
      <c r="W42" s="13"/>
      <c r="X42" s="13"/>
      <c r="Y42" s="13"/>
      <c r="Z42" s="13"/>
      <c r="AA42" s="13"/>
    </row>
    <row r="43" spans="1:27" ht="15">
      <c r="A43" s="340"/>
      <c r="B43" s="347"/>
      <c r="C43" s="347"/>
      <c r="D43" s="347"/>
      <c r="E43" s="347"/>
      <c r="F43" s="448"/>
      <c r="G43" s="451"/>
      <c r="H43" s="417"/>
      <c r="I43" s="418"/>
      <c r="J43" s="418"/>
      <c r="K43" s="417"/>
      <c r="L43" s="13"/>
      <c r="M43" s="13"/>
      <c r="N43" s="13"/>
      <c r="O43" s="13"/>
      <c r="P43" s="13"/>
      <c r="Q43" s="13"/>
      <c r="R43" s="13"/>
      <c r="S43" s="13"/>
      <c r="T43" s="13"/>
      <c r="U43" s="13"/>
      <c r="V43" s="13"/>
      <c r="W43" s="13"/>
      <c r="X43" s="13"/>
      <c r="Y43" s="13"/>
      <c r="Z43" s="13"/>
      <c r="AA43" s="13"/>
    </row>
    <row r="44" spans="1:27" ht="15">
      <c r="A44" s="340"/>
      <c r="B44" s="622">
        <v>0.99447300000000005</v>
      </c>
      <c r="C44" s="622">
        <v>0.99545300000000003</v>
      </c>
      <c r="D44" s="622">
        <v>0.99447300000000005</v>
      </c>
      <c r="E44" s="622">
        <v>0.99545300000000003</v>
      </c>
      <c r="F44" s="622">
        <v>0.99447300000000005</v>
      </c>
      <c r="G44" s="451"/>
      <c r="H44" s="417"/>
      <c r="I44" s="417"/>
      <c r="J44" s="417"/>
      <c r="K44" s="417"/>
      <c r="L44" s="13"/>
      <c r="M44" s="13"/>
      <c r="N44" s="13"/>
      <c r="O44" s="13"/>
      <c r="P44" s="13"/>
      <c r="Q44" s="13"/>
      <c r="R44" s="13"/>
      <c r="S44" s="13"/>
      <c r="T44" s="13"/>
      <c r="U44" s="13"/>
      <c r="V44" s="13"/>
      <c r="W44" s="13"/>
      <c r="X44" s="13"/>
      <c r="Y44" s="13"/>
      <c r="Z44" s="13"/>
      <c r="AA44" s="13"/>
    </row>
    <row r="45" spans="1:27" ht="15">
      <c r="A45" s="340"/>
      <c r="B45" s="628"/>
      <c r="C45" s="619"/>
      <c r="D45" s="619"/>
      <c r="E45" s="619"/>
      <c r="F45" s="629"/>
      <c r="G45" s="417"/>
      <c r="H45" s="417"/>
      <c r="I45" s="417"/>
      <c r="J45" s="417"/>
      <c r="K45" s="417"/>
      <c r="L45" s="13"/>
      <c r="M45" s="13"/>
      <c r="N45" s="13"/>
      <c r="O45" s="13"/>
      <c r="P45" s="13"/>
      <c r="Q45" s="13"/>
      <c r="R45" s="13"/>
      <c r="S45" s="13"/>
      <c r="T45" s="13"/>
      <c r="U45" s="13"/>
      <c r="V45" s="13"/>
      <c r="W45" s="13"/>
      <c r="X45" s="13"/>
      <c r="Y45" s="13"/>
      <c r="Z45" s="13"/>
      <c r="AA45" s="13"/>
    </row>
    <row r="46" spans="1:27" ht="18.75">
      <c r="A46" s="340"/>
      <c r="B46" s="394" t="s">
        <v>1570</v>
      </c>
      <c r="C46" s="408">
        <f>STDEV(C44:K44)</f>
        <v>5.6580326380582216E-4</v>
      </c>
      <c r="D46" s="409"/>
      <c r="E46" s="409"/>
      <c r="F46" s="579"/>
      <c r="G46" s="621"/>
      <c r="H46" s="621"/>
      <c r="I46" s="621"/>
      <c r="J46" s="621"/>
      <c r="K46" s="621"/>
      <c r="L46" s="13"/>
      <c r="M46" s="13"/>
      <c r="N46" s="13"/>
      <c r="O46" s="13"/>
      <c r="P46" s="13"/>
      <c r="Q46" s="13"/>
      <c r="R46" s="13"/>
      <c r="S46" s="13"/>
      <c r="T46" s="13"/>
      <c r="U46" s="13"/>
      <c r="V46" s="13"/>
      <c r="W46" s="13"/>
      <c r="X46" s="13"/>
      <c r="Y46" s="13"/>
      <c r="Z46" s="13"/>
      <c r="AA46" s="13"/>
    </row>
    <row r="47" spans="1:27">
      <c r="A47" s="340"/>
      <c r="B47" s="463"/>
      <c r="C47" s="463"/>
      <c r="D47" s="463"/>
      <c r="E47" s="463"/>
      <c r="F47" s="463"/>
      <c r="G47" s="463"/>
      <c r="H47" s="463"/>
      <c r="I47" s="463"/>
      <c r="J47" s="463"/>
      <c r="K47" s="464"/>
      <c r="L47" s="13"/>
      <c r="M47" s="13"/>
      <c r="N47" s="13"/>
      <c r="O47" s="13"/>
      <c r="P47" s="13"/>
      <c r="Q47" s="13"/>
      <c r="R47" s="13"/>
      <c r="S47" s="13"/>
      <c r="T47" s="13"/>
      <c r="U47" s="13"/>
      <c r="V47" s="13"/>
      <c r="W47" s="13"/>
      <c r="X47" s="13"/>
      <c r="Y47" s="13"/>
      <c r="Z47" s="13"/>
      <c r="AA47" s="13"/>
    </row>
    <row r="48" spans="1:27" ht="15.75" customHeight="1">
      <c r="A48" s="465" t="s">
        <v>1027</v>
      </c>
      <c r="B48" s="466" t="s">
        <v>1028</v>
      </c>
      <c r="C48" s="28"/>
      <c r="D48" s="28"/>
      <c r="E48" s="28"/>
      <c r="F48" s="28"/>
      <c r="G48" s="28"/>
      <c r="H48" s="28"/>
      <c r="I48" s="28"/>
      <c r="J48" s="28"/>
      <c r="K48" s="410"/>
      <c r="V48" s="13"/>
      <c r="W48" s="13"/>
      <c r="X48" s="13"/>
      <c r="Y48" s="13"/>
      <c r="Z48" s="13"/>
      <c r="AA48" s="13"/>
    </row>
    <row r="49" spans="1:27" ht="15.75" customHeight="1">
      <c r="A49" s="465"/>
      <c r="B49" s="467" t="s">
        <v>1029</v>
      </c>
      <c r="C49" s="467" t="s">
        <v>1030</v>
      </c>
      <c r="D49" s="467" t="s">
        <v>1031</v>
      </c>
      <c r="E49" s="467" t="s">
        <v>1032</v>
      </c>
      <c r="F49" s="467" t="s">
        <v>1033</v>
      </c>
      <c r="G49" s="467" t="s">
        <v>1034</v>
      </c>
      <c r="H49" s="28"/>
      <c r="I49" s="28"/>
      <c r="J49" s="28"/>
      <c r="K49" s="410"/>
      <c r="V49" s="13"/>
      <c r="W49" s="13"/>
      <c r="X49" s="13"/>
      <c r="Y49" s="13"/>
      <c r="Z49" s="13"/>
      <c r="AA49" s="13"/>
    </row>
    <row r="50" spans="1:27" ht="36" customHeight="1">
      <c r="A50" s="465"/>
      <c r="B50" s="7">
        <v>1</v>
      </c>
      <c r="C50" s="468" t="s">
        <v>1035</v>
      </c>
      <c r="D50" s="469">
        <v>0.02</v>
      </c>
      <c r="E50" s="467" t="s">
        <v>1036</v>
      </c>
      <c r="F50" s="6">
        <v>3</v>
      </c>
      <c r="G50" s="443">
        <f>D50/F50</f>
        <v>6.6666666666666671E-3</v>
      </c>
      <c r="H50" s="28"/>
      <c r="I50" s="28"/>
      <c r="J50" s="28"/>
      <c r="K50" s="410"/>
      <c r="V50" s="13"/>
      <c r="W50" s="13"/>
      <c r="X50" s="13"/>
      <c r="Y50" s="13"/>
      <c r="Z50" s="13"/>
      <c r="AA50" s="13"/>
    </row>
    <row r="51" spans="1:27" ht="48" customHeight="1">
      <c r="A51" s="465"/>
      <c r="B51" s="7">
        <v>2</v>
      </c>
      <c r="C51" s="468" t="s">
        <v>1037</v>
      </c>
      <c r="D51" s="442">
        <v>1E-3</v>
      </c>
      <c r="E51" s="467" t="s">
        <v>1038</v>
      </c>
      <c r="F51" s="6">
        <v>2</v>
      </c>
      <c r="G51" s="443">
        <f>D51/F51</f>
        <v>5.0000000000000001E-4</v>
      </c>
      <c r="H51" s="28"/>
      <c r="I51" s="28"/>
      <c r="J51" s="28"/>
      <c r="K51" s="410"/>
      <c r="V51" s="13"/>
      <c r="W51" s="13"/>
      <c r="X51" s="13"/>
      <c r="Y51" s="13"/>
      <c r="Z51" s="13"/>
      <c r="AA51" s="13"/>
    </row>
    <row r="52" spans="1:27" ht="33.75" customHeight="1">
      <c r="A52" s="465"/>
      <c r="B52" s="7">
        <v>3</v>
      </c>
      <c r="C52" s="468" t="s">
        <v>1039</v>
      </c>
      <c r="D52" s="442">
        <v>5.0000000000000001E-4</v>
      </c>
      <c r="E52" s="467" t="s">
        <v>1036</v>
      </c>
      <c r="F52" s="6"/>
      <c r="G52" s="443">
        <f>D52/SQRT(3)</f>
        <v>2.886751345948129E-4</v>
      </c>
      <c r="H52" s="28"/>
      <c r="I52" s="28"/>
      <c r="J52" s="28"/>
      <c r="K52" s="410"/>
      <c r="V52" s="13"/>
      <c r="W52" s="13"/>
      <c r="X52" s="13"/>
      <c r="Y52" s="13"/>
      <c r="Z52" s="13"/>
      <c r="AA52" s="13"/>
    </row>
    <row r="53" spans="1:27" ht="15.75" customHeight="1">
      <c r="A53" s="465"/>
      <c r="B53" s="467" t="s">
        <v>1040</v>
      </c>
      <c r="C53" s="1969"/>
      <c r="D53" s="1970"/>
      <c r="E53" s="1970"/>
      <c r="F53" s="1970"/>
      <c r="G53" s="1832"/>
      <c r="H53" s="28"/>
      <c r="I53" s="28"/>
      <c r="J53" s="28"/>
      <c r="K53" s="410"/>
      <c r="V53" s="13"/>
      <c r="W53" s="13"/>
      <c r="X53" s="13"/>
      <c r="Y53" s="13"/>
      <c r="Z53" s="13"/>
      <c r="AA53" s="13"/>
    </row>
    <row r="54" spans="1:27">
      <c r="A54" s="340"/>
      <c r="B54" s="470" t="s">
        <v>1041</v>
      </c>
      <c r="C54" s="28"/>
      <c r="D54" s="28"/>
      <c r="E54" s="28"/>
      <c r="F54" s="28"/>
      <c r="G54" s="28"/>
      <c r="H54" s="28"/>
      <c r="I54" s="28"/>
      <c r="J54" s="28"/>
      <c r="K54" s="410"/>
      <c r="V54" s="13"/>
      <c r="W54" s="13"/>
      <c r="X54" s="13"/>
      <c r="Y54" s="13"/>
      <c r="Z54" s="13"/>
      <c r="AA54" s="13"/>
    </row>
    <row r="55" spans="1:27" ht="18.75" customHeight="1">
      <c r="A55" s="340"/>
      <c r="B55" s="471" t="s">
        <v>1042</v>
      </c>
      <c r="C55" s="470"/>
      <c r="D55" s="28"/>
      <c r="E55" s="28"/>
      <c r="F55" s="28"/>
      <c r="G55" s="28"/>
      <c r="H55" s="28"/>
      <c r="I55" s="28"/>
      <c r="J55" s="28"/>
      <c r="K55" s="410"/>
      <c r="V55" s="13"/>
      <c r="W55" s="13"/>
      <c r="X55" s="13"/>
      <c r="Y55" s="13"/>
      <c r="Z55" s="13"/>
      <c r="AA55" s="13"/>
    </row>
    <row r="56" spans="1:27">
      <c r="A56" s="317"/>
      <c r="B56" s="470" t="s">
        <v>1043</v>
      </c>
      <c r="C56" s="28"/>
      <c r="D56" s="28"/>
      <c r="E56" s="28"/>
      <c r="F56" s="28"/>
      <c r="G56" s="28"/>
      <c r="H56" s="28"/>
      <c r="I56" s="28"/>
      <c r="J56" s="28"/>
      <c r="K56" s="410"/>
    </row>
    <row r="57" spans="1:27" ht="15.75" customHeight="1">
      <c r="A57" s="317"/>
      <c r="B57" s="472" t="s">
        <v>1044</v>
      </c>
      <c r="C57" s="392"/>
      <c r="D57" s="391"/>
      <c r="E57" s="392"/>
      <c r="F57" s="391"/>
      <c r="G57" s="393"/>
      <c r="H57" s="390"/>
      <c r="I57" s="390"/>
      <c r="J57" s="390"/>
      <c r="K57" s="473"/>
    </row>
    <row r="58" spans="1:27" ht="15.75" customHeight="1">
      <c r="A58" s="317"/>
      <c r="B58" s="329" t="s">
        <v>1561</v>
      </c>
      <c r="C58" s="392"/>
      <c r="D58" s="391"/>
      <c r="E58" s="392"/>
      <c r="F58" s="391"/>
      <c r="G58" s="393"/>
      <c r="H58" s="390"/>
      <c r="I58" s="390"/>
      <c r="J58" s="390"/>
      <c r="K58" s="473"/>
    </row>
    <row r="59" spans="1:27" ht="15.75" customHeight="1">
      <c r="A59" s="317"/>
      <c r="B59" t="s">
        <v>1562</v>
      </c>
      <c r="C59" s="392"/>
      <c r="D59" s="391"/>
      <c r="E59" s="392"/>
      <c r="F59" s="391"/>
      <c r="G59" s="393"/>
      <c r="H59" s="390"/>
      <c r="I59" s="390"/>
      <c r="J59" s="390"/>
      <c r="K59" s="473"/>
    </row>
    <row r="60" spans="1:27">
      <c r="A60" s="317"/>
      <c r="B60" s="28" t="s">
        <v>1045</v>
      </c>
      <c r="C60" s="28" t="s">
        <v>1046</v>
      </c>
      <c r="D60" s="28"/>
      <c r="E60" s="28"/>
      <c r="F60" s="28"/>
      <c r="G60" s="28"/>
      <c r="H60" s="28"/>
      <c r="I60" s="28"/>
      <c r="J60" s="28"/>
      <c r="K60" s="410"/>
    </row>
    <row r="61" spans="1:27">
      <c r="A61" s="340"/>
      <c r="B61" s="459" t="s">
        <v>1047</v>
      </c>
      <c r="C61" s="337"/>
      <c r="D61" s="337" t="s">
        <v>1048</v>
      </c>
      <c r="E61" s="337"/>
      <c r="F61" s="337"/>
      <c r="G61" s="337"/>
      <c r="H61" s="337"/>
      <c r="I61" s="337"/>
      <c r="J61" s="337"/>
      <c r="K61" s="460"/>
      <c r="L61" s="13"/>
      <c r="M61" s="13"/>
      <c r="N61" s="13"/>
      <c r="O61" s="13"/>
      <c r="P61" s="13"/>
      <c r="Q61" s="13"/>
      <c r="R61" s="13"/>
      <c r="S61" s="13"/>
      <c r="T61" s="13"/>
      <c r="U61" s="13"/>
      <c r="V61" s="13"/>
      <c r="W61" s="13"/>
      <c r="X61" s="13"/>
      <c r="Y61" s="13"/>
      <c r="Z61" s="13"/>
      <c r="AA61" s="13"/>
    </row>
    <row r="62" spans="1:27" ht="15.75">
      <c r="A62" s="340"/>
      <c r="B62" s="347" t="s">
        <v>1002</v>
      </c>
      <c r="C62" s="347" t="s">
        <v>1003</v>
      </c>
      <c r="D62" s="347" t="s">
        <v>1004</v>
      </c>
      <c r="E62" s="347" t="s">
        <v>1005</v>
      </c>
      <c r="F62" s="448" t="s">
        <v>1006</v>
      </c>
      <c r="G62" s="451"/>
      <c r="H62" s="417"/>
      <c r="I62" s="418"/>
      <c r="J62" s="418"/>
      <c r="K62" s="417"/>
      <c r="L62" s="13"/>
      <c r="M62" s="13"/>
      <c r="N62" s="13"/>
      <c r="O62" s="13"/>
      <c r="P62" s="13"/>
      <c r="Q62" s="13"/>
      <c r="R62" s="13"/>
      <c r="S62" s="13"/>
      <c r="T62" s="13"/>
      <c r="U62" s="13"/>
      <c r="V62" s="13"/>
      <c r="W62" s="13"/>
      <c r="X62" s="13"/>
      <c r="Y62" s="13"/>
      <c r="Z62" s="13"/>
      <c r="AA62" s="13"/>
    </row>
    <row r="63" spans="1:27" ht="15">
      <c r="A63" s="340"/>
      <c r="B63" s="349">
        <v>0.99447300000000005</v>
      </c>
      <c r="C63" s="349">
        <v>0.99545300000000003</v>
      </c>
      <c r="D63" s="349">
        <v>0.99447300000000005</v>
      </c>
      <c r="E63" s="349">
        <v>0.99545300000000003</v>
      </c>
      <c r="F63" s="349">
        <v>0.99447300000000005</v>
      </c>
      <c r="G63" s="451"/>
      <c r="H63" s="417"/>
      <c r="I63" s="417"/>
      <c r="J63" s="417"/>
      <c r="K63" s="417"/>
      <c r="L63" s="13"/>
      <c r="M63" s="13"/>
      <c r="N63" s="13"/>
      <c r="O63" s="13"/>
      <c r="P63" s="13"/>
      <c r="Q63" s="13"/>
      <c r="R63" s="13"/>
      <c r="S63" s="13"/>
      <c r="T63" s="13"/>
      <c r="U63" s="13"/>
      <c r="V63" s="13"/>
      <c r="W63" s="13"/>
      <c r="X63" s="13"/>
      <c r="Y63" s="13"/>
      <c r="Z63" s="13"/>
      <c r="AA63" s="13"/>
    </row>
    <row r="64" spans="1:27" ht="18.75">
      <c r="A64" s="340"/>
      <c r="B64" s="394" t="s">
        <v>1570</v>
      </c>
      <c r="C64" s="625">
        <f>STDEV(C63:K63)</f>
        <v>5.6580326380582216E-4</v>
      </c>
      <c r="D64" s="580"/>
      <c r="E64" s="580"/>
      <c r="F64" s="580"/>
      <c r="G64" s="626"/>
      <c r="H64" s="621"/>
      <c r="I64" s="621"/>
      <c r="J64" s="621"/>
      <c r="K64" s="621"/>
      <c r="L64" s="13"/>
      <c r="M64" s="13"/>
      <c r="N64" s="13"/>
      <c r="O64" s="13"/>
      <c r="P64" s="13"/>
      <c r="Q64" s="13"/>
      <c r="R64" s="13"/>
      <c r="S64" s="13"/>
      <c r="T64" s="13"/>
      <c r="U64" s="13"/>
      <c r="V64" s="13"/>
      <c r="W64" s="13"/>
      <c r="X64" s="13"/>
      <c r="Y64" s="13"/>
      <c r="Z64" s="13"/>
      <c r="AA64" s="13"/>
    </row>
    <row r="65" spans="1:27">
      <c r="A65" s="340"/>
      <c r="B65" s="463"/>
      <c r="C65" s="463"/>
      <c r="D65" s="463"/>
      <c r="E65" s="463"/>
      <c r="F65" s="463"/>
      <c r="G65" s="463"/>
      <c r="H65" s="463"/>
      <c r="I65" s="463"/>
      <c r="J65" s="463"/>
      <c r="K65" s="464"/>
      <c r="L65" s="13"/>
      <c r="M65" s="13"/>
      <c r="N65" s="13"/>
      <c r="O65" s="13"/>
      <c r="P65" s="13"/>
      <c r="Q65" s="13"/>
      <c r="R65" s="13"/>
      <c r="S65" s="13"/>
      <c r="T65" s="13"/>
      <c r="U65" s="13"/>
      <c r="V65" s="13"/>
      <c r="W65" s="13"/>
      <c r="X65" s="13"/>
      <c r="Y65" s="13"/>
      <c r="Z65" s="13"/>
      <c r="AA65" s="13"/>
    </row>
    <row r="66" spans="1:27" ht="15.75" customHeight="1">
      <c r="A66" s="465" t="s">
        <v>1027</v>
      </c>
      <c r="B66" s="466" t="s">
        <v>1028</v>
      </c>
      <c r="C66" s="28"/>
      <c r="D66" s="28"/>
      <c r="E66" s="28"/>
      <c r="F66" s="28"/>
      <c r="G66" s="28"/>
      <c r="H66" s="28"/>
      <c r="I66" s="28"/>
      <c r="J66" s="28"/>
      <c r="K66" s="410"/>
      <c r="V66" s="13"/>
      <c r="W66" s="13"/>
      <c r="X66" s="13"/>
      <c r="Y66" s="13"/>
      <c r="Z66" s="13"/>
      <c r="AA66" s="13"/>
    </row>
    <row r="67" spans="1:27" ht="15.75" customHeight="1">
      <c r="A67" s="465"/>
      <c r="B67" s="467" t="s">
        <v>1029</v>
      </c>
      <c r="C67" s="467" t="s">
        <v>1030</v>
      </c>
      <c r="D67" s="467" t="s">
        <v>1031</v>
      </c>
      <c r="E67" s="467" t="s">
        <v>1032</v>
      </c>
      <c r="F67" s="467" t="s">
        <v>1033</v>
      </c>
      <c r="G67" s="467" t="s">
        <v>1034</v>
      </c>
      <c r="H67" s="28"/>
      <c r="I67" s="28"/>
      <c r="J67" s="28"/>
      <c r="K67" s="410"/>
      <c r="V67" s="13"/>
      <c r="W67" s="13"/>
      <c r="X67" s="13"/>
      <c r="Y67" s="13"/>
      <c r="Z67" s="13"/>
      <c r="AA67" s="13"/>
    </row>
    <row r="68" spans="1:27" ht="36" customHeight="1">
      <c r="A68" s="465"/>
      <c r="B68" s="7">
        <v>1</v>
      </c>
      <c r="C68" s="468" t="s">
        <v>1035</v>
      </c>
      <c r="D68" s="469">
        <v>0.02</v>
      </c>
      <c r="E68" s="467" t="s">
        <v>1036</v>
      </c>
      <c r="F68" s="6">
        <v>3</v>
      </c>
      <c r="G68" s="443">
        <f>D68/F68</f>
        <v>6.6666666666666671E-3</v>
      </c>
      <c r="H68" s="28"/>
      <c r="I68" s="28"/>
      <c r="J68" s="28"/>
      <c r="K68" s="410"/>
      <c r="V68" s="13"/>
      <c r="W68" s="13"/>
      <c r="X68" s="13"/>
      <c r="Y68" s="13"/>
      <c r="Z68" s="13"/>
      <c r="AA68" s="13"/>
    </row>
    <row r="69" spans="1:27" ht="48" customHeight="1">
      <c r="A69" s="465"/>
      <c r="B69" s="7">
        <v>2</v>
      </c>
      <c r="C69" s="468" t="s">
        <v>1037</v>
      </c>
      <c r="D69" s="442">
        <v>1E-3</v>
      </c>
      <c r="E69" s="467" t="s">
        <v>1038</v>
      </c>
      <c r="F69" s="6">
        <v>2</v>
      </c>
      <c r="G69" s="443">
        <f>D69/F69</f>
        <v>5.0000000000000001E-4</v>
      </c>
      <c r="H69" s="28"/>
      <c r="I69" s="28"/>
      <c r="J69" s="28"/>
      <c r="K69" s="410"/>
      <c r="V69" s="13"/>
      <c r="W69" s="13"/>
      <c r="X69" s="13"/>
      <c r="Y69" s="13"/>
      <c r="Z69" s="13"/>
      <c r="AA69" s="13"/>
    </row>
    <row r="70" spans="1:27" ht="33.75" customHeight="1">
      <c r="A70" s="465"/>
      <c r="B70" s="7">
        <v>3</v>
      </c>
      <c r="C70" s="468" t="s">
        <v>1039</v>
      </c>
      <c r="D70" s="442">
        <v>5.0000000000000001E-4</v>
      </c>
      <c r="E70" s="467" t="s">
        <v>1036</v>
      </c>
      <c r="F70" s="6"/>
      <c r="G70" s="443">
        <f>D70/SQRT(3)</f>
        <v>2.886751345948129E-4</v>
      </c>
      <c r="H70" s="28"/>
      <c r="I70" s="28"/>
      <c r="J70" s="28"/>
      <c r="K70" s="410"/>
      <c r="V70" s="13"/>
      <c r="W70" s="13"/>
      <c r="X70" s="13"/>
      <c r="Y70" s="13"/>
      <c r="Z70" s="13"/>
      <c r="AA70" s="13"/>
    </row>
    <row r="71" spans="1:27" ht="15.75" customHeight="1">
      <c r="A71" s="465"/>
      <c r="B71" s="467" t="s">
        <v>1040</v>
      </c>
      <c r="C71" s="1969"/>
      <c r="D71" s="1970"/>
      <c r="E71" s="1970"/>
      <c r="F71" s="1970"/>
      <c r="G71" s="1832"/>
      <c r="H71" s="28"/>
      <c r="I71" s="28"/>
      <c r="J71" s="28"/>
      <c r="K71" s="410"/>
      <c r="V71" s="13"/>
      <c r="W71" s="13"/>
      <c r="X71" s="13"/>
      <c r="Y71" s="13"/>
      <c r="Z71" s="13"/>
      <c r="AA71" s="13"/>
    </row>
    <row r="72" spans="1:27">
      <c r="A72" s="340"/>
      <c r="B72" s="470" t="s">
        <v>1041</v>
      </c>
      <c r="C72" s="28"/>
      <c r="D72" s="28"/>
      <c r="E72" s="28"/>
      <c r="F72" s="28"/>
      <c r="G72" s="28"/>
      <c r="H72" s="28"/>
      <c r="I72" s="28"/>
      <c r="J72" s="28"/>
      <c r="K72" s="410"/>
      <c r="V72" s="13"/>
      <c r="W72" s="13"/>
      <c r="X72" s="13"/>
      <c r="Y72" s="13"/>
      <c r="Z72" s="13"/>
      <c r="AA72" s="13"/>
    </row>
    <row r="73" spans="1:27" ht="18.75" customHeight="1">
      <c r="A73" s="340"/>
      <c r="B73" s="471" t="s">
        <v>1042</v>
      </c>
      <c r="C73" s="470"/>
      <c r="D73" s="28"/>
      <c r="E73" s="28"/>
      <c r="F73" s="28"/>
      <c r="G73" s="28"/>
      <c r="H73" s="28"/>
      <c r="I73" s="28"/>
      <c r="J73" s="28"/>
      <c r="K73" s="410"/>
      <c r="V73" s="13"/>
      <c r="W73" s="13"/>
      <c r="X73" s="13"/>
      <c r="Y73" s="13"/>
      <c r="Z73" s="13"/>
      <c r="AA73" s="13"/>
    </row>
    <row r="74" spans="1:27">
      <c r="A74" s="317"/>
      <c r="B74" s="470" t="s">
        <v>1043</v>
      </c>
      <c r="C74" s="28"/>
      <c r="D74" s="28"/>
      <c r="E74" s="28"/>
      <c r="F74" s="28"/>
      <c r="G74" s="28"/>
      <c r="H74" s="28"/>
      <c r="I74" s="28"/>
      <c r="J74" s="28"/>
      <c r="K74" s="410"/>
    </row>
    <row r="75" spans="1:27" ht="15.75" customHeight="1">
      <c r="A75" s="317"/>
      <c r="B75" s="472" t="s">
        <v>1044</v>
      </c>
      <c r="C75" s="392"/>
      <c r="D75" s="391"/>
      <c r="E75" s="392"/>
      <c r="F75" s="391"/>
      <c r="G75" s="393"/>
      <c r="H75" s="390"/>
      <c r="I75" s="390"/>
      <c r="J75" s="390"/>
      <c r="K75" s="473"/>
    </row>
    <row r="76" spans="1:27" ht="15.75" customHeight="1">
      <c r="A76" s="317"/>
      <c r="B76" s="329" t="s">
        <v>1561</v>
      </c>
      <c r="C76" s="392"/>
      <c r="D76" s="391"/>
      <c r="E76" s="392"/>
      <c r="F76" s="391"/>
      <c r="G76" s="393"/>
      <c r="H76" s="390"/>
      <c r="I76" s="390"/>
      <c r="J76" s="390"/>
      <c r="K76" s="473"/>
    </row>
    <row r="77" spans="1:27">
      <c r="A77" s="317"/>
      <c r="B77" t="s">
        <v>1562</v>
      </c>
      <c r="C77" s="28"/>
      <c r="D77" s="28"/>
      <c r="E77" s="28"/>
      <c r="F77" s="28"/>
      <c r="G77" s="28"/>
      <c r="H77" s="28"/>
      <c r="I77" s="28"/>
      <c r="J77" s="28"/>
      <c r="K77" s="410"/>
    </row>
    <row r="78" spans="1:27">
      <c r="A78" s="317"/>
      <c r="B78" s="28" t="s">
        <v>1045</v>
      </c>
      <c r="C78" s="566" t="s">
        <v>1493</v>
      </c>
      <c r="D78" s="28"/>
      <c r="E78" s="28"/>
      <c r="F78" s="28"/>
      <c r="G78" s="28"/>
      <c r="H78" s="28"/>
      <c r="I78" s="28"/>
      <c r="J78" s="28"/>
      <c r="K78" s="410"/>
    </row>
    <row r="79" spans="1:27">
      <c r="A79" s="340"/>
      <c r="B79" s="459" t="s">
        <v>1047</v>
      </c>
      <c r="C79" s="337"/>
      <c r="D79" s="337" t="s">
        <v>1048</v>
      </c>
      <c r="E79" s="337"/>
      <c r="F79" s="337"/>
      <c r="G79" s="337"/>
      <c r="H79" s="337"/>
      <c r="I79" s="337"/>
      <c r="J79" s="337"/>
      <c r="K79" s="460"/>
      <c r="L79" s="13"/>
      <c r="M79" s="13"/>
      <c r="N79" s="13"/>
      <c r="O79" s="13"/>
      <c r="P79" s="13"/>
      <c r="Q79" s="13"/>
      <c r="R79" s="13"/>
      <c r="S79" s="13"/>
      <c r="T79" s="13"/>
      <c r="U79" s="13"/>
      <c r="V79" s="13"/>
      <c r="W79" s="13"/>
      <c r="X79" s="13"/>
      <c r="Y79" s="13"/>
      <c r="Z79" s="13"/>
      <c r="AA79" s="13"/>
    </row>
    <row r="80" spans="1:27" ht="15.75">
      <c r="A80" s="340"/>
      <c r="B80" s="347" t="s">
        <v>1002</v>
      </c>
      <c r="C80" s="347" t="s">
        <v>1003</v>
      </c>
      <c r="D80" s="347" t="s">
        <v>1004</v>
      </c>
      <c r="E80" s="347" t="s">
        <v>1005</v>
      </c>
      <c r="F80" s="448" t="s">
        <v>1006</v>
      </c>
      <c r="G80" s="449"/>
      <c r="H80" s="390"/>
      <c r="I80" s="482"/>
      <c r="J80" s="482"/>
      <c r="K80" s="390"/>
      <c r="L80" s="13"/>
      <c r="M80" s="13"/>
      <c r="N80" s="13"/>
      <c r="O80" s="13"/>
      <c r="P80" s="13"/>
      <c r="Q80" s="13"/>
      <c r="R80" s="13"/>
      <c r="S80" s="13"/>
      <c r="T80" s="13"/>
      <c r="U80" s="13"/>
      <c r="V80" s="13"/>
      <c r="W80" s="13"/>
      <c r="X80" s="13"/>
      <c r="Y80" s="13"/>
      <c r="Z80" s="13"/>
      <c r="AA80" s="13"/>
    </row>
    <row r="81" spans="1:27" ht="15">
      <c r="A81" s="340"/>
      <c r="B81" s="349">
        <v>0.99447300000000005</v>
      </c>
      <c r="C81" s="622">
        <v>0.99545300000000003</v>
      </c>
      <c r="D81" s="622">
        <v>0.99447300000000005</v>
      </c>
      <c r="E81" s="622">
        <v>0.99545300000000003</v>
      </c>
      <c r="F81" s="622">
        <v>0.99447300000000005</v>
      </c>
      <c r="G81" s="451"/>
      <c r="H81" s="417"/>
      <c r="I81" s="417"/>
      <c r="J81" s="417"/>
      <c r="K81" s="417"/>
      <c r="L81" s="13"/>
      <c r="M81" s="13"/>
      <c r="N81" s="13"/>
      <c r="O81" s="13"/>
      <c r="P81" s="13"/>
      <c r="Q81" s="13"/>
      <c r="R81" s="13"/>
      <c r="S81" s="13"/>
      <c r="T81" s="13"/>
      <c r="U81" s="13"/>
      <c r="V81" s="13"/>
      <c r="W81" s="13"/>
      <c r="X81" s="13"/>
      <c r="Y81" s="13"/>
      <c r="Z81" s="13"/>
      <c r="AA81" s="13"/>
    </row>
    <row r="82" spans="1:27" ht="18.75">
      <c r="A82" s="340"/>
      <c r="B82" s="394" t="s">
        <v>1570</v>
      </c>
      <c r="C82" s="408">
        <f>STDEV(C81:K81)</f>
        <v>5.6580326380582216E-4</v>
      </c>
      <c r="D82" s="409"/>
      <c r="E82" s="409"/>
      <c r="F82" s="579"/>
      <c r="G82" s="621"/>
      <c r="H82" s="621"/>
      <c r="I82" s="621"/>
      <c r="J82" s="621"/>
      <c r="K82" s="621"/>
      <c r="L82" s="13"/>
      <c r="M82" s="13"/>
      <c r="N82" s="13"/>
      <c r="O82" s="13"/>
      <c r="P82" s="13"/>
      <c r="Q82" s="13"/>
      <c r="R82" s="13"/>
      <c r="S82" s="13"/>
      <c r="T82" s="13"/>
      <c r="U82" s="13"/>
      <c r="V82" s="13"/>
      <c r="W82" s="13"/>
      <c r="X82" s="13"/>
      <c r="Y82" s="13"/>
      <c r="Z82" s="13"/>
      <c r="AA82" s="13"/>
    </row>
    <row r="83" spans="1:27">
      <c r="A83" s="340"/>
      <c r="B83" s="463"/>
      <c r="C83" s="463"/>
      <c r="D83" s="463"/>
      <c r="E83" s="463"/>
      <c r="F83" s="463"/>
      <c r="G83" s="463"/>
      <c r="H83" s="463"/>
      <c r="I83" s="463"/>
      <c r="J83" s="463"/>
      <c r="K83" s="464"/>
      <c r="L83" s="13"/>
      <c r="M83" s="13"/>
      <c r="N83" s="13"/>
      <c r="O83" s="13"/>
      <c r="P83" s="13"/>
      <c r="Q83" s="13"/>
      <c r="R83" s="13"/>
      <c r="S83" s="13"/>
      <c r="T83" s="13"/>
      <c r="U83" s="13"/>
      <c r="V83" s="13"/>
      <c r="W83" s="13"/>
      <c r="X83" s="13"/>
      <c r="Y83" s="13"/>
      <c r="Z83" s="13"/>
      <c r="AA83" s="13"/>
    </row>
    <row r="84" spans="1:27" ht="15.75" customHeight="1">
      <c r="A84" s="465" t="s">
        <v>1007</v>
      </c>
      <c r="B84" s="466" t="s">
        <v>1008</v>
      </c>
      <c r="C84" s="28"/>
      <c r="D84" s="28"/>
      <c r="E84" s="28"/>
      <c r="F84" s="28"/>
      <c r="G84" s="28"/>
      <c r="H84" s="28"/>
      <c r="I84" s="28"/>
      <c r="J84" s="28"/>
      <c r="K84" s="410"/>
      <c r="V84" s="13"/>
      <c r="W84" s="13"/>
      <c r="X84" s="13"/>
      <c r="Y84" s="13"/>
      <c r="Z84" s="13"/>
      <c r="AA84" s="13"/>
    </row>
    <row r="85" spans="1:27" ht="15.75" customHeight="1">
      <c r="A85" s="465"/>
      <c r="B85" s="467" t="s">
        <v>1049</v>
      </c>
      <c r="C85" s="467" t="s">
        <v>1010</v>
      </c>
      <c r="D85" s="467" t="s">
        <v>1050</v>
      </c>
      <c r="E85" s="467" t="s">
        <v>1051</v>
      </c>
      <c r="F85" s="467" t="s">
        <v>1052</v>
      </c>
      <c r="G85" s="467" t="s">
        <v>1014</v>
      </c>
      <c r="H85" s="28"/>
      <c r="I85" s="28"/>
      <c r="J85" s="28"/>
      <c r="K85" s="410"/>
      <c r="V85" s="13"/>
      <c r="W85" s="13"/>
      <c r="X85" s="13"/>
      <c r="Y85" s="13"/>
      <c r="Z85" s="13"/>
      <c r="AA85" s="13"/>
    </row>
    <row r="86" spans="1:27" ht="36" customHeight="1">
      <c r="A86" s="465"/>
      <c r="B86" s="7">
        <v>1</v>
      </c>
      <c r="C86" s="468" t="s">
        <v>1053</v>
      </c>
      <c r="D86" s="469">
        <v>0.05</v>
      </c>
      <c r="E86" s="467" t="s">
        <v>1054</v>
      </c>
      <c r="F86" s="6">
        <v>3</v>
      </c>
      <c r="G86" s="443">
        <f>D86/F86</f>
        <v>1.6666666666666666E-2</v>
      </c>
      <c r="H86" s="28"/>
      <c r="I86" s="28"/>
      <c r="J86" s="28"/>
      <c r="K86" s="410"/>
      <c r="V86" s="13"/>
      <c r="W86" s="13"/>
      <c r="X86" s="13"/>
      <c r="Y86" s="13"/>
      <c r="Z86" s="13"/>
      <c r="AA86" s="13"/>
    </row>
    <row r="87" spans="1:27" ht="48" customHeight="1">
      <c r="A87" s="465"/>
      <c r="B87" s="7">
        <v>2</v>
      </c>
      <c r="C87" s="468" t="s">
        <v>1055</v>
      </c>
      <c r="D87" s="442">
        <v>1E-3</v>
      </c>
      <c r="E87" s="467" t="s">
        <v>1056</v>
      </c>
      <c r="F87" s="6">
        <v>2</v>
      </c>
      <c r="G87" s="443">
        <f>D87/F87</f>
        <v>5.0000000000000001E-4</v>
      </c>
      <c r="H87" s="28"/>
      <c r="I87" s="28"/>
      <c r="J87" s="28"/>
      <c r="K87" s="410"/>
      <c r="V87" s="13"/>
      <c r="W87" s="13"/>
      <c r="X87" s="13"/>
      <c r="Y87" s="13"/>
      <c r="Z87" s="13"/>
      <c r="AA87" s="13"/>
    </row>
    <row r="88" spans="1:27" ht="33.75" customHeight="1">
      <c r="A88" s="465"/>
      <c r="B88" s="7">
        <v>3</v>
      </c>
      <c r="C88" s="468" t="s">
        <v>1057</v>
      </c>
      <c r="D88" s="442">
        <v>5.0000000000000001E-4</v>
      </c>
      <c r="E88" s="467" t="s">
        <v>1054</v>
      </c>
      <c r="F88" s="6"/>
      <c r="G88" s="443">
        <f>D88/SQRT(3)</f>
        <v>2.886751345948129E-4</v>
      </c>
      <c r="H88" s="28"/>
      <c r="I88" s="28"/>
      <c r="J88" s="28"/>
      <c r="K88" s="410"/>
      <c r="V88" s="13"/>
      <c r="W88" s="13"/>
      <c r="X88" s="13"/>
      <c r="Y88" s="13"/>
      <c r="Z88" s="13"/>
      <c r="AA88" s="13"/>
    </row>
    <row r="89" spans="1:27" ht="15.75" customHeight="1">
      <c r="A89" s="465"/>
      <c r="B89" s="467" t="s">
        <v>1058</v>
      </c>
      <c r="C89" s="1969"/>
      <c r="D89" s="1970"/>
      <c r="E89" s="1970"/>
      <c r="F89" s="1970"/>
      <c r="G89" s="1832"/>
      <c r="H89" s="28"/>
      <c r="I89" s="28"/>
      <c r="J89" s="28"/>
      <c r="K89" s="410"/>
      <c r="V89" s="13"/>
      <c r="W89" s="13"/>
      <c r="X89" s="13"/>
      <c r="Y89" s="13"/>
      <c r="Z89" s="13"/>
      <c r="AA89" s="13"/>
    </row>
    <row r="90" spans="1:27">
      <c r="A90" s="340"/>
      <c r="B90" s="470" t="s">
        <v>1059</v>
      </c>
      <c r="C90" s="28"/>
      <c r="D90" s="28"/>
      <c r="E90" s="28"/>
      <c r="F90" s="28"/>
      <c r="G90" s="28"/>
      <c r="H90" s="28"/>
      <c r="I90" s="28"/>
      <c r="J90" s="28"/>
      <c r="K90" s="410"/>
      <c r="V90" s="13"/>
      <c r="W90" s="13"/>
      <c r="X90" s="13"/>
      <c r="Y90" s="13"/>
      <c r="Z90" s="13"/>
      <c r="AA90" s="13"/>
    </row>
    <row r="91" spans="1:27" ht="18.75" customHeight="1">
      <c r="A91" s="340"/>
      <c r="B91" s="471" t="s">
        <v>1060</v>
      </c>
      <c r="C91" s="470"/>
      <c r="D91" s="28"/>
      <c r="E91" s="28"/>
      <c r="F91" s="28"/>
      <c r="G91" s="28"/>
      <c r="H91" s="28"/>
      <c r="I91" s="28"/>
      <c r="J91" s="28"/>
      <c r="K91" s="410"/>
      <c r="V91" s="13"/>
      <c r="W91" s="13"/>
      <c r="X91" s="13"/>
      <c r="Y91" s="13"/>
      <c r="Z91" s="13"/>
      <c r="AA91" s="13"/>
    </row>
    <row r="92" spans="1:27">
      <c r="A92" s="317"/>
      <c r="B92" s="470" t="s">
        <v>1061</v>
      </c>
      <c r="C92" s="28"/>
      <c r="D92" s="28"/>
      <c r="E92" s="28"/>
      <c r="F92" s="28"/>
      <c r="G92" s="28"/>
      <c r="H92" s="28"/>
      <c r="I92" s="28"/>
      <c r="J92" s="28"/>
      <c r="K92" s="410"/>
    </row>
    <row r="93" spans="1:27" ht="15.75" customHeight="1">
      <c r="A93" s="317"/>
      <c r="B93" s="472" t="s">
        <v>1062</v>
      </c>
      <c r="C93" s="392"/>
      <c r="D93" s="391"/>
      <c r="E93" s="392"/>
      <c r="F93" s="391"/>
      <c r="G93" s="393"/>
      <c r="H93" s="390"/>
      <c r="I93" s="390"/>
      <c r="J93" s="390"/>
      <c r="K93" s="473"/>
    </row>
    <row r="94" spans="1:27" s="28" customFormat="1" ht="15.75" customHeight="1">
      <c r="B94" s="329" t="s">
        <v>1561</v>
      </c>
      <c r="C94" s="392"/>
      <c r="D94" s="391"/>
      <c r="E94" s="392"/>
      <c r="F94" s="391"/>
      <c r="G94" s="393"/>
      <c r="H94" s="390"/>
      <c r="I94" s="390"/>
      <c r="J94" s="390"/>
      <c r="K94" s="390"/>
    </row>
    <row r="95" spans="1:27" ht="15.75" customHeight="1">
      <c r="A95" s="28"/>
      <c r="B95" t="s">
        <v>1562</v>
      </c>
      <c r="C95" s="392"/>
      <c r="D95" s="391"/>
      <c r="E95" s="392"/>
      <c r="F95" s="391"/>
      <c r="G95" s="393"/>
      <c r="H95" s="390"/>
      <c r="I95" s="390"/>
      <c r="J95" s="390"/>
      <c r="K95" s="390"/>
    </row>
    <row r="96" spans="1:27" ht="18" customHeight="1">
      <c r="A96" s="479" t="s">
        <v>1063</v>
      </c>
      <c r="B96" s="1597" t="s">
        <v>3807</v>
      </c>
      <c r="C96" s="455" t="s">
        <v>1065</v>
      </c>
      <c r="D96" s="456"/>
      <c r="E96" s="2118"/>
      <c r="F96" s="2118"/>
      <c r="G96" s="2118"/>
      <c r="H96" s="2118"/>
      <c r="I96" s="315"/>
      <c r="J96" s="315"/>
      <c r="K96" s="315"/>
      <c r="L96" s="457"/>
      <c r="M96" s="457"/>
      <c r="N96" s="457"/>
      <c r="O96" s="457"/>
      <c r="P96" s="457"/>
      <c r="Q96" s="457"/>
      <c r="R96" s="457"/>
      <c r="S96" s="457"/>
      <c r="T96" s="457"/>
      <c r="U96" s="457"/>
      <c r="V96" s="457"/>
      <c r="W96" s="457"/>
      <c r="X96" s="457"/>
      <c r="Y96" s="457"/>
      <c r="Z96" s="457"/>
      <c r="AA96" s="457"/>
    </row>
    <row r="97" spans="1:27">
      <c r="A97" s="165"/>
      <c r="B97" s="398" t="s">
        <v>998</v>
      </c>
      <c r="C97" s="398" t="s">
        <v>1066</v>
      </c>
      <c r="D97" s="398"/>
      <c r="E97" s="398"/>
      <c r="F97" s="398"/>
      <c r="G97" s="398"/>
      <c r="H97" s="398"/>
      <c r="I97" s="398"/>
      <c r="J97" s="398"/>
      <c r="K97" s="411"/>
    </row>
    <row r="98" spans="1:27">
      <c r="A98" s="340"/>
      <c r="B98" s="459" t="s">
        <v>1067</v>
      </c>
      <c r="C98" s="337"/>
      <c r="D98" s="337" t="s">
        <v>1001</v>
      </c>
      <c r="E98" s="337"/>
      <c r="F98" s="337"/>
      <c r="G98" s="337"/>
      <c r="H98" s="337"/>
      <c r="I98" s="337"/>
      <c r="J98" s="337"/>
      <c r="K98" s="460"/>
      <c r="L98" s="13"/>
      <c r="M98" s="13"/>
      <c r="N98" s="13"/>
      <c r="O98" s="13"/>
      <c r="P98" s="13"/>
      <c r="Q98" s="13"/>
      <c r="R98" s="13"/>
      <c r="S98" s="13"/>
      <c r="T98" s="13"/>
      <c r="U98" s="13"/>
      <c r="V98" s="13"/>
      <c r="W98" s="13"/>
      <c r="X98" s="13"/>
      <c r="Y98" s="13"/>
      <c r="Z98" s="13"/>
      <c r="AA98" s="13"/>
    </row>
    <row r="99" spans="1:27" ht="15.75">
      <c r="A99" s="340"/>
      <c r="B99" s="347" t="s">
        <v>1002</v>
      </c>
      <c r="C99" s="347" t="s">
        <v>1003</v>
      </c>
      <c r="D99" s="347" t="s">
        <v>1004</v>
      </c>
      <c r="E99" s="347" t="s">
        <v>1005</v>
      </c>
      <c r="F99" s="347" t="s">
        <v>1006</v>
      </c>
      <c r="G99" s="417"/>
      <c r="H99" s="417"/>
      <c r="I99" s="418"/>
      <c r="J99" s="418"/>
      <c r="K99" s="417"/>
      <c r="L99" s="13"/>
      <c r="M99" s="13"/>
      <c r="N99" s="13"/>
      <c r="O99" s="13"/>
      <c r="P99" s="13"/>
      <c r="Q99" s="13"/>
      <c r="R99" s="13"/>
      <c r="S99" s="13"/>
      <c r="T99" s="13"/>
      <c r="U99" s="13"/>
      <c r="V99" s="13"/>
      <c r="W99" s="13"/>
      <c r="X99" s="13"/>
      <c r="Y99" s="13"/>
      <c r="Z99" s="13"/>
      <c r="AA99" s="13"/>
    </row>
    <row r="100" spans="1:27" ht="15">
      <c r="A100" s="340"/>
      <c r="B100" s="349">
        <v>0.99447300000000005</v>
      </c>
      <c r="C100" s="349">
        <v>0.99545300000000003</v>
      </c>
      <c r="D100" s="349">
        <v>0.99447300000000005</v>
      </c>
      <c r="E100" s="349">
        <v>0.99545300000000003</v>
      </c>
      <c r="F100" s="349">
        <v>0.99447300000000005</v>
      </c>
      <c r="G100" s="417"/>
      <c r="H100" s="417"/>
      <c r="I100" s="417"/>
      <c r="J100" s="417"/>
      <c r="K100" s="417"/>
      <c r="L100" s="13"/>
      <c r="M100" s="13"/>
      <c r="N100" s="13"/>
      <c r="O100" s="13"/>
      <c r="P100" s="13"/>
      <c r="Q100" s="13"/>
      <c r="R100" s="13"/>
      <c r="S100" s="13"/>
      <c r="T100" s="13"/>
      <c r="U100" s="13"/>
      <c r="V100" s="13"/>
      <c r="W100" s="13"/>
      <c r="X100" s="13"/>
      <c r="Y100" s="13"/>
      <c r="Z100" s="13"/>
      <c r="AA100" s="13"/>
    </row>
    <row r="101" spans="1:27" ht="18.75">
      <c r="A101" s="340"/>
      <c r="B101" s="394" t="s">
        <v>1078</v>
      </c>
      <c r="C101" s="2119">
        <f>STDEV(C100:K100)</f>
        <v>5.6580326380582216E-4</v>
      </c>
      <c r="D101" s="2120"/>
      <c r="E101" s="2120"/>
      <c r="F101" s="2120"/>
      <c r="G101" s="2121"/>
      <c r="H101" s="2121"/>
      <c r="I101" s="2121"/>
      <c r="J101" s="2121"/>
      <c r="K101" s="2122"/>
      <c r="L101" s="13"/>
      <c r="M101" s="13"/>
      <c r="N101" s="13"/>
      <c r="O101" s="13"/>
      <c r="P101" s="13"/>
      <c r="Q101" s="13"/>
      <c r="R101" s="13"/>
      <c r="S101" s="13"/>
      <c r="T101" s="13"/>
      <c r="U101" s="13"/>
      <c r="V101" s="13"/>
      <c r="W101" s="13"/>
      <c r="X101" s="13"/>
      <c r="Y101" s="13"/>
      <c r="Z101" s="13"/>
      <c r="AA101" s="13"/>
    </row>
    <row r="102" spans="1:27">
      <c r="A102" s="340"/>
      <c r="B102" s="463"/>
      <c r="C102" s="463"/>
      <c r="D102" s="463"/>
      <c r="E102" s="463"/>
      <c r="F102" s="463"/>
      <c r="G102" s="463"/>
      <c r="H102" s="463"/>
      <c r="I102" s="463"/>
      <c r="J102" s="463"/>
      <c r="K102" s="464"/>
      <c r="L102" s="13"/>
      <c r="M102" s="13"/>
      <c r="N102" s="13"/>
      <c r="O102" s="13"/>
      <c r="P102" s="13"/>
      <c r="Q102" s="13"/>
      <c r="R102" s="13"/>
      <c r="S102" s="13"/>
      <c r="T102" s="13"/>
      <c r="U102" s="13"/>
      <c r="V102" s="13"/>
      <c r="W102" s="13"/>
      <c r="X102" s="13"/>
      <c r="Y102" s="13"/>
      <c r="Z102" s="13"/>
      <c r="AA102" s="13"/>
    </row>
    <row r="103" spans="1:27" ht="15.75" customHeight="1">
      <c r="A103" s="465" t="s">
        <v>1007</v>
      </c>
      <c r="B103" s="466" t="s">
        <v>1008</v>
      </c>
      <c r="C103" s="28"/>
      <c r="D103" s="28"/>
      <c r="E103" s="28"/>
      <c r="F103" s="28"/>
      <c r="G103" s="28"/>
      <c r="H103" s="28"/>
      <c r="I103" s="28"/>
      <c r="J103" s="28"/>
      <c r="K103" s="410"/>
      <c r="V103" s="13"/>
      <c r="W103" s="13"/>
      <c r="X103" s="13"/>
      <c r="Y103" s="13"/>
      <c r="Z103" s="13"/>
      <c r="AA103" s="13"/>
    </row>
    <row r="104" spans="1:27" ht="15.75" customHeight="1">
      <c r="A104" s="465"/>
      <c r="B104" s="467" t="s">
        <v>1049</v>
      </c>
      <c r="C104" s="467" t="s">
        <v>1010</v>
      </c>
      <c r="D104" s="467" t="s">
        <v>1050</v>
      </c>
      <c r="E104" s="467" t="s">
        <v>1051</v>
      </c>
      <c r="F104" s="467" t="s">
        <v>1052</v>
      </c>
      <c r="G104" s="467" t="s">
        <v>1014</v>
      </c>
      <c r="H104" s="28"/>
      <c r="I104" s="28"/>
      <c r="J104" s="28"/>
      <c r="K104" s="410"/>
      <c r="V104" s="13"/>
      <c r="W104" s="13"/>
      <c r="X104" s="13"/>
      <c r="Y104" s="13"/>
      <c r="Z104" s="13"/>
      <c r="AA104" s="13"/>
    </row>
    <row r="105" spans="1:27" ht="36" customHeight="1">
      <c r="A105" s="465"/>
      <c r="B105" s="7">
        <v>1</v>
      </c>
      <c r="C105" s="468" t="s">
        <v>1053</v>
      </c>
      <c r="D105" s="469">
        <v>5.0000000000000001E-3</v>
      </c>
      <c r="E105" s="467" t="s">
        <v>1054</v>
      </c>
      <c r="F105" s="6">
        <v>3</v>
      </c>
      <c r="G105" s="443">
        <f>D105/F105</f>
        <v>1.6666666666666668E-3</v>
      </c>
      <c r="H105" s="28"/>
      <c r="I105" s="28"/>
      <c r="J105" s="28"/>
      <c r="K105" s="410"/>
      <c r="V105" s="13"/>
      <c r="W105" s="13"/>
      <c r="X105" s="13"/>
      <c r="Y105" s="13"/>
      <c r="Z105" s="13"/>
      <c r="AA105" s="13"/>
    </row>
    <row r="106" spans="1:27" ht="48" customHeight="1">
      <c r="A106" s="465"/>
      <c r="B106" s="7">
        <v>2</v>
      </c>
      <c r="C106" s="468" t="s">
        <v>1055</v>
      </c>
      <c r="D106" s="442">
        <v>5.0000000000000001E-4</v>
      </c>
      <c r="E106" s="467" t="s">
        <v>1056</v>
      </c>
      <c r="F106" s="6">
        <v>2</v>
      </c>
      <c r="G106" s="443">
        <f>D106/F106</f>
        <v>2.5000000000000001E-4</v>
      </c>
      <c r="H106" s="28"/>
      <c r="I106" s="28"/>
      <c r="J106" s="28"/>
      <c r="K106" s="410"/>
      <c r="V106" s="13"/>
      <c r="W106" s="13"/>
      <c r="X106" s="13"/>
      <c r="Y106" s="13"/>
      <c r="Z106" s="13"/>
      <c r="AA106" s="13"/>
    </row>
    <row r="107" spans="1:27" ht="33.75" customHeight="1">
      <c r="A107" s="465"/>
      <c r="B107" s="7">
        <v>3</v>
      </c>
      <c r="C107" s="468" t="s">
        <v>1079</v>
      </c>
      <c r="D107" s="442">
        <v>5.0000000000000001E-4</v>
      </c>
      <c r="E107" s="467" t="s">
        <v>1054</v>
      </c>
      <c r="F107" s="6"/>
      <c r="G107" s="443">
        <f>D107/SQRT(3)</f>
        <v>2.886751345948129E-4</v>
      </c>
      <c r="H107" s="28"/>
      <c r="I107" s="28"/>
      <c r="J107" s="28"/>
      <c r="K107" s="410"/>
      <c r="V107" s="13"/>
      <c r="W107" s="13"/>
      <c r="X107" s="13"/>
      <c r="Y107" s="13"/>
      <c r="Z107" s="13"/>
      <c r="AA107" s="13"/>
    </row>
    <row r="108" spans="1:27" ht="15.75" customHeight="1">
      <c r="A108" s="465"/>
      <c r="B108" s="467" t="s">
        <v>1058</v>
      </c>
      <c r="C108" s="1969"/>
      <c r="D108" s="1970"/>
      <c r="E108" s="1970"/>
      <c r="F108" s="1970"/>
      <c r="G108" s="1832"/>
      <c r="H108" s="28"/>
      <c r="I108" s="28"/>
      <c r="J108" s="28"/>
      <c r="K108" s="410"/>
      <c r="V108" s="13"/>
      <c r="W108" s="13"/>
      <c r="X108" s="13"/>
      <c r="Y108" s="13"/>
      <c r="Z108" s="13"/>
      <c r="AA108" s="13"/>
    </row>
    <row r="109" spans="1:27">
      <c r="A109" s="340"/>
      <c r="B109" s="470" t="s">
        <v>1059</v>
      </c>
      <c r="C109" s="28"/>
      <c r="D109" s="28"/>
      <c r="E109" s="28"/>
      <c r="F109" s="28"/>
      <c r="G109" s="28"/>
      <c r="H109" s="28"/>
      <c r="I109" s="28"/>
      <c r="J109" s="28"/>
      <c r="K109" s="410"/>
      <c r="V109" s="13"/>
      <c r="W109" s="13"/>
      <c r="X109" s="13"/>
      <c r="Y109" s="13"/>
      <c r="Z109" s="13"/>
      <c r="AA109" s="13"/>
    </row>
    <row r="110" spans="1:27" ht="18.75" customHeight="1">
      <c r="A110" s="340"/>
      <c r="B110" s="471" t="s">
        <v>1060</v>
      </c>
      <c r="C110" s="470"/>
      <c r="D110" s="28"/>
      <c r="E110" s="28"/>
      <c r="F110" s="28"/>
      <c r="G110" s="28"/>
      <c r="H110" s="28"/>
      <c r="I110" s="28"/>
      <c r="J110" s="28"/>
      <c r="K110" s="410"/>
      <c r="V110" s="13"/>
      <c r="W110" s="13"/>
      <c r="X110" s="13"/>
      <c r="Y110" s="13"/>
      <c r="Z110" s="13"/>
      <c r="AA110" s="13"/>
    </row>
    <row r="111" spans="1:27">
      <c r="A111" s="317"/>
      <c r="B111" s="470" t="s">
        <v>1061</v>
      </c>
      <c r="C111" s="28"/>
      <c r="D111" s="28"/>
      <c r="E111" s="28"/>
      <c r="F111" s="28"/>
      <c r="G111" s="28"/>
      <c r="H111" s="28"/>
      <c r="I111" s="28"/>
      <c r="J111" s="28"/>
      <c r="K111" s="410"/>
    </row>
    <row r="112" spans="1:27" ht="15.75" customHeight="1">
      <c r="A112" s="317"/>
      <c r="B112" s="472" t="s">
        <v>1062</v>
      </c>
      <c r="C112" s="392"/>
      <c r="D112" s="391"/>
      <c r="E112" s="392"/>
      <c r="F112" s="391"/>
      <c r="G112" s="393"/>
      <c r="H112" s="390"/>
      <c r="I112" s="390"/>
      <c r="J112" s="390"/>
      <c r="K112" s="473"/>
    </row>
    <row r="113" spans="1:11" ht="15.75" customHeight="1">
      <c r="A113" s="28"/>
      <c r="B113" s="329" t="s">
        <v>1561</v>
      </c>
      <c r="C113" s="392"/>
      <c r="D113" s="391"/>
      <c r="E113" s="392"/>
      <c r="F113" s="391"/>
      <c r="G113" s="393"/>
      <c r="H113" s="390"/>
      <c r="I113" s="390"/>
      <c r="J113" s="390"/>
      <c r="K113" s="473"/>
    </row>
    <row r="114" spans="1:11" ht="15.75" customHeight="1">
      <c r="A114" s="28"/>
      <c r="B114" t="s">
        <v>1562</v>
      </c>
      <c r="C114" s="392"/>
      <c r="D114" s="391"/>
      <c r="E114" s="392"/>
      <c r="F114" s="391"/>
      <c r="G114" s="393"/>
      <c r="H114" s="390"/>
      <c r="I114" s="390"/>
      <c r="J114" s="390"/>
      <c r="K114" s="473"/>
    </row>
    <row r="115" spans="1:11">
      <c r="A115" s="317"/>
      <c r="B115" s="28" t="s">
        <v>998</v>
      </c>
      <c r="C115" s="28" t="s">
        <v>1080</v>
      </c>
      <c r="D115" s="28"/>
      <c r="E115" s="28"/>
      <c r="F115" s="28"/>
      <c r="G115" s="28"/>
      <c r="H115" s="28"/>
      <c r="I115" s="28"/>
      <c r="J115" s="28"/>
      <c r="K115" s="410"/>
    </row>
    <row r="116" spans="1:11">
      <c r="A116" s="340"/>
      <c r="B116" s="459" t="s">
        <v>1067</v>
      </c>
      <c r="C116" s="337"/>
      <c r="D116" s="337" t="s">
        <v>1001</v>
      </c>
      <c r="E116" s="337"/>
      <c r="F116" s="337"/>
      <c r="G116" s="337"/>
      <c r="H116" s="337"/>
      <c r="I116" s="337"/>
      <c r="J116" s="337"/>
      <c r="K116" s="460"/>
    </row>
    <row r="117" spans="1:11" ht="15.75">
      <c r="A117" s="340"/>
      <c r="B117" s="347" t="s">
        <v>1002</v>
      </c>
      <c r="C117" s="347" t="s">
        <v>1003</v>
      </c>
      <c r="D117" s="347" t="s">
        <v>1004</v>
      </c>
      <c r="E117" s="347" t="s">
        <v>1005</v>
      </c>
      <c r="F117" s="448" t="s">
        <v>1006</v>
      </c>
      <c r="G117" s="451"/>
      <c r="H117" s="417"/>
      <c r="I117" s="418"/>
      <c r="J117" s="418"/>
      <c r="K117" s="417"/>
    </row>
    <row r="118" spans="1:11" ht="15">
      <c r="A118" s="340"/>
      <c r="B118" s="349">
        <v>0.99447300000000005</v>
      </c>
      <c r="C118" s="349">
        <v>0.99545300000000003</v>
      </c>
      <c r="D118" s="349">
        <v>0.99447300000000005</v>
      </c>
      <c r="E118" s="349">
        <v>0.99545300000000003</v>
      </c>
      <c r="F118" s="349">
        <v>0.99447300000000005</v>
      </c>
      <c r="G118" s="451"/>
      <c r="H118" s="417"/>
      <c r="I118" s="417"/>
      <c r="J118" s="417"/>
      <c r="K118" s="417"/>
    </row>
    <row r="119" spans="1:11" ht="18.75">
      <c r="A119" s="340"/>
      <c r="B119" s="394" t="s">
        <v>1078</v>
      </c>
      <c r="C119" s="2119">
        <f>STDEV(C118:K118)</f>
        <v>5.6580326380582216E-4</v>
      </c>
      <c r="D119" s="2120"/>
      <c r="E119" s="2120"/>
      <c r="F119" s="2120"/>
      <c r="G119" s="2121"/>
      <c r="H119" s="2121"/>
      <c r="I119" s="2121"/>
      <c r="J119" s="2121"/>
      <c r="K119" s="2122"/>
    </row>
    <row r="120" spans="1:11">
      <c r="A120" s="340"/>
      <c r="B120" s="463"/>
      <c r="C120" s="463"/>
      <c r="D120" s="463"/>
      <c r="E120" s="463"/>
      <c r="F120" s="463"/>
      <c r="G120" s="463"/>
      <c r="H120" s="463"/>
      <c r="I120" s="463"/>
      <c r="J120" s="463"/>
      <c r="K120" s="464"/>
    </row>
    <row r="121" spans="1:11">
      <c r="A121" s="465" t="s">
        <v>1007</v>
      </c>
      <c r="B121" s="466" t="s">
        <v>1008</v>
      </c>
      <c r="C121" s="28"/>
      <c r="D121" s="28"/>
      <c r="E121" s="28"/>
      <c r="F121" s="28"/>
      <c r="G121" s="28"/>
      <c r="H121" s="28"/>
      <c r="I121" s="28"/>
      <c r="J121" s="28"/>
      <c r="K121" s="410"/>
    </row>
    <row r="122" spans="1:11">
      <c r="A122" s="465"/>
      <c r="B122" s="467" t="s">
        <v>1049</v>
      </c>
      <c r="C122" s="467" t="s">
        <v>1010</v>
      </c>
      <c r="D122" s="467" t="s">
        <v>1050</v>
      </c>
      <c r="E122" s="467" t="s">
        <v>1051</v>
      </c>
      <c r="F122" s="467" t="s">
        <v>1052</v>
      </c>
      <c r="G122" s="467" t="s">
        <v>1014</v>
      </c>
      <c r="H122" s="28"/>
      <c r="I122" s="28"/>
      <c r="J122" s="28"/>
      <c r="K122" s="410"/>
    </row>
    <row r="123" spans="1:11" ht="28.5">
      <c r="A123" s="465"/>
      <c r="B123" s="7">
        <v>1</v>
      </c>
      <c r="C123" s="468" t="s">
        <v>1053</v>
      </c>
      <c r="D123" s="469">
        <v>0.01</v>
      </c>
      <c r="E123" s="467" t="s">
        <v>1054</v>
      </c>
      <c r="F123" s="6">
        <v>3</v>
      </c>
      <c r="G123" s="443">
        <f>D123/F123</f>
        <v>3.3333333333333335E-3</v>
      </c>
      <c r="H123" s="28"/>
      <c r="I123" s="28"/>
      <c r="J123" s="28"/>
      <c r="K123" s="410"/>
    </row>
    <row r="124" spans="1:11">
      <c r="A124" s="465"/>
      <c r="B124" s="7">
        <v>2</v>
      </c>
      <c r="C124" s="468" t="s">
        <v>1055</v>
      </c>
      <c r="D124" s="442">
        <v>8.0000000000000004E-4</v>
      </c>
      <c r="E124" s="467" t="s">
        <v>1056</v>
      </c>
      <c r="F124" s="6">
        <v>2</v>
      </c>
      <c r="G124" s="443">
        <f>D124/F124</f>
        <v>4.0000000000000002E-4</v>
      </c>
      <c r="H124" s="28"/>
      <c r="I124" s="28"/>
      <c r="J124" s="28"/>
      <c r="K124" s="410"/>
    </row>
    <row r="125" spans="1:11">
      <c r="A125" s="465"/>
      <c r="B125" s="7">
        <v>3</v>
      </c>
      <c r="C125" s="468" t="s">
        <v>1079</v>
      </c>
      <c r="D125" s="442">
        <v>2.0000000000000001E-4</v>
      </c>
      <c r="E125" s="467" t="s">
        <v>1054</v>
      </c>
      <c r="F125" s="6"/>
      <c r="G125" s="443">
        <f>D125/SQRT(3)</f>
        <v>1.1547005383792517E-4</v>
      </c>
      <c r="H125" s="28"/>
      <c r="I125" s="28"/>
      <c r="J125" s="28"/>
      <c r="K125" s="410"/>
    </row>
    <row r="126" spans="1:11" ht="18.75">
      <c r="A126" s="465"/>
      <c r="B126" s="467" t="s">
        <v>1058</v>
      </c>
      <c r="C126" s="1969"/>
      <c r="D126" s="1970"/>
      <c r="E126" s="1970"/>
      <c r="F126" s="1970"/>
      <c r="G126" s="1832"/>
      <c r="H126" s="28"/>
      <c r="I126" s="28"/>
      <c r="J126" s="28"/>
      <c r="K126" s="410"/>
    </row>
    <row r="127" spans="1:11">
      <c r="A127" s="340"/>
      <c r="B127" s="470" t="s">
        <v>1059</v>
      </c>
      <c r="C127" s="28"/>
      <c r="D127" s="28"/>
      <c r="E127" s="28"/>
      <c r="F127" s="28"/>
      <c r="G127" s="28"/>
      <c r="H127" s="28"/>
      <c r="I127" s="28"/>
      <c r="J127" s="28"/>
      <c r="K127" s="410"/>
    </row>
    <row r="128" spans="1:11" ht="18.75">
      <c r="A128" s="340"/>
      <c r="B128" s="471" t="s">
        <v>1060</v>
      </c>
      <c r="C128" s="470"/>
      <c r="D128" s="28"/>
      <c r="E128" s="28"/>
      <c r="F128" s="28"/>
      <c r="G128" s="28"/>
      <c r="H128" s="28"/>
      <c r="I128" s="28"/>
      <c r="J128" s="28"/>
      <c r="K128" s="410"/>
    </row>
    <row r="129" spans="1:11">
      <c r="A129" s="317"/>
      <c r="B129" s="470" t="s">
        <v>1061</v>
      </c>
      <c r="C129" s="28"/>
      <c r="D129" s="28"/>
      <c r="E129" s="28"/>
      <c r="F129" s="28"/>
      <c r="G129" s="28"/>
      <c r="H129" s="28"/>
      <c r="I129" s="28"/>
      <c r="J129" s="28"/>
      <c r="K129" s="410"/>
    </row>
    <row r="130" spans="1:11">
      <c r="A130" s="317"/>
      <c r="B130" s="472" t="s">
        <v>1062</v>
      </c>
      <c r="C130" s="28"/>
      <c r="D130" s="28"/>
      <c r="E130" s="28"/>
      <c r="F130" s="28"/>
      <c r="G130" s="28"/>
      <c r="H130" s="28"/>
      <c r="I130" s="28"/>
      <c r="J130" s="28"/>
      <c r="K130" s="410"/>
    </row>
    <row r="131" spans="1:11">
      <c r="A131" s="317"/>
      <c r="B131" s="329" t="s">
        <v>1561</v>
      </c>
      <c r="C131" s="28"/>
      <c r="D131" s="28"/>
      <c r="E131" s="28"/>
      <c r="F131" s="28"/>
      <c r="G131" s="28"/>
      <c r="H131" s="28"/>
      <c r="I131" s="28"/>
      <c r="J131" s="28"/>
      <c r="K131" s="410"/>
    </row>
    <row r="132" spans="1:11" ht="15.75">
      <c r="A132" s="389"/>
      <c r="B132" s="107" t="s">
        <v>1562</v>
      </c>
      <c r="C132" s="474"/>
      <c r="D132" s="475"/>
      <c r="E132" s="474"/>
      <c r="F132" s="475"/>
      <c r="G132" s="476"/>
      <c r="H132" s="477"/>
      <c r="I132" s="477"/>
      <c r="J132" s="477"/>
      <c r="K132" s="478"/>
    </row>
    <row r="133" spans="1:11">
      <c r="A133" s="28"/>
      <c r="B133" s="28"/>
      <c r="C133" s="28"/>
      <c r="D133" s="28"/>
      <c r="E133" s="28"/>
      <c r="F133" s="28"/>
      <c r="G133" s="28"/>
      <c r="H133" s="28"/>
      <c r="I133" s="28"/>
      <c r="J133" s="28"/>
      <c r="K133" s="28"/>
    </row>
    <row r="134" spans="1:11">
      <c r="A134" s="28"/>
      <c r="B134" s="28"/>
      <c r="C134" s="28"/>
      <c r="D134" s="28"/>
      <c r="E134" s="28"/>
      <c r="F134" s="28"/>
      <c r="G134" s="28"/>
      <c r="H134" s="28"/>
      <c r="I134" s="28"/>
      <c r="J134" s="28"/>
      <c r="K134" s="28"/>
    </row>
    <row r="135" spans="1:11">
      <c r="A135" s="28"/>
      <c r="B135" s="28"/>
      <c r="C135" s="28"/>
      <c r="D135" s="28"/>
      <c r="E135" s="28"/>
      <c r="F135" s="28"/>
      <c r="G135" s="28"/>
      <c r="H135" s="28"/>
      <c r="I135" s="28"/>
      <c r="J135" s="28"/>
      <c r="K135" s="28"/>
    </row>
    <row r="136" spans="1:11">
      <c r="A136" s="28"/>
      <c r="B136" s="28"/>
      <c r="C136" s="28"/>
      <c r="D136" s="28"/>
      <c r="E136" s="28"/>
      <c r="F136" s="28"/>
      <c r="G136" s="28"/>
      <c r="H136" s="28"/>
      <c r="I136" s="28"/>
      <c r="J136" s="28"/>
      <c r="K136" s="28"/>
    </row>
    <row r="137" spans="1:11">
      <c r="A137" s="28"/>
      <c r="B137" s="28"/>
      <c r="C137" s="28"/>
      <c r="D137" s="28"/>
      <c r="E137" s="28"/>
      <c r="F137" s="28"/>
      <c r="G137" s="28"/>
      <c r="H137" s="28"/>
      <c r="I137" s="28"/>
      <c r="J137" s="28"/>
      <c r="K137" s="28"/>
    </row>
    <row r="138" spans="1:11">
      <c r="A138" s="28"/>
      <c r="B138" s="28"/>
      <c r="C138" s="28"/>
      <c r="D138" s="28"/>
      <c r="E138" s="28"/>
      <c r="F138" s="28"/>
      <c r="G138" s="28"/>
      <c r="H138" s="28"/>
      <c r="I138" s="28"/>
      <c r="J138" s="28"/>
      <c r="K138" s="28"/>
    </row>
  </sheetData>
  <mergeCells count="11">
    <mergeCell ref="C119:K119"/>
    <mergeCell ref="C126:G126"/>
    <mergeCell ref="C71:G71"/>
    <mergeCell ref="C89:G89"/>
    <mergeCell ref="E96:H96"/>
    <mergeCell ref="C101:K101"/>
    <mergeCell ref="E1:H1"/>
    <mergeCell ref="C14:G14"/>
    <mergeCell ref="C33:G33"/>
    <mergeCell ref="C53:G53"/>
    <mergeCell ref="C108:G108"/>
  </mergeCells>
  <phoneticPr fontId="99" type="noConversion"/>
  <pageMargins left="0.75" right="0.75" top="1" bottom="1" header="0.5" footer="0.5"/>
  <drawing r:id="rId1"/>
  <legacyDrawing r:id="rId2"/>
</worksheet>
</file>

<file path=xl/worksheets/sheet11.xml><?xml version="1.0" encoding="utf-8"?>
<worksheet xmlns="http://schemas.openxmlformats.org/spreadsheetml/2006/main" xmlns:r="http://schemas.openxmlformats.org/officeDocument/2006/relationships">
  <dimension ref="A1:BF64"/>
  <sheetViews>
    <sheetView topLeftCell="A7" workbookViewId="0">
      <selection activeCell="Q53" sqref="Q53:S53"/>
    </sheetView>
  </sheetViews>
  <sheetFormatPr defaultRowHeight="14.25" outlineLevelRow="1"/>
  <cols>
    <col min="1" max="1" width="21.375" customWidth="1"/>
    <col min="3" max="3" width="46.125" customWidth="1"/>
    <col min="4" max="4" width="0.75" customWidth="1"/>
    <col min="5" max="5" width="7.375" customWidth="1"/>
    <col min="6" max="6" width="8.875" customWidth="1"/>
    <col min="7" max="8" width="9" hidden="1" customWidth="1"/>
    <col min="9" max="9" width="5.625" customWidth="1"/>
    <col min="10" max="10" width="5.25" customWidth="1"/>
    <col min="11" max="11" width="9" hidden="1" customWidth="1"/>
    <col min="12" max="12" width="19.125" customWidth="1"/>
    <col min="14" max="14" width="2.375" customWidth="1"/>
    <col min="20" max="20" width="16.625" customWidth="1"/>
    <col min="24" max="24" width="13.375" customWidth="1"/>
    <col min="34" max="34" width="8.875" customWidth="1"/>
    <col min="35" max="35" width="13.25" customWidth="1"/>
    <col min="36" max="36" width="14.25" customWidth="1"/>
    <col min="37" max="37" width="15.875" customWidth="1"/>
    <col min="53" max="53" width="9" customWidth="1"/>
    <col min="54" max="54" width="15.5" customWidth="1"/>
    <col min="58" max="58" width="15.375" customWidth="1"/>
    <col min="63" max="63" width="17.125" customWidth="1"/>
  </cols>
  <sheetData>
    <row r="1" spans="1:57" ht="45" customHeight="1">
      <c r="A1" s="1534" t="s">
        <v>51</v>
      </c>
      <c r="B1" s="2223" t="s">
        <v>3645</v>
      </c>
      <c r="C1" s="2223"/>
      <c r="D1" s="1462"/>
      <c r="E1" s="1462"/>
      <c r="F1" s="1462"/>
      <c r="G1" s="1462"/>
      <c r="H1" s="1462"/>
      <c r="I1" s="1462"/>
      <c r="J1" s="1462"/>
      <c r="K1" s="1462"/>
      <c r="L1" s="1462"/>
      <c r="M1" s="1462"/>
      <c r="N1" s="1462"/>
      <c r="O1" s="1462"/>
      <c r="P1" s="1462"/>
      <c r="Q1" s="1462"/>
      <c r="R1" s="1462"/>
      <c r="S1" s="1462"/>
      <c r="T1" s="1462"/>
      <c r="U1" s="1462"/>
      <c r="V1" s="1462"/>
      <c r="W1" s="1462"/>
      <c r="X1" s="1462"/>
      <c r="Y1" s="1462"/>
      <c r="Z1" s="1462"/>
      <c r="AA1" s="1462"/>
      <c r="AB1" s="1462"/>
      <c r="AC1" s="1462"/>
      <c r="AD1" s="1462"/>
      <c r="AE1" s="1462"/>
      <c r="AF1" s="1462"/>
      <c r="AG1" s="1462"/>
      <c r="AH1" s="1462"/>
      <c r="AI1" s="1462"/>
      <c r="AJ1" s="1462"/>
      <c r="AK1" s="1462"/>
      <c r="AL1" s="1462"/>
      <c r="AM1" s="1462"/>
      <c r="AN1" s="1462"/>
      <c r="AO1" s="1462"/>
      <c r="AP1" s="1462"/>
      <c r="AQ1" s="1462"/>
      <c r="AR1" s="1462"/>
      <c r="AS1" s="1462"/>
      <c r="AT1" s="1462"/>
      <c r="AU1" s="1462"/>
      <c r="AV1" s="1462"/>
      <c r="AW1" s="1462"/>
      <c r="AX1" s="1462"/>
      <c r="AY1" s="1462"/>
      <c r="AZ1" s="1462"/>
      <c r="BA1" s="1462"/>
      <c r="BB1" s="1462"/>
      <c r="BC1" s="1462"/>
      <c r="BD1" s="1462"/>
      <c r="BE1" s="1462"/>
    </row>
    <row r="2" spans="1:57" outlineLevel="1">
      <c r="A2" s="2018" t="s">
        <v>32</v>
      </c>
      <c r="B2" s="2019"/>
      <c r="C2" s="2020"/>
      <c r="D2" s="1533"/>
      <c r="E2" s="1462"/>
      <c r="F2" s="1462"/>
      <c r="G2" s="1462"/>
      <c r="H2" s="1462"/>
      <c r="I2" s="1462"/>
      <c r="J2" s="1462"/>
      <c r="K2" s="1462"/>
      <c r="L2" s="1462"/>
      <c r="M2" s="1462"/>
      <c r="N2" s="1462"/>
      <c r="O2" s="1462"/>
      <c r="P2" s="1462"/>
      <c r="Q2" s="1462"/>
      <c r="R2" s="1462"/>
      <c r="S2" s="1462"/>
      <c r="T2" s="1462"/>
      <c r="U2" s="1462"/>
      <c r="V2" s="1462"/>
      <c r="W2" s="1462"/>
      <c r="X2" s="1462"/>
      <c r="Y2" s="1462"/>
      <c r="Z2" s="1462"/>
      <c r="AA2" s="1462"/>
      <c r="AB2" s="1462"/>
      <c r="AC2" s="1462"/>
      <c r="AD2" s="1462"/>
      <c r="AE2" s="1462"/>
      <c r="AF2" s="1462"/>
      <c r="AG2" s="1462"/>
      <c r="AH2" s="1462"/>
      <c r="AI2" s="1462"/>
      <c r="AJ2" s="1462"/>
      <c r="AK2" s="1462"/>
      <c r="AL2" s="1462"/>
      <c r="AM2" s="1462"/>
      <c r="AN2" s="1462"/>
      <c r="AO2" s="1462"/>
      <c r="AP2" s="1462"/>
      <c r="AQ2" s="1462"/>
      <c r="AR2" s="1462"/>
      <c r="AS2" s="1462"/>
      <c r="AT2" s="1462"/>
      <c r="AU2" s="1462"/>
      <c r="AV2" s="1462"/>
      <c r="AW2" s="1462"/>
      <c r="AX2" s="1462"/>
      <c r="AY2" s="1462"/>
      <c r="AZ2" s="1462"/>
      <c r="BA2" s="1462"/>
      <c r="BB2" s="1462"/>
      <c r="BC2" s="1462"/>
      <c r="BD2" s="1462"/>
      <c r="BE2" s="1462"/>
    </row>
    <row r="3" spans="1:57" ht="18.75" outlineLevel="1">
      <c r="A3" s="1465" t="s">
        <v>3514</v>
      </c>
      <c r="B3" s="2224" t="s">
        <v>581</v>
      </c>
      <c r="C3" s="2082"/>
      <c r="D3" s="1462"/>
      <c r="E3" s="1462"/>
      <c r="F3" s="1462"/>
      <c r="G3" s="1462"/>
      <c r="H3" s="1462"/>
      <c r="I3" s="1462"/>
      <c r="J3" s="1462"/>
      <c r="K3" s="1462"/>
      <c r="L3" s="1462"/>
      <c r="M3" s="1462"/>
      <c r="N3" s="1462"/>
      <c r="O3" s="1462"/>
      <c r="P3" s="1462"/>
      <c r="Q3" s="1462"/>
      <c r="R3" s="1462"/>
      <c r="S3" s="1462"/>
      <c r="T3" s="1462"/>
      <c r="U3" s="1462"/>
      <c r="V3" s="1462"/>
      <c r="W3" s="1462"/>
      <c r="X3" s="1462"/>
      <c r="Y3" s="1462"/>
      <c r="Z3" s="1462"/>
      <c r="AA3" s="1462"/>
      <c r="AB3" s="1462"/>
      <c r="AC3" s="1462"/>
      <c r="AD3" s="1462"/>
      <c r="AE3" s="1462"/>
      <c r="AF3" s="1462"/>
      <c r="AG3" s="1462"/>
      <c r="AH3" s="1462"/>
      <c r="AI3" s="1462"/>
      <c r="AJ3" s="1462"/>
      <c r="AK3" s="1462"/>
      <c r="AL3" s="1462"/>
      <c r="AM3" s="1462"/>
      <c r="AN3" s="1462"/>
      <c r="AO3" s="1462"/>
      <c r="AP3" s="1462"/>
      <c r="AQ3" s="1462"/>
      <c r="AR3" s="1462"/>
      <c r="AS3" s="1462"/>
      <c r="AT3" s="1462"/>
      <c r="AU3" s="1462"/>
      <c r="AV3" s="1462"/>
      <c r="AW3" s="1462"/>
      <c r="AX3" s="1462"/>
      <c r="AY3" s="1462"/>
      <c r="AZ3" s="1462"/>
      <c r="BA3" s="1462"/>
      <c r="BB3" s="1462"/>
      <c r="BC3" s="1462"/>
      <c r="BD3" s="1462"/>
      <c r="BE3" s="1462"/>
    </row>
    <row r="4" spans="1:57" outlineLevel="1">
      <c r="A4" s="1466" t="s">
        <v>62</v>
      </c>
      <c r="B4" s="1463" t="s">
        <v>3515</v>
      </c>
      <c r="C4" s="1530"/>
      <c r="D4" s="1462"/>
      <c r="E4" s="1462"/>
      <c r="F4" s="1462"/>
      <c r="G4" s="1462"/>
      <c r="H4" s="1462"/>
      <c r="I4" s="1462"/>
      <c r="J4" s="1462"/>
      <c r="K4" s="1462"/>
      <c r="L4" s="1462"/>
      <c r="M4" s="1462"/>
      <c r="N4" s="1462"/>
      <c r="O4" s="1462"/>
      <c r="P4" s="1462"/>
      <c r="Q4" s="1462"/>
      <c r="R4" s="1462"/>
      <c r="S4" s="1462"/>
      <c r="T4" s="1462"/>
      <c r="U4" s="1462"/>
      <c r="V4" s="1462"/>
      <c r="W4" s="1462"/>
      <c r="X4" s="1462"/>
      <c r="Y4" s="1462"/>
      <c r="Z4" s="1462"/>
      <c r="AA4" s="1462"/>
      <c r="AB4" s="1462"/>
      <c r="AC4" s="1462"/>
      <c r="AD4" s="1462"/>
      <c r="AE4" s="1462"/>
      <c r="AF4" s="1462"/>
      <c r="AG4" s="1462"/>
      <c r="AH4" s="1462"/>
      <c r="AI4" s="1462"/>
      <c r="AJ4" s="1462"/>
      <c r="AK4" s="1462"/>
      <c r="AL4" s="1462"/>
      <c r="AM4" s="1462"/>
      <c r="AN4" s="1462"/>
      <c r="AO4" s="1462"/>
      <c r="AP4" s="1462"/>
      <c r="AQ4" s="1462"/>
      <c r="AR4" s="1462"/>
      <c r="AS4" s="1462"/>
      <c r="AT4" s="1462"/>
      <c r="AU4" s="1462"/>
      <c r="AV4" s="1462"/>
      <c r="AW4" s="1462"/>
      <c r="AX4" s="1462"/>
      <c r="AY4" s="1462"/>
      <c r="AZ4" s="1462"/>
      <c r="BA4" s="1462"/>
      <c r="BB4" s="1462"/>
      <c r="BC4" s="1462"/>
      <c r="BD4" s="1462"/>
      <c r="BE4" s="1462"/>
    </row>
    <row r="5" spans="1:57" outlineLevel="1">
      <c r="A5" s="1466" t="s">
        <v>63</v>
      </c>
      <c r="B5" s="1463" t="s">
        <v>3515</v>
      </c>
      <c r="C5" s="1530"/>
      <c r="D5" s="1462"/>
      <c r="E5" s="1462"/>
      <c r="F5" s="1462"/>
      <c r="G5" s="1462"/>
      <c r="H5" s="1462"/>
      <c r="I5" s="1462"/>
      <c r="J5" s="1462"/>
      <c r="K5" s="1462"/>
      <c r="L5" s="1462"/>
      <c r="M5" s="1462"/>
      <c r="N5" s="1462"/>
      <c r="O5" s="1462"/>
      <c r="P5" s="1462"/>
      <c r="Q5" s="1462"/>
      <c r="R5" s="1462"/>
      <c r="S5" s="1462"/>
      <c r="T5" s="1462"/>
      <c r="U5" s="1462"/>
      <c r="V5" s="1462"/>
      <c r="W5" s="1462"/>
      <c r="X5" s="1462"/>
      <c r="Y5" s="1462"/>
      <c r="Z5" s="1462"/>
      <c r="AA5" s="1462"/>
      <c r="AB5" s="1462"/>
      <c r="AC5" s="1462"/>
      <c r="AD5" s="1462"/>
      <c r="AE5" s="1462"/>
      <c r="AF5" s="1462"/>
      <c r="AG5" s="1462"/>
      <c r="AH5" s="1462"/>
      <c r="AI5" s="1462"/>
      <c r="AJ5" s="1462"/>
      <c r="AK5" s="1462"/>
      <c r="AL5" s="1462"/>
      <c r="AM5" s="1462"/>
      <c r="AN5" s="1462"/>
      <c r="AO5" s="1462"/>
      <c r="AP5" s="1462"/>
      <c r="AQ5" s="1462"/>
      <c r="AR5" s="1462"/>
      <c r="AS5" s="1462"/>
      <c r="AT5" s="1462"/>
      <c r="AU5" s="1462"/>
      <c r="AV5" s="1462"/>
      <c r="AW5" s="1462"/>
      <c r="AX5" s="1462"/>
      <c r="AY5" s="1462"/>
      <c r="AZ5" s="1462"/>
      <c r="BA5" s="1462"/>
      <c r="BB5" s="1462"/>
      <c r="BC5" s="1462"/>
      <c r="BD5" s="1462"/>
      <c r="BE5" s="1462"/>
    </row>
    <row r="6" spans="1:57" outlineLevel="1">
      <c r="A6" s="1466" t="s">
        <v>68</v>
      </c>
      <c r="B6" s="2224" t="s">
        <v>3517</v>
      </c>
      <c r="C6" s="2082"/>
      <c r="D6" s="1462"/>
      <c r="E6" s="1462"/>
      <c r="F6" s="1462"/>
      <c r="G6" s="1462"/>
      <c r="H6" s="1462"/>
      <c r="I6" s="1462"/>
      <c r="J6" s="1462"/>
      <c r="K6" s="1462"/>
      <c r="L6" s="1462"/>
      <c r="M6" s="1462"/>
      <c r="N6" s="1462"/>
      <c r="O6" s="1462"/>
      <c r="P6" s="1462"/>
      <c r="Q6" s="1462"/>
      <c r="R6" s="1462"/>
      <c r="S6" s="1462"/>
      <c r="T6" s="1462"/>
      <c r="U6" s="1462"/>
      <c r="V6" s="1462"/>
      <c r="W6" s="1462"/>
      <c r="X6" s="1462"/>
      <c r="Y6" s="1462"/>
      <c r="Z6" s="1462"/>
      <c r="AA6" s="1462"/>
      <c r="AB6" s="1462"/>
      <c r="AC6" s="1462"/>
      <c r="AD6" s="1462"/>
      <c r="AE6" s="1462"/>
      <c r="AF6" s="1462"/>
      <c r="AG6" s="1462"/>
      <c r="AH6" s="1462"/>
      <c r="AI6" s="1462"/>
      <c r="AJ6" s="1462"/>
      <c r="AK6" s="1462"/>
      <c r="AL6" s="1462"/>
      <c r="AM6" s="1462"/>
      <c r="AN6" s="1462"/>
      <c r="AO6" s="1462"/>
      <c r="AP6" s="1462"/>
      <c r="AQ6" s="1462"/>
      <c r="AR6" s="1462"/>
      <c r="AS6" s="1462"/>
      <c r="AT6" s="1462"/>
      <c r="AU6" s="1462"/>
      <c r="AV6" s="1462"/>
      <c r="AW6" s="1462"/>
      <c r="AX6" s="1462"/>
      <c r="AY6" s="1462"/>
      <c r="AZ6" s="1462"/>
      <c r="BA6" s="1462"/>
      <c r="BB6" s="1462"/>
      <c r="BC6" s="1462"/>
      <c r="BD6" s="1462"/>
      <c r="BE6" s="1462"/>
    </row>
    <row r="7" spans="1:57" outlineLevel="1">
      <c r="A7" s="1466" t="s">
        <v>3646</v>
      </c>
      <c r="B7" s="1463" t="s">
        <v>3647</v>
      </c>
      <c r="C7" s="1530"/>
      <c r="D7" s="1462"/>
      <c r="E7" s="1462"/>
      <c r="F7" s="1462"/>
      <c r="G7" s="1462"/>
      <c r="H7" s="1462"/>
      <c r="I7" s="1462"/>
      <c r="J7" s="1462"/>
      <c r="K7" s="1462"/>
      <c r="L7" s="1462"/>
      <c r="M7" s="1462"/>
      <c r="N7" s="1462"/>
      <c r="O7" s="1462"/>
      <c r="P7" s="1462"/>
      <c r="Q7" s="1462"/>
      <c r="R7" s="1462"/>
      <c r="S7" s="1462"/>
      <c r="T7" s="1462"/>
      <c r="U7" s="1462"/>
      <c r="V7" s="1462"/>
      <c r="W7" s="1462"/>
      <c r="X7" s="1462"/>
      <c r="Y7" s="1462"/>
      <c r="Z7" s="1462"/>
      <c r="AA7" s="1462"/>
      <c r="AB7" s="1462"/>
      <c r="AC7" s="1462"/>
      <c r="AD7" s="1462"/>
      <c r="AE7" s="1462"/>
      <c r="AF7" s="1462"/>
      <c r="AG7" s="1462"/>
      <c r="AH7" s="1462"/>
      <c r="AI7" s="1462"/>
      <c r="AJ7" s="1462"/>
      <c r="AK7" s="1462"/>
      <c r="AL7" s="1462"/>
      <c r="AM7" s="1462"/>
      <c r="AN7" s="1462"/>
      <c r="AO7" s="1462"/>
      <c r="AP7" s="1462"/>
      <c r="AQ7" s="1462"/>
      <c r="AR7" s="1462"/>
      <c r="AS7" s="1462"/>
      <c r="AT7" s="1462"/>
      <c r="AU7" s="1462"/>
      <c r="AV7" s="1462"/>
      <c r="AW7" s="1462"/>
      <c r="AX7" s="1462"/>
      <c r="AY7" s="1462"/>
      <c r="AZ7" s="1462"/>
      <c r="BA7" s="1462"/>
      <c r="BB7" s="1462"/>
      <c r="BC7" s="1462"/>
      <c r="BD7" s="1462"/>
      <c r="BE7" s="1462"/>
    </row>
    <row r="8" spans="1:57" outlineLevel="1">
      <c r="A8" s="1466" t="s">
        <v>64</v>
      </c>
      <c r="B8" s="1463" t="s">
        <v>3515</v>
      </c>
      <c r="C8" s="1530"/>
      <c r="D8" s="1462"/>
      <c r="E8" s="1462"/>
      <c r="F8" s="1462"/>
      <c r="G8" s="1462"/>
      <c r="H8" s="1462"/>
      <c r="I8" s="1462"/>
      <c r="J8" s="1462"/>
      <c r="K8" s="1462"/>
      <c r="L8" s="1462"/>
      <c r="M8" s="1462"/>
      <c r="N8" s="1462"/>
      <c r="O8" s="1462"/>
      <c r="P8" s="1462"/>
      <c r="Q8" s="1462"/>
      <c r="R8" s="1462"/>
      <c r="S8" s="1462"/>
      <c r="T8" s="1462"/>
      <c r="U8" s="1462"/>
      <c r="V8" s="1462"/>
      <c r="W8" s="1462"/>
      <c r="X8" s="1462"/>
      <c r="Y8" s="1462"/>
      <c r="Z8" s="1462"/>
      <c r="AA8" s="1462"/>
      <c r="AB8" s="1462"/>
      <c r="AC8" s="1462"/>
      <c r="AD8" s="1462"/>
      <c r="AE8" s="1462"/>
      <c r="AF8" s="1462"/>
      <c r="AG8" s="1462"/>
      <c r="AH8" s="1462"/>
      <c r="AI8" s="1462"/>
      <c r="AJ8" s="1462"/>
      <c r="AK8" s="1462"/>
      <c r="AL8" s="1462"/>
      <c r="AM8" s="1462"/>
      <c r="AN8" s="1462"/>
      <c r="AO8" s="1462"/>
      <c r="AP8" s="1462"/>
      <c r="AQ8" s="1462"/>
      <c r="AR8" s="1462"/>
      <c r="AS8" s="1462"/>
      <c r="AT8" s="1462"/>
      <c r="AU8" s="1462"/>
      <c r="AV8" s="1462"/>
      <c r="AW8" s="1462"/>
      <c r="AX8" s="1462"/>
      <c r="AY8" s="1462"/>
      <c r="AZ8" s="1462"/>
      <c r="BA8" s="1462"/>
      <c r="BB8" s="1462"/>
      <c r="BC8" s="1462"/>
      <c r="BD8" s="1462"/>
      <c r="BE8" s="1462"/>
    </row>
    <row r="9" spans="1:57" outlineLevel="1">
      <c r="A9" s="1558" t="s">
        <v>3648</v>
      </c>
      <c r="B9" s="2225"/>
      <c r="C9" s="2226"/>
      <c r="D9" s="1462"/>
      <c r="E9" s="1462"/>
      <c r="F9" s="1462"/>
      <c r="G9" s="1462"/>
      <c r="H9" s="1462"/>
      <c r="I9" s="1462"/>
      <c r="J9" s="1462"/>
      <c r="K9" s="1462"/>
      <c r="L9" s="1462"/>
      <c r="M9" s="1462"/>
      <c r="N9" s="1462"/>
      <c r="O9" s="1462"/>
      <c r="P9" s="1462"/>
      <c r="Q9" s="1462"/>
      <c r="R9" s="1462"/>
      <c r="S9" s="1462"/>
      <c r="T9" s="1462"/>
      <c r="U9" s="1462"/>
      <c r="V9" s="1462"/>
      <c r="W9" s="1462"/>
      <c r="X9" s="1462"/>
      <c r="Y9" s="1462"/>
      <c r="Z9" s="1462"/>
      <c r="AA9" s="1462"/>
      <c r="AB9" s="1462"/>
      <c r="AC9" s="1462"/>
      <c r="AD9" s="1462"/>
      <c r="AE9" s="1462"/>
      <c r="AF9" s="1462"/>
      <c r="AG9" s="1462"/>
      <c r="AH9" s="1462"/>
      <c r="AI9" s="1462"/>
      <c r="AJ9" s="1462"/>
      <c r="AK9" s="1462"/>
      <c r="AL9" s="1462"/>
      <c r="AM9" s="1462"/>
      <c r="AN9" s="1462"/>
      <c r="AO9" s="1462"/>
      <c r="AP9" s="1462"/>
      <c r="AQ9" s="1462"/>
      <c r="AR9" s="1462"/>
      <c r="AS9" s="1462"/>
      <c r="AT9" s="1462"/>
      <c r="AU9" s="1462"/>
      <c r="AV9" s="1462"/>
      <c r="AW9" s="1462"/>
      <c r="AX9" s="1462"/>
      <c r="AY9" s="1462"/>
      <c r="AZ9" s="1462"/>
      <c r="BA9" s="1462"/>
      <c r="BB9" s="1462"/>
      <c r="BC9" s="1462"/>
      <c r="BD9" s="1462"/>
      <c r="BE9" s="1462"/>
    </row>
    <row r="10" spans="1:57" ht="16.5" outlineLevel="1">
      <c r="A10" s="1558" t="s">
        <v>3649</v>
      </c>
      <c r="B10" s="2225"/>
      <c r="C10" s="2226"/>
      <c r="D10" s="1462"/>
      <c r="E10" s="1462"/>
      <c r="F10" s="1462"/>
      <c r="G10" s="1462"/>
      <c r="H10" s="1462"/>
      <c r="I10" s="1462"/>
      <c r="J10" s="1462"/>
      <c r="K10" s="1462"/>
      <c r="L10" s="1462"/>
      <c r="M10" s="1462"/>
      <c r="N10" s="1462"/>
      <c r="O10" s="1462"/>
      <c r="P10" s="1462"/>
      <c r="Q10" s="1462"/>
      <c r="R10" s="1462"/>
      <c r="S10" s="1462"/>
      <c r="T10" s="1462"/>
      <c r="U10" s="1462"/>
      <c r="V10" s="1462"/>
      <c r="W10" s="1462"/>
      <c r="X10" s="1462"/>
      <c r="Y10" s="1462"/>
      <c r="Z10" s="1462"/>
      <c r="AA10" s="1462"/>
      <c r="AB10" s="1462"/>
      <c r="AC10" s="1462"/>
      <c r="AD10" s="1462"/>
      <c r="AE10" s="1462"/>
      <c r="AF10" s="1462"/>
      <c r="AG10" s="1462"/>
      <c r="AH10" s="1462"/>
      <c r="AI10" s="1462"/>
      <c r="AJ10" s="1462"/>
      <c r="AK10" s="1462"/>
      <c r="AL10" s="1462"/>
      <c r="AM10" s="1462"/>
      <c r="AN10" s="1462"/>
      <c r="AO10" s="1462"/>
      <c r="AP10" s="1462"/>
      <c r="AQ10" s="1462"/>
      <c r="AR10" s="1462"/>
      <c r="AS10" s="1462"/>
      <c r="AT10" s="1462"/>
      <c r="AU10" s="1462"/>
      <c r="AV10" s="1462"/>
      <c r="AW10" s="1462"/>
      <c r="AX10" s="1462"/>
      <c r="AY10" s="1462"/>
      <c r="AZ10" s="1462"/>
      <c r="BA10" s="1462"/>
      <c r="BB10" s="1462"/>
      <c r="BC10" s="1462"/>
      <c r="BD10" s="1462"/>
      <c r="BE10" s="1462"/>
    </row>
    <row r="13" spans="1:57">
      <c r="A13" s="1536" t="s">
        <v>3650</v>
      </c>
      <c r="B13" s="1531"/>
      <c r="C13" s="1531"/>
      <c r="D13" s="2227"/>
      <c r="E13" s="2227"/>
      <c r="F13" s="2227"/>
      <c r="G13" s="2227"/>
      <c r="H13" s="2227"/>
      <c r="I13" s="2227"/>
      <c r="J13" s="2227"/>
      <c r="K13" s="2227"/>
      <c r="L13" s="2227"/>
      <c r="M13" s="2227"/>
      <c r="N13" s="2227"/>
      <c r="O13" s="2227"/>
      <c r="P13" s="2227"/>
      <c r="Q13" s="2227"/>
      <c r="R13" s="2227"/>
      <c r="S13" s="1462"/>
      <c r="T13" s="1462"/>
      <c r="U13" s="1462"/>
      <c r="V13" s="1462"/>
      <c r="W13" s="1462"/>
      <c r="X13" s="1532"/>
      <c r="Y13" s="1462"/>
      <c r="Z13" s="1462"/>
      <c r="AA13" s="1462"/>
      <c r="AB13" s="1462"/>
      <c r="AC13" s="1462"/>
      <c r="AD13" s="1462"/>
      <c r="AE13" s="1462"/>
      <c r="AF13" s="1462"/>
      <c r="AG13" s="1462"/>
      <c r="AH13" s="1462"/>
      <c r="AI13" s="1462"/>
      <c r="AJ13" s="1462"/>
      <c r="AK13" s="1462"/>
      <c r="AL13" s="1462"/>
      <c r="AM13" s="1462"/>
      <c r="AN13" s="1462"/>
      <c r="AO13" s="1462"/>
      <c r="AP13" s="1462"/>
      <c r="AQ13" s="1462"/>
      <c r="AR13" s="1462"/>
      <c r="AS13" s="1462"/>
      <c r="AT13" s="1462"/>
      <c r="AU13" s="1462"/>
      <c r="AV13" s="1462"/>
      <c r="AW13" s="1462"/>
      <c r="AX13" s="1462"/>
      <c r="AY13" s="1462"/>
      <c r="AZ13" s="1462"/>
      <c r="BA13" s="1462"/>
      <c r="BB13" s="1462"/>
      <c r="BC13" s="1462"/>
      <c r="BD13" s="1462"/>
      <c r="BE13" s="1462"/>
    </row>
    <row r="14" spans="1:57">
      <c r="A14" s="1536" t="s">
        <v>3525</v>
      </c>
      <c r="B14" s="1531"/>
      <c r="C14" s="1531"/>
      <c r="D14" s="1541"/>
      <c r="E14" s="1541"/>
      <c r="F14" s="1541"/>
      <c r="G14" s="1541"/>
      <c r="H14" s="1541"/>
      <c r="I14" s="1541"/>
      <c r="J14" s="1541"/>
      <c r="K14" s="1541"/>
      <c r="L14" s="1541"/>
      <c r="M14" s="1541"/>
      <c r="N14" s="1541"/>
      <c r="O14" s="1541"/>
      <c r="P14" s="1541"/>
      <c r="Q14" s="1541"/>
      <c r="R14" s="1541"/>
      <c r="S14" s="1462"/>
      <c r="T14" s="1462"/>
      <c r="U14" s="1462"/>
      <c r="V14" s="1462"/>
      <c r="W14" s="1462"/>
      <c r="X14" s="1532" t="s">
        <v>3526</v>
      </c>
      <c r="Y14" s="1462"/>
      <c r="Z14" s="1462"/>
      <c r="AA14" s="1462"/>
      <c r="AB14" s="1462"/>
      <c r="AC14" s="1462"/>
      <c r="AD14" s="1462"/>
      <c r="AE14" s="1462"/>
      <c r="AF14" s="1462"/>
      <c r="AG14" s="1462"/>
      <c r="AH14" s="1462"/>
      <c r="AI14" s="1462"/>
      <c r="AJ14" s="1462"/>
      <c r="AK14" s="1462"/>
      <c r="AL14" s="1462"/>
      <c r="AM14" s="1462"/>
      <c r="AN14" s="1532" t="s">
        <v>3527</v>
      </c>
      <c r="AO14" s="1462"/>
      <c r="AP14" s="1462"/>
      <c r="AQ14" s="1462"/>
      <c r="AR14" s="1462"/>
      <c r="AS14" s="1462"/>
      <c r="AT14" s="1462"/>
      <c r="AU14" s="1462"/>
      <c r="AV14" s="1462"/>
      <c r="AW14" s="1462"/>
      <c r="AX14" s="1462"/>
      <c r="AY14" s="1462"/>
      <c r="AZ14" s="1462"/>
      <c r="BA14" s="1462"/>
      <c r="BB14" s="1462"/>
      <c r="BC14" s="1462"/>
      <c r="BD14" s="1462"/>
      <c r="BE14" s="1462"/>
    </row>
    <row r="15" spans="1:57" s="244" customFormat="1" ht="18.75" customHeight="1" outlineLevel="1">
      <c r="A15" s="1547" t="s">
        <v>3564</v>
      </c>
      <c r="B15" s="1547" t="s">
        <v>604</v>
      </c>
      <c r="C15" s="1547" t="s">
        <v>3565</v>
      </c>
      <c r="D15" s="2139" t="s">
        <v>3530</v>
      </c>
      <c r="E15" s="2140"/>
      <c r="F15" s="2140"/>
      <c r="G15" s="2140"/>
      <c r="H15" s="2135" t="s">
        <v>3651</v>
      </c>
      <c r="I15" s="2150"/>
      <c r="J15" s="2136"/>
      <c r="K15" s="2135" t="s">
        <v>3652</v>
      </c>
      <c r="L15" s="2150"/>
      <c r="M15" s="2150"/>
      <c r="N15" s="2136"/>
      <c r="O15" s="2011" t="s">
        <v>3653</v>
      </c>
      <c r="P15" s="2012"/>
      <c r="Q15" s="2012"/>
      <c r="R15" s="2013"/>
      <c r="S15" s="1508" t="s">
        <v>3569</v>
      </c>
      <c r="T15" s="1508" t="s">
        <v>3569</v>
      </c>
      <c r="U15" s="1508" t="s">
        <v>3570</v>
      </c>
      <c r="V15" s="1539"/>
      <c r="W15" s="1539"/>
      <c r="X15" s="1547" t="s">
        <v>3564</v>
      </c>
      <c r="Y15" s="1547" t="s">
        <v>604</v>
      </c>
      <c r="Z15" s="1547" t="s">
        <v>3565</v>
      </c>
      <c r="AA15" s="2139" t="s">
        <v>3530</v>
      </c>
      <c r="AB15" s="2140"/>
      <c r="AC15" s="2140"/>
      <c r="AD15" s="2140"/>
      <c r="AE15" s="2135" t="s">
        <v>3651</v>
      </c>
      <c r="AF15" s="2150"/>
      <c r="AG15" s="2136"/>
      <c r="AH15" s="2135" t="s">
        <v>3652</v>
      </c>
      <c r="AI15" s="2150"/>
      <c r="AJ15" s="2150"/>
      <c r="AK15" s="2136"/>
      <c r="AL15" s="1539"/>
      <c r="AM15" s="1539"/>
      <c r="AN15" s="1547" t="s">
        <v>3564</v>
      </c>
      <c r="AO15" s="1547" t="s">
        <v>604</v>
      </c>
      <c r="AP15" s="1547" t="s">
        <v>3565</v>
      </c>
      <c r="AQ15" s="2139" t="s">
        <v>3530</v>
      </c>
      <c r="AR15" s="2140"/>
      <c r="AS15" s="2140"/>
      <c r="AT15" s="2140"/>
      <c r="AU15" s="2135" t="s">
        <v>3651</v>
      </c>
      <c r="AV15" s="2150"/>
      <c r="AW15" s="2136"/>
      <c r="AX15" s="2135" t="s">
        <v>3652</v>
      </c>
      <c r="AY15" s="2150"/>
      <c r="AZ15" s="2150"/>
      <c r="BA15" s="2136"/>
      <c r="BB15" s="2011" t="s">
        <v>3654</v>
      </c>
      <c r="BC15" s="2012"/>
      <c r="BD15" s="2012"/>
      <c r="BE15" s="2013"/>
    </row>
    <row r="16" spans="1:57" ht="15" outlineLevel="1">
      <c r="A16" s="2155" t="s">
        <v>3655</v>
      </c>
      <c r="B16" s="2228" t="s">
        <v>3656</v>
      </c>
      <c r="C16" s="2231">
        <v>5</v>
      </c>
      <c r="D16" s="2206" t="s">
        <v>3657</v>
      </c>
      <c r="E16" s="2207"/>
      <c r="F16" s="2174" t="s">
        <v>61</v>
      </c>
      <c r="G16" s="2175"/>
      <c r="H16" s="2176" t="s">
        <v>3658</v>
      </c>
      <c r="I16" s="2177"/>
      <c r="J16" s="1611" t="s">
        <v>61</v>
      </c>
      <c r="K16" s="2178">
        <v>0</v>
      </c>
      <c r="L16" s="2179"/>
      <c r="M16" s="2179"/>
      <c r="N16" s="2180"/>
      <c r="O16" s="2220" t="e">
        <v>#REF!</v>
      </c>
      <c r="P16" s="2221"/>
      <c r="Q16" s="2221"/>
      <c r="R16" s="2222"/>
      <c r="S16" s="1542"/>
      <c r="T16" s="1543"/>
      <c r="U16" s="1544"/>
      <c r="V16" s="1462"/>
      <c r="W16" s="1462"/>
      <c r="X16" s="2183" t="s">
        <v>3655</v>
      </c>
      <c r="Y16" s="2164" t="s">
        <v>3656</v>
      </c>
      <c r="Z16" s="2167">
        <v>5</v>
      </c>
      <c r="AA16" s="2186" t="s">
        <v>3657</v>
      </c>
      <c r="AB16" s="2187"/>
      <c r="AC16" s="2191" t="s">
        <v>61</v>
      </c>
      <c r="AD16" s="2192"/>
      <c r="AE16" s="2186" t="s">
        <v>3658</v>
      </c>
      <c r="AF16" s="2187"/>
      <c r="AG16" s="1556" t="s">
        <v>61</v>
      </c>
      <c r="AH16" s="2193">
        <v>0</v>
      </c>
      <c r="AI16" s="2194"/>
      <c r="AJ16" s="2194"/>
      <c r="AK16" s="2195"/>
      <c r="AL16" s="1462"/>
      <c r="AM16" s="1462"/>
      <c r="AN16" s="2203" t="s">
        <v>3655</v>
      </c>
      <c r="AO16" s="2214" t="s">
        <v>3656</v>
      </c>
      <c r="AP16" s="2204">
        <v>5</v>
      </c>
      <c r="AQ16" s="2196" t="s">
        <v>3657</v>
      </c>
      <c r="AR16" s="2196"/>
      <c r="AS16" s="2198" t="s">
        <v>61</v>
      </c>
      <c r="AT16" s="2198"/>
      <c r="AU16" s="2196" t="s">
        <v>3658</v>
      </c>
      <c r="AV16" s="2196"/>
      <c r="AW16" s="1557" t="s">
        <v>61</v>
      </c>
      <c r="AX16" s="2197">
        <v>0</v>
      </c>
      <c r="AY16" s="2197"/>
      <c r="AZ16" s="2197"/>
      <c r="BA16" s="2197"/>
      <c r="BB16" s="2199" t="e">
        <v>#REF!</v>
      </c>
      <c r="BC16" s="2199"/>
      <c r="BD16" s="2199"/>
      <c r="BE16" s="2199"/>
    </row>
    <row r="17" spans="1:57" ht="15" outlineLevel="1">
      <c r="A17" s="2156"/>
      <c r="B17" s="2229"/>
      <c r="C17" s="2232"/>
      <c r="D17" s="2206" t="s">
        <v>3659</v>
      </c>
      <c r="E17" s="2207"/>
      <c r="F17" s="2174" t="s">
        <v>61</v>
      </c>
      <c r="G17" s="2175"/>
      <c r="H17" s="2176" t="s">
        <v>3660</v>
      </c>
      <c r="I17" s="2177"/>
      <c r="J17" s="1611" t="s">
        <v>61</v>
      </c>
      <c r="K17" s="2178">
        <v>5</v>
      </c>
      <c r="L17" s="2179"/>
      <c r="M17" s="2179"/>
      <c r="N17" s="2180"/>
      <c r="O17" s="2208" t="e">
        <v>#REF!</v>
      </c>
      <c r="P17" s="2209"/>
      <c r="Q17" s="2209"/>
      <c r="R17" s="2210"/>
      <c r="S17" s="2171" t="e">
        <v>#REF!</v>
      </c>
      <c r="T17" s="2171" t="e">
        <v>#REF!</v>
      </c>
      <c r="U17" s="2171" t="e">
        <v>#REF!</v>
      </c>
      <c r="V17" s="1462"/>
      <c r="W17" s="1462"/>
      <c r="X17" s="2184"/>
      <c r="Y17" s="2165"/>
      <c r="Z17" s="2168"/>
      <c r="AA17" s="2186" t="s">
        <v>3659</v>
      </c>
      <c r="AB17" s="2187"/>
      <c r="AC17" s="2191" t="s">
        <v>61</v>
      </c>
      <c r="AD17" s="2192"/>
      <c r="AE17" s="2186" t="s">
        <v>3660</v>
      </c>
      <c r="AF17" s="2187"/>
      <c r="AG17" s="1556" t="s">
        <v>61</v>
      </c>
      <c r="AH17" s="2193">
        <v>5</v>
      </c>
      <c r="AI17" s="2194"/>
      <c r="AJ17" s="2194"/>
      <c r="AK17" s="2195"/>
      <c r="AL17" s="1462"/>
      <c r="AM17" s="1462"/>
      <c r="AN17" s="2203"/>
      <c r="AO17" s="2214"/>
      <c r="AP17" s="2204"/>
      <c r="AQ17" s="2196" t="s">
        <v>3659</v>
      </c>
      <c r="AR17" s="2196"/>
      <c r="AS17" s="2198" t="s">
        <v>61</v>
      </c>
      <c r="AT17" s="2198"/>
      <c r="AU17" s="2196" t="s">
        <v>3660</v>
      </c>
      <c r="AV17" s="2196"/>
      <c r="AW17" s="1557" t="s">
        <v>61</v>
      </c>
      <c r="AX17" s="2197">
        <v>5</v>
      </c>
      <c r="AY17" s="2197"/>
      <c r="AZ17" s="2197"/>
      <c r="BA17" s="2197"/>
      <c r="BB17" s="2001">
        <v>0</v>
      </c>
      <c r="BC17" s="2001"/>
      <c r="BD17" s="2001"/>
      <c r="BE17" s="2001"/>
    </row>
    <row r="18" spans="1:57" ht="15" outlineLevel="1">
      <c r="A18" s="2156"/>
      <c r="B18" s="2229"/>
      <c r="C18" s="2232"/>
      <c r="D18" s="2206" t="s">
        <v>3661</v>
      </c>
      <c r="E18" s="2207"/>
      <c r="F18" s="2174" t="s">
        <v>61</v>
      </c>
      <c r="G18" s="2175"/>
      <c r="H18" s="2176" t="s">
        <v>3662</v>
      </c>
      <c r="I18" s="2177"/>
      <c r="J18" s="1611" t="s">
        <v>61</v>
      </c>
      <c r="K18" s="2178">
        <v>2</v>
      </c>
      <c r="L18" s="2179"/>
      <c r="M18" s="2179"/>
      <c r="N18" s="2180"/>
      <c r="O18" s="2217"/>
      <c r="P18" s="2218"/>
      <c r="Q18" s="2218"/>
      <c r="R18" s="2219"/>
      <c r="S18" s="2172"/>
      <c r="T18" s="2172"/>
      <c r="U18" s="2172"/>
      <c r="V18" s="1462"/>
      <c r="W18" s="1462"/>
      <c r="X18" s="2184"/>
      <c r="Y18" s="2165"/>
      <c r="Z18" s="2168"/>
      <c r="AA18" s="2186" t="s">
        <v>3661</v>
      </c>
      <c r="AB18" s="2187"/>
      <c r="AC18" s="2191" t="s">
        <v>61</v>
      </c>
      <c r="AD18" s="2192"/>
      <c r="AE18" s="2186" t="s">
        <v>3662</v>
      </c>
      <c r="AF18" s="2187"/>
      <c r="AG18" s="1556" t="s">
        <v>61</v>
      </c>
      <c r="AH18" s="2193">
        <v>2</v>
      </c>
      <c r="AI18" s="2194"/>
      <c r="AJ18" s="2194"/>
      <c r="AK18" s="2195"/>
      <c r="AL18" s="1462"/>
      <c r="AM18" s="1462"/>
      <c r="AN18" s="2203"/>
      <c r="AO18" s="2214"/>
      <c r="AP18" s="2204"/>
      <c r="AQ18" s="2196" t="s">
        <v>3661</v>
      </c>
      <c r="AR18" s="2196"/>
      <c r="AS18" s="2198" t="s">
        <v>61</v>
      </c>
      <c r="AT18" s="2198"/>
      <c r="AU18" s="2196" t="s">
        <v>3662</v>
      </c>
      <c r="AV18" s="2196"/>
      <c r="AW18" s="1557" t="s">
        <v>61</v>
      </c>
      <c r="AX18" s="2197">
        <v>2</v>
      </c>
      <c r="AY18" s="2197"/>
      <c r="AZ18" s="2197"/>
      <c r="BA18" s="2197"/>
      <c r="BB18" s="2001"/>
      <c r="BC18" s="2001"/>
      <c r="BD18" s="2001"/>
      <c r="BE18" s="2001"/>
    </row>
    <row r="19" spans="1:57" ht="15" outlineLevel="1">
      <c r="A19" s="2156"/>
      <c r="B19" s="2229"/>
      <c r="C19" s="2232"/>
      <c r="D19" s="2206" t="s">
        <v>3663</v>
      </c>
      <c r="E19" s="2207"/>
      <c r="F19" s="2174" t="s">
        <v>61</v>
      </c>
      <c r="G19" s="2175"/>
      <c r="H19" s="2176" t="s">
        <v>3664</v>
      </c>
      <c r="I19" s="2177"/>
      <c r="J19" s="1611" t="s">
        <v>61</v>
      </c>
      <c r="K19" s="2178">
        <v>2</v>
      </c>
      <c r="L19" s="2179"/>
      <c r="M19" s="2179"/>
      <c r="N19" s="2180"/>
      <c r="O19" s="2217"/>
      <c r="P19" s="2218"/>
      <c r="Q19" s="2218"/>
      <c r="R19" s="2219"/>
      <c r="S19" s="2172"/>
      <c r="T19" s="2172"/>
      <c r="U19" s="2172"/>
      <c r="V19" s="1462"/>
      <c r="W19" s="1462"/>
      <c r="X19" s="2184"/>
      <c r="Y19" s="2165"/>
      <c r="Z19" s="2168"/>
      <c r="AA19" s="2186" t="s">
        <v>3663</v>
      </c>
      <c r="AB19" s="2187"/>
      <c r="AC19" s="2191" t="s">
        <v>61</v>
      </c>
      <c r="AD19" s="2192"/>
      <c r="AE19" s="2186" t="s">
        <v>3664</v>
      </c>
      <c r="AF19" s="2187"/>
      <c r="AG19" s="1556" t="s">
        <v>61</v>
      </c>
      <c r="AH19" s="2193">
        <v>2</v>
      </c>
      <c r="AI19" s="2194"/>
      <c r="AJ19" s="2194"/>
      <c r="AK19" s="2195"/>
      <c r="AL19" s="1462"/>
      <c r="AM19" s="1462"/>
      <c r="AN19" s="2203"/>
      <c r="AO19" s="2214"/>
      <c r="AP19" s="2204"/>
      <c r="AQ19" s="2196" t="s">
        <v>3663</v>
      </c>
      <c r="AR19" s="2196"/>
      <c r="AS19" s="2198" t="s">
        <v>61</v>
      </c>
      <c r="AT19" s="2198"/>
      <c r="AU19" s="2196" t="s">
        <v>3664</v>
      </c>
      <c r="AV19" s="2196"/>
      <c r="AW19" s="1557" t="s">
        <v>61</v>
      </c>
      <c r="AX19" s="2197">
        <v>2</v>
      </c>
      <c r="AY19" s="2197"/>
      <c r="AZ19" s="2197"/>
      <c r="BA19" s="2197"/>
      <c r="BB19" s="2001"/>
      <c r="BC19" s="2001"/>
      <c r="BD19" s="2001"/>
      <c r="BE19" s="2001"/>
    </row>
    <row r="20" spans="1:57" ht="15" outlineLevel="1">
      <c r="A20" s="2156"/>
      <c r="B20" s="2229"/>
      <c r="C20" s="2232"/>
      <c r="D20" s="2206" t="s">
        <v>3665</v>
      </c>
      <c r="E20" s="2207"/>
      <c r="F20" s="2174" t="s">
        <v>61</v>
      </c>
      <c r="G20" s="2175"/>
      <c r="H20" s="2176" t="s">
        <v>3636</v>
      </c>
      <c r="I20" s="2177"/>
      <c r="J20" s="1611" t="s">
        <v>61</v>
      </c>
      <c r="K20" s="2178">
        <v>2</v>
      </c>
      <c r="L20" s="2179"/>
      <c r="M20" s="2179"/>
      <c r="N20" s="2180"/>
      <c r="O20" s="2217"/>
      <c r="P20" s="2218"/>
      <c r="Q20" s="2218"/>
      <c r="R20" s="2219"/>
      <c r="S20" s="2172"/>
      <c r="T20" s="2172"/>
      <c r="U20" s="2172"/>
      <c r="V20" s="1462"/>
      <c r="W20" s="1462"/>
      <c r="X20" s="2184"/>
      <c r="Y20" s="2165"/>
      <c r="Z20" s="2168"/>
      <c r="AA20" s="2186" t="s">
        <v>3665</v>
      </c>
      <c r="AB20" s="2187"/>
      <c r="AC20" s="2191" t="s">
        <v>61</v>
      </c>
      <c r="AD20" s="2192"/>
      <c r="AE20" s="2186" t="s">
        <v>3636</v>
      </c>
      <c r="AF20" s="2187"/>
      <c r="AG20" s="1556" t="s">
        <v>61</v>
      </c>
      <c r="AH20" s="2193">
        <v>2</v>
      </c>
      <c r="AI20" s="2194"/>
      <c r="AJ20" s="2194"/>
      <c r="AK20" s="2195"/>
      <c r="AL20" s="1462"/>
      <c r="AM20" s="1462"/>
      <c r="AN20" s="2203"/>
      <c r="AO20" s="2214"/>
      <c r="AP20" s="2204"/>
      <c r="AQ20" s="2196" t="s">
        <v>3665</v>
      </c>
      <c r="AR20" s="2196"/>
      <c r="AS20" s="2198" t="s">
        <v>61</v>
      </c>
      <c r="AT20" s="2198"/>
      <c r="AU20" s="2196" t="s">
        <v>3636</v>
      </c>
      <c r="AV20" s="2196"/>
      <c r="AW20" s="1557" t="s">
        <v>61</v>
      </c>
      <c r="AX20" s="2197">
        <v>2</v>
      </c>
      <c r="AY20" s="2197"/>
      <c r="AZ20" s="2197"/>
      <c r="BA20" s="2197"/>
      <c r="BB20" s="2001"/>
      <c r="BC20" s="2001"/>
      <c r="BD20" s="2001"/>
      <c r="BE20" s="2001"/>
    </row>
    <row r="21" spans="1:57" ht="15" outlineLevel="1">
      <c r="A21" s="2156"/>
      <c r="B21" s="2229"/>
      <c r="C21" s="2232"/>
      <c r="D21" s="2206" t="s">
        <v>3666</v>
      </c>
      <c r="E21" s="2207"/>
      <c r="F21" s="2174" t="s">
        <v>61</v>
      </c>
      <c r="G21" s="2175"/>
      <c r="H21" s="2176" t="s">
        <v>3667</v>
      </c>
      <c r="I21" s="2177"/>
      <c r="J21" s="1611" t="s">
        <v>61</v>
      </c>
      <c r="K21" s="2178">
        <v>1.6</v>
      </c>
      <c r="L21" s="2179"/>
      <c r="M21" s="2179"/>
      <c r="N21" s="2180"/>
      <c r="O21" s="2211"/>
      <c r="P21" s="2212"/>
      <c r="Q21" s="2212"/>
      <c r="R21" s="2213"/>
      <c r="S21" s="2173"/>
      <c r="T21" s="2173"/>
      <c r="U21" s="2173"/>
      <c r="V21" s="1462"/>
      <c r="W21" s="1462"/>
      <c r="X21" s="2184"/>
      <c r="Y21" s="2165"/>
      <c r="Z21" s="2168"/>
      <c r="AA21" s="2186" t="s">
        <v>3666</v>
      </c>
      <c r="AB21" s="2187"/>
      <c r="AC21" s="2191" t="s">
        <v>61</v>
      </c>
      <c r="AD21" s="2192"/>
      <c r="AE21" s="2186" t="s">
        <v>3667</v>
      </c>
      <c r="AF21" s="2187"/>
      <c r="AG21" s="1556" t="s">
        <v>61</v>
      </c>
      <c r="AH21" s="2193">
        <v>1.6</v>
      </c>
      <c r="AI21" s="2194"/>
      <c r="AJ21" s="2194"/>
      <c r="AK21" s="2195"/>
      <c r="AL21" s="1462"/>
      <c r="AM21" s="1462"/>
      <c r="AN21" s="2203"/>
      <c r="AO21" s="2214"/>
      <c r="AP21" s="2204"/>
      <c r="AQ21" s="2196" t="s">
        <v>3666</v>
      </c>
      <c r="AR21" s="2196"/>
      <c r="AS21" s="2198" t="s">
        <v>61</v>
      </c>
      <c r="AT21" s="2198"/>
      <c r="AU21" s="2196" t="s">
        <v>3667</v>
      </c>
      <c r="AV21" s="2196"/>
      <c r="AW21" s="1557" t="s">
        <v>61</v>
      </c>
      <c r="AX21" s="2197">
        <v>1.6</v>
      </c>
      <c r="AY21" s="2197"/>
      <c r="AZ21" s="2197"/>
      <c r="BA21" s="2197"/>
      <c r="BB21" s="2001"/>
      <c r="BC21" s="2001"/>
      <c r="BD21" s="2001"/>
      <c r="BE21" s="2001"/>
    </row>
    <row r="22" spans="1:57" ht="15" outlineLevel="1">
      <c r="A22" s="2156"/>
      <c r="B22" s="2229"/>
      <c r="C22" s="2232"/>
      <c r="D22" s="2206" t="s">
        <v>3668</v>
      </c>
      <c r="E22" s="2207"/>
      <c r="F22" s="2174" t="s">
        <v>61</v>
      </c>
      <c r="G22" s="2175"/>
      <c r="H22" s="2176" t="s">
        <v>3588</v>
      </c>
      <c r="I22" s="2177"/>
      <c r="J22" s="1611" t="s">
        <v>61</v>
      </c>
      <c r="K22" s="2178">
        <v>2</v>
      </c>
      <c r="L22" s="2179"/>
      <c r="M22" s="2179"/>
      <c r="N22" s="2180"/>
      <c r="O22" s="2208">
        <v>0.2</v>
      </c>
      <c r="P22" s="2209"/>
      <c r="Q22" s="2209"/>
      <c r="R22" s="2210"/>
      <c r="S22" s="2171">
        <v>0.66700000000000004</v>
      </c>
      <c r="T22" s="2171">
        <v>0.1</v>
      </c>
      <c r="U22" s="2171">
        <v>0</v>
      </c>
      <c r="V22" s="1462"/>
      <c r="W22" s="1462"/>
      <c r="X22" s="2184"/>
      <c r="Y22" s="2165"/>
      <c r="Z22" s="2168"/>
      <c r="AA22" s="2186" t="s">
        <v>3668</v>
      </c>
      <c r="AB22" s="2187"/>
      <c r="AC22" s="2191" t="s">
        <v>61</v>
      </c>
      <c r="AD22" s="2192"/>
      <c r="AE22" s="2186" t="s">
        <v>3588</v>
      </c>
      <c r="AF22" s="2187"/>
      <c r="AG22" s="1556" t="s">
        <v>61</v>
      </c>
      <c r="AH22" s="2193">
        <v>2</v>
      </c>
      <c r="AI22" s="2194"/>
      <c r="AJ22" s="2194"/>
      <c r="AK22" s="2195"/>
      <c r="AL22" s="1462"/>
      <c r="AM22" s="1462"/>
      <c r="AN22" s="2203"/>
      <c r="AO22" s="2214"/>
      <c r="AP22" s="2204"/>
      <c r="AQ22" s="2196" t="s">
        <v>3668</v>
      </c>
      <c r="AR22" s="2196"/>
      <c r="AS22" s="2198" t="s">
        <v>61</v>
      </c>
      <c r="AT22" s="2198"/>
      <c r="AU22" s="2196" t="s">
        <v>3588</v>
      </c>
      <c r="AV22" s="2196"/>
      <c r="AW22" s="1557" t="s">
        <v>61</v>
      </c>
      <c r="AX22" s="2197">
        <v>2</v>
      </c>
      <c r="AY22" s="2197"/>
      <c r="AZ22" s="2197"/>
      <c r="BA22" s="2197"/>
      <c r="BB22" s="2001">
        <v>0</v>
      </c>
      <c r="BC22" s="2001"/>
      <c r="BD22" s="2001"/>
      <c r="BE22" s="2001"/>
    </row>
    <row r="23" spans="1:57" ht="15" outlineLevel="1">
      <c r="A23" s="2156"/>
      <c r="B23" s="2229"/>
      <c r="C23" s="2232"/>
      <c r="D23" s="2206" t="s">
        <v>3669</v>
      </c>
      <c r="E23" s="2207"/>
      <c r="F23" s="2174" t="s">
        <v>61</v>
      </c>
      <c r="G23" s="2175"/>
      <c r="H23" s="2176" t="s">
        <v>3670</v>
      </c>
      <c r="I23" s="2177"/>
      <c r="J23" s="1611" t="s">
        <v>61</v>
      </c>
      <c r="K23" s="2178">
        <v>2</v>
      </c>
      <c r="L23" s="2179"/>
      <c r="M23" s="2179"/>
      <c r="N23" s="2180"/>
      <c r="O23" s="2217"/>
      <c r="P23" s="2218"/>
      <c r="Q23" s="2218"/>
      <c r="R23" s="2219"/>
      <c r="S23" s="2172"/>
      <c r="T23" s="2172"/>
      <c r="U23" s="2172"/>
      <c r="V23" s="1462"/>
      <c r="W23" s="1462"/>
      <c r="X23" s="2184"/>
      <c r="Y23" s="2165"/>
      <c r="Z23" s="2168"/>
      <c r="AA23" s="2186" t="s">
        <v>3669</v>
      </c>
      <c r="AB23" s="2187"/>
      <c r="AC23" s="2191" t="s">
        <v>61</v>
      </c>
      <c r="AD23" s="2192"/>
      <c r="AE23" s="2186" t="s">
        <v>3670</v>
      </c>
      <c r="AF23" s="2187"/>
      <c r="AG23" s="1556" t="s">
        <v>61</v>
      </c>
      <c r="AH23" s="2193">
        <v>2</v>
      </c>
      <c r="AI23" s="2194"/>
      <c r="AJ23" s="2194"/>
      <c r="AK23" s="2195"/>
      <c r="AL23" s="1462"/>
      <c r="AM23" s="1462"/>
      <c r="AN23" s="2203"/>
      <c r="AO23" s="2214"/>
      <c r="AP23" s="2204"/>
      <c r="AQ23" s="2196" t="s">
        <v>3669</v>
      </c>
      <c r="AR23" s="2196"/>
      <c r="AS23" s="2198" t="s">
        <v>61</v>
      </c>
      <c r="AT23" s="2198"/>
      <c r="AU23" s="2196" t="s">
        <v>3670</v>
      </c>
      <c r="AV23" s="2196"/>
      <c r="AW23" s="1557" t="s">
        <v>61</v>
      </c>
      <c r="AX23" s="2197">
        <v>2</v>
      </c>
      <c r="AY23" s="2197"/>
      <c r="AZ23" s="2197"/>
      <c r="BA23" s="2197"/>
      <c r="BB23" s="2001"/>
      <c r="BC23" s="2001"/>
      <c r="BD23" s="2001"/>
      <c r="BE23" s="2001"/>
    </row>
    <row r="24" spans="1:57" ht="15" outlineLevel="1">
      <c r="A24" s="2156"/>
      <c r="B24" s="2229"/>
      <c r="C24" s="2232"/>
      <c r="D24" s="2206" t="s">
        <v>3671</v>
      </c>
      <c r="E24" s="2207"/>
      <c r="F24" s="2174" t="s">
        <v>61</v>
      </c>
      <c r="G24" s="2175"/>
      <c r="H24" s="2176" t="s">
        <v>3672</v>
      </c>
      <c r="I24" s="2177"/>
      <c r="J24" t="s">
        <v>4018</v>
      </c>
      <c r="K24" s="2178">
        <v>2.2000000000000002</v>
      </c>
      <c r="L24" s="2179"/>
      <c r="M24" s="2179"/>
      <c r="N24" s="2180"/>
      <c r="O24" s="2211"/>
      <c r="P24" s="2212"/>
      <c r="Q24" s="2212"/>
      <c r="R24" s="2213"/>
      <c r="S24" s="2173"/>
      <c r="T24" s="2173"/>
      <c r="U24" s="2173"/>
      <c r="V24" s="1462"/>
      <c r="W24" s="1462"/>
      <c r="X24" s="2184"/>
      <c r="Y24" s="2165"/>
      <c r="Z24" s="2168"/>
      <c r="AA24" s="2186" t="s">
        <v>3671</v>
      </c>
      <c r="AB24" s="2187"/>
      <c r="AC24" s="2191" t="s">
        <v>61</v>
      </c>
      <c r="AD24" s="2192"/>
      <c r="AE24" s="2186" t="s">
        <v>3672</v>
      </c>
      <c r="AF24" s="2187"/>
      <c r="AG24" s="1556" t="s">
        <v>61</v>
      </c>
      <c r="AH24" s="2193">
        <v>2.2000000000000002</v>
      </c>
      <c r="AI24" s="2194"/>
      <c r="AJ24" s="2194"/>
      <c r="AK24" s="2195"/>
      <c r="AL24" s="1462"/>
      <c r="AM24" s="1462"/>
      <c r="AN24" s="2203"/>
      <c r="AO24" s="2214"/>
      <c r="AP24" s="2204"/>
      <c r="AQ24" s="2196" t="s">
        <v>3671</v>
      </c>
      <c r="AR24" s="2196"/>
      <c r="AS24" s="2198" t="s">
        <v>61</v>
      </c>
      <c r="AT24" s="2198"/>
      <c r="AU24" s="2196" t="s">
        <v>3672</v>
      </c>
      <c r="AV24" s="2196"/>
      <c r="AW24" s="1557" t="s">
        <v>61</v>
      </c>
      <c r="AX24" s="2197">
        <v>2.2000000000000002</v>
      </c>
      <c r="AY24" s="2197"/>
      <c r="AZ24" s="2197"/>
      <c r="BA24" s="2197"/>
      <c r="BB24" s="2001"/>
      <c r="BC24" s="2001"/>
      <c r="BD24" s="2001"/>
      <c r="BE24" s="2001"/>
    </row>
    <row r="25" spans="1:57" ht="15" outlineLevel="1">
      <c r="A25" s="2156"/>
      <c r="B25" s="2229"/>
      <c r="C25" s="2232"/>
      <c r="D25" s="2206" t="s">
        <v>3657</v>
      </c>
      <c r="E25" s="2207"/>
      <c r="F25" s="2174" t="s">
        <v>3673</v>
      </c>
      <c r="G25" s="2175"/>
      <c r="H25" s="2176" t="s">
        <v>3674</v>
      </c>
      <c r="I25" s="2177"/>
      <c r="J25" s="1611" t="s">
        <v>3673</v>
      </c>
      <c r="K25" s="2178">
        <v>1</v>
      </c>
      <c r="L25" s="2179"/>
      <c r="M25" s="2179"/>
      <c r="N25" s="2180"/>
      <c r="O25" s="2208">
        <v>0</v>
      </c>
      <c r="P25" s="2209"/>
      <c r="Q25" s="2209"/>
      <c r="R25" s="2210"/>
      <c r="S25" s="2171">
        <v>0</v>
      </c>
      <c r="T25" s="2171">
        <v>0</v>
      </c>
      <c r="U25" s="2171">
        <v>0</v>
      </c>
      <c r="V25" s="1462"/>
      <c r="W25" s="1462"/>
      <c r="X25" s="2184"/>
      <c r="Y25" s="2165"/>
      <c r="Z25" s="2168"/>
      <c r="AA25" s="2186" t="s">
        <v>3657</v>
      </c>
      <c r="AB25" s="2187"/>
      <c r="AC25" s="2191" t="s">
        <v>3673</v>
      </c>
      <c r="AD25" s="2192"/>
      <c r="AE25" s="2186" t="s">
        <v>3674</v>
      </c>
      <c r="AF25" s="2187"/>
      <c r="AG25" s="1556" t="s">
        <v>3673</v>
      </c>
      <c r="AH25" s="2193">
        <v>1</v>
      </c>
      <c r="AI25" s="2194"/>
      <c r="AJ25" s="2194"/>
      <c r="AK25" s="2195"/>
      <c r="AL25" s="1462"/>
      <c r="AM25" s="1462"/>
      <c r="AN25" s="2203"/>
      <c r="AO25" s="2214"/>
      <c r="AP25" s="2204"/>
      <c r="AQ25" s="2196" t="s">
        <v>3657</v>
      </c>
      <c r="AR25" s="2196"/>
      <c r="AS25" s="2198" t="s">
        <v>3673</v>
      </c>
      <c r="AT25" s="2198"/>
      <c r="AU25" s="2196" t="s">
        <v>3674</v>
      </c>
      <c r="AV25" s="2196"/>
      <c r="AW25" s="1557" t="s">
        <v>3673</v>
      </c>
      <c r="AX25" s="2197">
        <v>1</v>
      </c>
      <c r="AY25" s="2197"/>
      <c r="AZ25" s="2197"/>
      <c r="BA25" s="2197"/>
      <c r="BB25" s="2001">
        <v>0</v>
      </c>
      <c r="BC25" s="2001"/>
      <c r="BD25" s="2001"/>
      <c r="BE25" s="2001"/>
    </row>
    <row r="26" spans="1:57" ht="15" outlineLevel="1">
      <c r="A26" s="2157"/>
      <c r="B26" s="2230"/>
      <c r="C26" s="2233"/>
      <c r="D26" s="2206" t="s">
        <v>3675</v>
      </c>
      <c r="E26" s="2207"/>
      <c r="F26" s="2174" t="s">
        <v>3673</v>
      </c>
      <c r="G26" s="2175"/>
      <c r="H26" s="2176" t="s">
        <v>3676</v>
      </c>
      <c r="I26" s="2177"/>
      <c r="J26" s="1611" t="s">
        <v>3673</v>
      </c>
      <c r="K26" s="2178">
        <v>1.6</v>
      </c>
      <c r="L26" s="2179"/>
      <c r="M26" s="2179"/>
      <c r="N26" s="2180"/>
      <c r="O26" s="2211"/>
      <c r="P26" s="2212"/>
      <c r="Q26" s="2212"/>
      <c r="R26" s="2213"/>
      <c r="S26" s="2173"/>
      <c r="T26" s="2173"/>
      <c r="U26" s="2173"/>
      <c r="V26" s="1462"/>
      <c r="W26" s="1462"/>
      <c r="X26" s="2185"/>
      <c r="Y26" s="2166"/>
      <c r="Z26" s="2169"/>
      <c r="AA26" s="2186" t="s">
        <v>3675</v>
      </c>
      <c r="AB26" s="2187"/>
      <c r="AC26" s="2191" t="s">
        <v>3673</v>
      </c>
      <c r="AD26" s="2192"/>
      <c r="AE26" s="2186" t="s">
        <v>3676</v>
      </c>
      <c r="AF26" s="2187"/>
      <c r="AG26" s="1556" t="s">
        <v>3673</v>
      </c>
      <c r="AH26" s="2193">
        <v>1.6</v>
      </c>
      <c r="AI26" s="2194"/>
      <c r="AJ26" s="2194"/>
      <c r="AK26" s="2195"/>
      <c r="AL26" s="1462"/>
      <c r="AM26" s="1462"/>
      <c r="AN26" s="2203"/>
      <c r="AO26" s="2214"/>
      <c r="AP26" s="2204"/>
      <c r="AQ26" s="2196" t="s">
        <v>3675</v>
      </c>
      <c r="AR26" s="2196"/>
      <c r="AS26" s="2198" t="s">
        <v>3673</v>
      </c>
      <c r="AT26" s="2198"/>
      <c r="AU26" s="2196" t="s">
        <v>3676</v>
      </c>
      <c r="AV26" s="2196"/>
      <c r="AW26" s="1557" t="s">
        <v>3673</v>
      </c>
      <c r="AX26" s="2197">
        <v>1.6</v>
      </c>
      <c r="AY26" s="2197"/>
      <c r="AZ26" s="2197"/>
      <c r="BA26" s="2197"/>
      <c r="BB26" s="2001"/>
      <c r="BC26" s="2001"/>
      <c r="BD26" s="2001"/>
      <c r="BE26" s="2001"/>
    </row>
    <row r="27" spans="1:57" ht="15" outlineLevel="1">
      <c r="A27" s="2155" t="s">
        <v>3677</v>
      </c>
      <c r="B27" s="2158" t="s">
        <v>3678</v>
      </c>
      <c r="C27" s="2161">
        <v>5</v>
      </c>
      <c r="D27" s="2151" t="s">
        <v>3679</v>
      </c>
      <c r="E27" s="2152"/>
      <c r="F27" s="2153" t="s">
        <v>61</v>
      </c>
      <c r="G27" s="2154"/>
      <c r="H27" s="2151" t="s">
        <v>3680</v>
      </c>
      <c r="I27" s="2152"/>
      <c r="J27" s="1535" t="s">
        <v>61</v>
      </c>
      <c r="K27" s="2145">
        <v>2.6</v>
      </c>
      <c r="L27" s="2146"/>
      <c r="M27" s="2146"/>
      <c r="N27" s="2147"/>
      <c r="O27" s="2148"/>
      <c r="P27" s="2148"/>
      <c r="Q27" s="2148"/>
      <c r="R27" s="2148"/>
      <c r="S27" s="1530"/>
      <c r="T27" s="1530"/>
      <c r="U27" s="1530"/>
      <c r="V27" s="1462"/>
      <c r="W27" s="1462"/>
      <c r="X27" s="2183" t="s">
        <v>3677</v>
      </c>
      <c r="Y27" s="2164" t="s">
        <v>3678</v>
      </c>
      <c r="Z27" s="2167">
        <v>5</v>
      </c>
      <c r="AA27" s="2186" t="s">
        <v>3679</v>
      </c>
      <c r="AB27" s="2187"/>
      <c r="AC27" s="2191" t="s">
        <v>61</v>
      </c>
      <c r="AD27" s="2192"/>
      <c r="AE27" s="2186" t="s">
        <v>3680</v>
      </c>
      <c r="AF27" s="2187"/>
      <c r="AG27" s="1556" t="s">
        <v>61</v>
      </c>
      <c r="AH27" s="2193">
        <v>2.6</v>
      </c>
      <c r="AI27" s="2194"/>
      <c r="AJ27" s="2194"/>
      <c r="AK27" s="2195"/>
      <c r="AL27" s="1462"/>
      <c r="AM27" s="1462"/>
      <c r="AN27" s="2203" t="s">
        <v>3677</v>
      </c>
      <c r="AO27" s="2214" t="s">
        <v>3678</v>
      </c>
      <c r="AP27" s="2204">
        <v>5</v>
      </c>
      <c r="AQ27" s="2196" t="s">
        <v>3679</v>
      </c>
      <c r="AR27" s="2196"/>
      <c r="AS27" s="2198" t="s">
        <v>61</v>
      </c>
      <c r="AT27" s="2198"/>
      <c r="AU27" s="2196" t="s">
        <v>3680</v>
      </c>
      <c r="AV27" s="2196"/>
      <c r="AW27" s="1557" t="s">
        <v>61</v>
      </c>
      <c r="AX27" s="2197">
        <v>2.6</v>
      </c>
      <c r="AY27" s="2197"/>
      <c r="AZ27" s="2197"/>
      <c r="BA27" s="2197"/>
      <c r="BB27" s="2199"/>
      <c r="BC27" s="2199"/>
      <c r="BD27" s="2199"/>
      <c r="BE27" s="2199"/>
    </row>
    <row r="28" spans="1:57" ht="15" outlineLevel="1">
      <c r="A28" s="2156"/>
      <c r="B28" s="2159"/>
      <c r="C28" s="2162"/>
      <c r="D28" s="2151" t="s">
        <v>3671</v>
      </c>
      <c r="E28" s="2152"/>
      <c r="F28" s="2153" t="s">
        <v>61</v>
      </c>
      <c r="G28" s="2154"/>
      <c r="H28" s="2151" t="s">
        <v>3681</v>
      </c>
      <c r="I28" s="2152"/>
      <c r="J28" s="1535" t="s">
        <v>61</v>
      </c>
      <c r="K28" s="2145">
        <v>2.6</v>
      </c>
      <c r="L28" s="2146"/>
      <c r="M28" s="2146"/>
      <c r="N28" s="2147"/>
      <c r="O28" s="2148"/>
      <c r="P28" s="2148"/>
      <c r="Q28" s="2148"/>
      <c r="R28" s="2148"/>
      <c r="S28" s="1530"/>
      <c r="T28" s="1530"/>
      <c r="U28" s="1530"/>
      <c r="V28" s="1462"/>
      <c r="W28" s="1462"/>
      <c r="X28" s="2184"/>
      <c r="Y28" s="2165"/>
      <c r="Z28" s="2168"/>
      <c r="AA28" s="2186" t="s">
        <v>3671</v>
      </c>
      <c r="AB28" s="2187"/>
      <c r="AC28" s="2191" t="s">
        <v>61</v>
      </c>
      <c r="AD28" s="2192"/>
      <c r="AE28" s="2186" t="s">
        <v>3681</v>
      </c>
      <c r="AF28" s="2187"/>
      <c r="AG28" s="1556" t="s">
        <v>61</v>
      </c>
      <c r="AH28" s="2193">
        <v>2.6</v>
      </c>
      <c r="AI28" s="2194"/>
      <c r="AJ28" s="2194"/>
      <c r="AK28" s="2195"/>
      <c r="AL28" s="1462"/>
      <c r="AM28" s="1462"/>
      <c r="AN28" s="2203"/>
      <c r="AO28" s="2214"/>
      <c r="AP28" s="2204"/>
      <c r="AQ28" s="2196" t="s">
        <v>3671</v>
      </c>
      <c r="AR28" s="2196"/>
      <c r="AS28" s="2198" t="s">
        <v>61</v>
      </c>
      <c r="AT28" s="2198"/>
      <c r="AU28" s="2196" t="s">
        <v>3681</v>
      </c>
      <c r="AV28" s="2196"/>
      <c r="AW28" s="1557" t="s">
        <v>61</v>
      </c>
      <c r="AX28" s="2197">
        <v>2.6</v>
      </c>
      <c r="AY28" s="2197"/>
      <c r="AZ28" s="2197"/>
      <c r="BA28" s="2197"/>
      <c r="BB28" s="2199"/>
      <c r="BC28" s="2199"/>
      <c r="BD28" s="2199"/>
      <c r="BE28" s="2199"/>
    </row>
    <row r="29" spans="1:57" ht="15" outlineLevel="1">
      <c r="A29" s="2156"/>
      <c r="B29" s="2159"/>
      <c r="C29" s="2162"/>
      <c r="D29" s="2151" t="s">
        <v>3668</v>
      </c>
      <c r="E29" s="2152"/>
      <c r="F29" s="2153" t="s">
        <v>61</v>
      </c>
      <c r="G29" s="2154"/>
      <c r="H29" s="2151" t="s">
        <v>3588</v>
      </c>
      <c r="I29" s="2152"/>
      <c r="J29" s="1535" t="s">
        <v>61</v>
      </c>
      <c r="K29" s="2145">
        <v>2</v>
      </c>
      <c r="L29" s="2146"/>
      <c r="M29" s="2146"/>
      <c r="N29" s="2147"/>
      <c r="O29" s="2148"/>
      <c r="P29" s="2148"/>
      <c r="Q29" s="2148"/>
      <c r="R29" s="2148"/>
      <c r="S29" s="1530"/>
      <c r="T29" s="1530"/>
      <c r="U29" s="1530"/>
      <c r="V29" s="1462"/>
      <c r="W29" s="1462"/>
      <c r="X29" s="2184"/>
      <c r="Y29" s="2165"/>
      <c r="Z29" s="2168"/>
      <c r="AA29" s="2186" t="s">
        <v>3668</v>
      </c>
      <c r="AB29" s="2187"/>
      <c r="AC29" s="2191" t="s">
        <v>61</v>
      </c>
      <c r="AD29" s="2192"/>
      <c r="AE29" s="2186" t="s">
        <v>3588</v>
      </c>
      <c r="AF29" s="2187"/>
      <c r="AG29" s="1556" t="s">
        <v>61</v>
      </c>
      <c r="AH29" s="2193">
        <v>2</v>
      </c>
      <c r="AI29" s="2194"/>
      <c r="AJ29" s="2194"/>
      <c r="AK29" s="2195"/>
      <c r="AL29" s="1462"/>
      <c r="AM29" s="1462"/>
      <c r="AN29" s="2203"/>
      <c r="AO29" s="2214"/>
      <c r="AP29" s="2204"/>
      <c r="AQ29" s="2196" t="s">
        <v>3668</v>
      </c>
      <c r="AR29" s="2196"/>
      <c r="AS29" s="2198" t="s">
        <v>61</v>
      </c>
      <c r="AT29" s="2198"/>
      <c r="AU29" s="2196" t="s">
        <v>3588</v>
      </c>
      <c r="AV29" s="2196"/>
      <c r="AW29" s="1557" t="s">
        <v>61</v>
      </c>
      <c r="AX29" s="2197">
        <v>2</v>
      </c>
      <c r="AY29" s="2197"/>
      <c r="AZ29" s="2197"/>
      <c r="BA29" s="2197"/>
      <c r="BB29" s="2199"/>
      <c r="BC29" s="2199"/>
      <c r="BD29" s="2199"/>
      <c r="BE29" s="2199"/>
    </row>
    <row r="30" spans="1:57" ht="15" outlineLevel="1">
      <c r="A30" s="2156"/>
      <c r="B30" s="2159"/>
      <c r="C30" s="2162"/>
      <c r="D30" s="2151" t="s">
        <v>3663</v>
      </c>
      <c r="E30" s="2152"/>
      <c r="F30" s="2153" t="s">
        <v>61</v>
      </c>
      <c r="G30" s="2154"/>
      <c r="H30" s="2151" t="s">
        <v>3682</v>
      </c>
      <c r="I30" s="2152"/>
      <c r="J30" s="1535" t="s">
        <v>61</v>
      </c>
      <c r="K30" s="2145">
        <v>3</v>
      </c>
      <c r="L30" s="2146"/>
      <c r="M30" s="2146"/>
      <c r="N30" s="2147"/>
      <c r="O30" s="2148"/>
      <c r="P30" s="2148"/>
      <c r="Q30" s="2148"/>
      <c r="R30" s="2148"/>
      <c r="S30" s="1530"/>
      <c r="T30" s="1530"/>
      <c r="U30" s="1530"/>
      <c r="V30" s="1462"/>
      <c r="W30" s="1462"/>
      <c r="X30" s="2184"/>
      <c r="Y30" s="2165"/>
      <c r="Z30" s="2168"/>
      <c r="AA30" s="2186" t="s">
        <v>3663</v>
      </c>
      <c r="AB30" s="2187"/>
      <c r="AC30" s="2191" t="s">
        <v>61</v>
      </c>
      <c r="AD30" s="2192"/>
      <c r="AE30" s="2186" t="s">
        <v>3682</v>
      </c>
      <c r="AF30" s="2187"/>
      <c r="AG30" s="1556" t="s">
        <v>61</v>
      </c>
      <c r="AH30" s="2193">
        <v>3</v>
      </c>
      <c r="AI30" s="2194"/>
      <c r="AJ30" s="2194"/>
      <c r="AK30" s="2195"/>
      <c r="AL30" s="1462"/>
      <c r="AM30" s="1462"/>
      <c r="AN30" s="2203"/>
      <c r="AO30" s="2214"/>
      <c r="AP30" s="2204"/>
      <c r="AQ30" s="2196" t="s">
        <v>3663</v>
      </c>
      <c r="AR30" s="2196"/>
      <c r="AS30" s="2198" t="s">
        <v>61</v>
      </c>
      <c r="AT30" s="2198"/>
      <c r="AU30" s="2196" t="s">
        <v>3682</v>
      </c>
      <c r="AV30" s="2196"/>
      <c r="AW30" s="1557" t="s">
        <v>61</v>
      </c>
      <c r="AX30" s="2197">
        <v>3</v>
      </c>
      <c r="AY30" s="2197"/>
      <c r="AZ30" s="2197"/>
      <c r="BA30" s="2197"/>
      <c r="BB30" s="2199"/>
      <c r="BC30" s="2199"/>
      <c r="BD30" s="2199"/>
      <c r="BE30" s="2199"/>
    </row>
    <row r="31" spans="1:57" ht="15" outlineLevel="1">
      <c r="A31" s="2157"/>
      <c r="B31" s="2160"/>
      <c r="C31" s="2163"/>
      <c r="D31" s="2151" t="s">
        <v>3657</v>
      </c>
      <c r="E31" s="2152"/>
      <c r="F31" s="2153" t="s">
        <v>61</v>
      </c>
      <c r="G31" s="2154"/>
      <c r="H31" s="2151" t="s">
        <v>3658</v>
      </c>
      <c r="I31" s="2152"/>
      <c r="J31" s="1535" t="s">
        <v>61</v>
      </c>
      <c r="K31" s="2145">
        <v>0</v>
      </c>
      <c r="L31" s="2146"/>
      <c r="M31" s="2146"/>
      <c r="N31" s="2147"/>
      <c r="O31" s="2148"/>
      <c r="P31" s="2148"/>
      <c r="Q31" s="2148"/>
      <c r="R31" s="2148"/>
      <c r="S31" s="1530"/>
      <c r="T31" s="1530"/>
      <c r="U31" s="1530"/>
      <c r="V31" s="1462"/>
      <c r="W31" s="1462"/>
      <c r="X31" s="2185"/>
      <c r="Y31" s="2166"/>
      <c r="Z31" s="2169"/>
      <c r="AA31" s="2186" t="s">
        <v>3657</v>
      </c>
      <c r="AB31" s="2187"/>
      <c r="AC31" s="2191" t="s">
        <v>61</v>
      </c>
      <c r="AD31" s="2192"/>
      <c r="AE31" s="2186" t="s">
        <v>3658</v>
      </c>
      <c r="AF31" s="2187"/>
      <c r="AG31" s="1556" t="s">
        <v>61</v>
      </c>
      <c r="AH31" s="2193">
        <v>0</v>
      </c>
      <c r="AI31" s="2194"/>
      <c r="AJ31" s="2194"/>
      <c r="AK31" s="2195"/>
      <c r="AL31" s="1462"/>
      <c r="AM31" s="1462"/>
      <c r="AN31" s="2203"/>
      <c r="AO31" s="2214"/>
      <c r="AP31" s="2204"/>
      <c r="AQ31" s="2196" t="s">
        <v>3657</v>
      </c>
      <c r="AR31" s="2196"/>
      <c r="AS31" s="2198" t="s">
        <v>61</v>
      </c>
      <c r="AT31" s="2198"/>
      <c r="AU31" s="2196" t="s">
        <v>3658</v>
      </c>
      <c r="AV31" s="2196"/>
      <c r="AW31" s="1557" t="s">
        <v>61</v>
      </c>
      <c r="AX31" s="2197">
        <v>0</v>
      </c>
      <c r="AY31" s="2197"/>
      <c r="AZ31" s="2197"/>
      <c r="BA31" s="2197"/>
      <c r="BB31" s="2199"/>
      <c r="BC31" s="2199"/>
      <c r="BD31" s="2199"/>
      <c r="BE31" s="2199"/>
    </row>
    <row r="32" spans="1:57" ht="15" outlineLevel="1">
      <c r="A32" s="2155" t="s">
        <v>3683</v>
      </c>
      <c r="B32" s="2158" t="s">
        <v>3684</v>
      </c>
      <c r="C32" s="2161">
        <v>5</v>
      </c>
      <c r="D32" s="2151" t="s">
        <v>3668</v>
      </c>
      <c r="E32" s="2152"/>
      <c r="F32" s="2153" t="s">
        <v>3673</v>
      </c>
      <c r="G32" s="2154"/>
      <c r="H32" s="2151" t="s">
        <v>3685</v>
      </c>
      <c r="I32" s="2152"/>
      <c r="J32" s="1535" t="s">
        <v>3673</v>
      </c>
      <c r="K32" s="2145">
        <v>1</v>
      </c>
      <c r="L32" s="2146"/>
      <c r="M32" s="2146"/>
      <c r="N32" s="2147"/>
      <c r="O32" s="2148"/>
      <c r="P32" s="2148"/>
      <c r="Q32" s="2148"/>
      <c r="R32" s="2148"/>
      <c r="S32" s="1530"/>
      <c r="T32" s="1530"/>
      <c r="U32" s="1530"/>
      <c r="V32" s="1462"/>
      <c r="W32" s="1462"/>
      <c r="X32" s="2183" t="s">
        <v>3683</v>
      </c>
      <c r="Y32" s="2164" t="s">
        <v>3684</v>
      </c>
      <c r="Z32" s="2167">
        <v>5</v>
      </c>
      <c r="AA32" s="2186" t="s">
        <v>3668</v>
      </c>
      <c r="AB32" s="2187"/>
      <c r="AC32" s="2191" t="s">
        <v>3673</v>
      </c>
      <c r="AD32" s="2192"/>
      <c r="AE32" s="2186" t="s">
        <v>3685</v>
      </c>
      <c r="AF32" s="2187"/>
      <c r="AG32" s="1556" t="s">
        <v>3673</v>
      </c>
      <c r="AH32" s="2193">
        <v>1</v>
      </c>
      <c r="AI32" s="2194"/>
      <c r="AJ32" s="2194"/>
      <c r="AK32" s="2195"/>
      <c r="AL32" s="1462"/>
      <c r="AM32" s="1462"/>
      <c r="AN32" s="2203" t="s">
        <v>3683</v>
      </c>
      <c r="AO32" s="2214" t="s">
        <v>3684</v>
      </c>
      <c r="AP32" s="2204">
        <v>5</v>
      </c>
      <c r="AQ32" s="2196" t="s">
        <v>3668</v>
      </c>
      <c r="AR32" s="2196"/>
      <c r="AS32" s="2198" t="s">
        <v>3673</v>
      </c>
      <c r="AT32" s="2198"/>
      <c r="AU32" s="2196" t="s">
        <v>3685</v>
      </c>
      <c r="AV32" s="2196"/>
      <c r="AW32" s="1557" t="s">
        <v>3673</v>
      </c>
      <c r="AX32" s="2197">
        <v>1</v>
      </c>
      <c r="AY32" s="2197"/>
      <c r="AZ32" s="2197"/>
      <c r="BA32" s="2197"/>
      <c r="BB32" s="2199"/>
      <c r="BC32" s="2199"/>
      <c r="BD32" s="2199"/>
      <c r="BE32" s="2199"/>
    </row>
    <row r="33" spans="1:57" ht="15" outlineLevel="1">
      <c r="A33" s="2156"/>
      <c r="B33" s="2159"/>
      <c r="C33" s="2162"/>
      <c r="D33" s="2151" t="s">
        <v>3663</v>
      </c>
      <c r="E33" s="2152"/>
      <c r="F33" s="2153" t="s">
        <v>3673</v>
      </c>
      <c r="G33" s="2154"/>
      <c r="H33" s="2151" t="s">
        <v>3582</v>
      </c>
      <c r="I33" s="2152"/>
      <c r="J33" s="1535" t="s">
        <v>3673</v>
      </c>
      <c r="K33" s="2145">
        <v>0</v>
      </c>
      <c r="L33" s="2146"/>
      <c r="M33" s="2146"/>
      <c r="N33" s="2147"/>
      <c r="O33" s="2148"/>
      <c r="P33" s="2148"/>
      <c r="Q33" s="2148"/>
      <c r="R33" s="2148"/>
      <c r="S33" s="1530"/>
      <c r="T33" s="1530"/>
      <c r="U33" s="1530"/>
      <c r="V33" s="1462"/>
      <c r="W33" s="1462"/>
      <c r="X33" s="2184"/>
      <c r="Y33" s="2165"/>
      <c r="Z33" s="2168"/>
      <c r="AA33" s="2186" t="s">
        <v>3663</v>
      </c>
      <c r="AB33" s="2187"/>
      <c r="AC33" s="2191" t="s">
        <v>3673</v>
      </c>
      <c r="AD33" s="2192"/>
      <c r="AE33" s="2186" t="s">
        <v>3582</v>
      </c>
      <c r="AF33" s="2187"/>
      <c r="AG33" s="1556" t="s">
        <v>3673</v>
      </c>
      <c r="AH33" s="2193">
        <v>0</v>
      </c>
      <c r="AI33" s="2194"/>
      <c r="AJ33" s="2194"/>
      <c r="AK33" s="2195"/>
      <c r="AL33" s="1462"/>
      <c r="AM33" s="1462"/>
      <c r="AN33" s="2203"/>
      <c r="AO33" s="2214"/>
      <c r="AP33" s="2204"/>
      <c r="AQ33" s="2196" t="s">
        <v>3663</v>
      </c>
      <c r="AR33" s="2196"/>
      <c r="AS33" s="2198" t="s">
        <v>3673</v>
      </c>
      <c r="AT33" s="2198"/>
      <c r="AU33" s="2196" t="s">
        <v>3582</v>
      </c>
      <c r="AV33" s="2196"/>
      <c r="AW33" s="1557" t="s">
        <v>3673</v>
      </c>
      <c r="AX33" s="2197">
        <v>0</v>
      </c>
      <c r="AY33" s="2197"/>
      <c r="AZ33" s="2197"/>
      <c r="BA33" s="2197"/>
      <c r="BB33" s="2199"/>
      <c r="BC33" s="2199"/>
      <c r="BD33" s="2199"/>
      <c r="BE33" s="2199"/>
    </row>
    <row r="34" spans="1:57" ht="15" outlineLevel="1">
      <c r="A34" s="2156"/>
      <c r="B34" s="2159"/>
      <c r="C34" s="2162"/>
      <c r="D34" s="2151" t="s">
        <v>3598</v>
      </c>
      <c r="E34" s="2152"/>
      <c r="F34" s="2153" t="s">
        <v>61</v>
      </c>
      <c r="G34" s="2154"/>
      <c r="H34" s="2151" t="s">
        <v>3686</v>
      </c>
      <c r="I34" s="2152"/>
      <c r="J34" s="1535" t="s">
        <v>61</v>
      </c>
      <c r="K34" s="2145">
        <v>-0.6</v>
      </c>
      <c r="L34" s="2146"/>
      <c r="M34" s="2146"/>
      <c r="N34" s="2147"/>
      <c r="O34" s="2148"/>
      <c r="P34" s="2148"/>
      <c r="Q34" s="2148"/>
      <c r="R34" s="2148"/>
      <c r="S34" s="1530"/>
      <c r="T34" s="1530"/>
      <c r="U34" s="1530"/>
      <c r="V34" s="1462"/>
      <c r="W34" s="1462"/>
      <c r="X34" s="2184"/>
      <c r="Y34" s="2165"/>
      <c r="Z34" s="2168"/>
      <c r="AA34" s="2186" t="s">
        <v>3598</v>
      </c>
      <c r="AB34" s="2187"/>
      <c r="AC34" s="2191" t="s">
        <v>61</v>
      </c>
      <c r="AD34" s="2192"/>
      <c r="AE34" s="2186" t="s">
        <v>3686</v>
      </c>
      <c r="AF34" s="2187"/>
      <c r="AG34" s="1556" t="s">
        <v>61</v>
      </c>
      <c r="AH34" s="2193">
        <v>-0.6</v>
      </c>
      <c r="AI34" s="2194"/>
      <c r="AJ34" s="2194"/>
      <c r="AK34" s="2195"/>
      <c r="AL34" s="1462"/>
      <c r="AM34" s="1462"/>
      <c r="AN34" s="2203"/>
      <c r="AO34" s="2214"/>
      <c r="AP34" s="2204"/>
      <c r="AQ34" s="2196" t="s">
        <v>3598</v>
      </c>
      <c r="AR34" s="2196"/>
      <c r="AS34" s="2198" t="s">
        <v>61</v>
      </c>
      <c r="AT34" s="2198"/>
      <c r="AU34" s="2196" t="s">
        <v>3686</v>
      </c>
      <c r="AV34" s="2196"/>
      <c r="AW34" s="1557" t="s">
        <v>61</v>
      </c>
      <c r="AX34" s="2197">
        <v>-0.6</v>
      </c>
      <c r="AY34" s="2197"/>
      <c r="AZ34" s="2197"/>
      <c r="BA34" s="2197"/>
      <c r="BB34" s="2199"/>
      <c r="BC34" s="2199"/>
      <c r="BD34" s="2199"/>
      <c r="BE34" s="2199"/>
    </row>
    <row r="35" spans="1:57" ht="15" outlineLevel="1">
      <c r="A35" s="2156"/>
      <c r="B35" s="2159"/>
      <c r="C35" s="2162"/>
      <c r="D35" s="2151" t="s">
        <v>3668</v>
      </c>
      <c r="E35" s="2152"/>
      <c r="F35" s="2153" t="s">
        <v>61</v>
      </c>
      <c r="G35" s="2154"/>
      <c r="H35" s="2151" t="s">
        <v>3687</v>
      </c>
      <c r="I35" s="2152"/>
      <c r="J35" s="1535" t="s">
        <v>61</v>
      </c>
      <c r="K35" s="2145">
        <v>-0.1</v>
      </c>
      <c r="L35" s="2146"/>
      <c r="M35" s="2146"/>
      <c r="N35" s="2147"/>
      <c r="O35" s="2148"/>
      <c r="P35" s="2148"/>
      <c r="Q35" s="2148"/>
      <c r="R35" s="2148"/>
      <c r="S35" s="1530"/>
      <c r="T35" s="1530"/>
      <c r="U35" s="1530"/>
      <c r="V35" s="1462"/>
      <c r="W35" s="1462"/>
      <c r="X35" s="2184"/>
      <c r="Y35" s="2165"/>
      <c r="Z35" s="2168"/>
      <c r="AA35" s="2186" t="s">
        <v>3668</v>
      </c>
      <c r="AB35" s="2187"/>
      <c r="AC35" s="2191" t="s">
        <v>61</v>
      </c>
      <c r="AD35" s="2192"/>
      <c r="AE35" s="2186" t="s">
        <v>3687</v>
      </c>
      <c r="AF35" s="2187"/>
      <c r="AG35" s="1556" t="s">
        <v>61</v>
      </c>
      <c r="AH35" s="2193">
        <v>-0.1</v>
      </c>
      <c r="AI35" s="2194"/>
      <c r="AJ35" s="2194"/>
      <c r="AK35" s="2195"/>
      <c r="AL35" s="1462"/>
      <c r="AM35" s="1462"/>
      <c r="AN35" s="2203"/>
      <c r="AO35" s="2214"/>
      <c r="AP35" s="2204"/>
      <c r="AQ35" s="2196" t="s">
        <v>3668</v>
      </c>
      <c r="AR35" s="2196"/>
      <c r="AS35" s="2198" t="s">
        <v>61</v>
      </c>
      <c r="AT35" s="2198"/>
      <c r="AU35" s="2196" t="s">
        <v>3687</v>
      </c>
      <c r="AV35" s="2196"/>
      <c r="AW35" s="1557" t="s">
        <v>61</v>
      </c>
      <c r="AX35" s="2197">
        <v>-0.1</v>
      </c>
      <c r="AY35" s="2197"/>
      <c r="AZ35" s="2197"/>
      <c r="BA35" s="2197"/>
      <c r="BB35" s="2199"/>
      <c r="BC35" s="2199"/>
      <c r="BD35" s="2199"/>
      <c r="BE35" s="2199"/>
    </row>
    <row r="36" spans="1:57" ht="15" outlineLevel="1">
      <c r="A36" s="2157"/>
      <c r="B36" s="2160"/>
      <c r="C36" s="2163"/>
      <c r="D36" s="2151" t="s">
        <v>3663</v>
      </c>
      <c r="E36" s="2152"/>
      <c r="F36" s="2153" t="s">
        <v>61</v>
      </c>
      <c r="G36" s="2154"/>
      <c r="H36" s="2151" t="s">
        <v>3688</v>
      </c>
      <c r="I36" s="2152"/>
      <c r="J36" s="1535" t="s">
        <v>61</v>
      </c>
      <c r="K36" s="2145">
        <v>-0.1</v>
      </c>
      <c r="L36" s="2146"/>
      <c r="M36" s="2146"/>
      <c r="N36" s="2147"/>
      <c r="O36" s="2148"/>
      <c r="P36" s="2148"/>
      <c r="Q36" s="2148"/>
      <c r="R36" s="2148"/>
      <c r="S36" s="1530"/>
      <c r="T36" s="1530"/>
      <c r="U36" s="1530"/>
      <c r="V36" s="1462"/>
      <c r="W36" s="1462"/>
      <c r="X36" s="2185"/>
      <c r="Y36" s="2166"/>
      <c r="Z36" s="2169"/>
      <c r="AA36" s="2186" t="s">
        <v>3663</v>
      </c>
      <c r="AB36" s="2187"/>
      <c r="AC36" s="2191" t="s">
        <v>61</v>
      </c>
      <c r="AD36" s="2192"/>
      <c r="AE36" s="2186" t="s">
        <v>3688</v>
      </c>
      <c r="AF36" s="2187"/>
      <c r="AG36" s="1556" t="s">
        <v>61</v>
      </c>
      <c r="AH36" s="2193">
        <v>-0.1</v>
      </c>
      <c r="AI36" s="2194"/>
      <c r="AJ36" s="2194"/>
      <c r="AK36" s="2195"/>
      <c r="AL36" s="1462"/>
      <c r="AM36" s="1462"/>
      <c r="AN36" s="2203"/>
      <c r="AO36" s="2214"/>
      <c r="AP36" s="2204"/>
      <c r="AQ36" s="2196" t="s">
        <v>3663</v>
      </c>
      <c r="AR36" s="2196"/>
      <c r="AS36" s="2198" t="s">
        <v>61</v>
      </c>
      <c r="AT36" s="2198"/>
      <c r="AU36" s="2196" t="s">
        <v>3688</v>
      </c>
      <c r="AV36" s="2196"/>
      <c r="AW36" s="1557" t="s">
        <v>61</v>
      </c>
      <c r="AX36" s="2197">
        <v>-0.1</v>
      </c>
      <c r="AY36" s="2197"/>
      <c r="AZ36" s="2197"/>
      <c r="BA36" s="2197"/>
      <c r="BB36" s="2199"/>
      <c r="BC36" s="2199"/>
      <c r="BD36" s="2199"/>
      <c r="BE36" s="2199"/>
    </row>
    <row r="37" spans="1:57" ht="15" outlineLevel="1">
      <c r="A37" s="2155" t="s">
        <v>3689</v>
      </c>
      <c r="B37" s="2158" t="s">
        <v>3690</v>
      </c>
      <c r="C37" s="2161">
        <v>5</v>
      </c>
      <c r="D37" s="2151" t="s">
        <v>3691</v>
      </c>
      <c r="E37" s="2152"/>
      <c r="F37" s="2153" t="s">
        <v>3673</v>
      </c>
      <c r="G37" s="2154"/>
      <c r="H37" s="2151" t="s">
        <v>3692</v>
      </c>
      <c r="I37" s="2152"/>
      <c r="J37" s="1535" t="s">
        <v>3673</v>
      </c>
      <c r="K37" s="2145">
        <v>2.6</v>
      </c>
      <c r="L37" s="2146"/>
      <c r="M37" s="2146"/>
      <c r="N37" s="2147"/>
      <c r="O37" s="2148"/>
      <c r="P37" s="2148"/>
      <c r="Q37" s="2148"/>
      <c r="R37" s="2148"/>
      <c r="S37" s="1530"/>
      <c r="T37" s="1530"/>
      <c r="U37" s="1530"/>
      <c r="V37" s="1462"/>
      <c r="W37" s="1462"/>
      <c r="X37" s="2183" t="s">
        <v>3689</v>
      </c>
      <c r="Y37" s="2164" t="s">
        <v>3690</v>
      </c>
      <c r="Z37" s="2167">
        <v>5</v>
      </c>
      <c r="AA37" s="2186" t="s">
        <v>3691</v>
      </c>
      <c r="AB37" s="2187"/>
      <c r="AC37" s="2191" t="s">
        <v>3673</v>
      </c>
      <c r="AD37" s="2192"/>
      <c r="AE37" s="2186" t="s">
        <v>3692</v>
      </c>
      <c r="AF37" s="2187"/>
      <c r="AG37" s="1556" t="s">
        <v>3673</v>
      </c>
      <c r="AH37" s="2193">
        <v>2.6</v>
      </c>
      <c r="AI37" s="2194"/>
      <c r="AJ37" s="2194"/>
      <c r="AK37" s="2195"/>
      <c r="AL37" s="1462"/>
      <c r="AM37" s="1462"/>
      <c r="AN37" s="2203" t="s">
        <v>3689</v>
      </c>
      <c r="AO37" s="2214" t="s">
        <v>3690</v>
      </c>
      <c r="AP37" s="2204">
        <v>5</v>
      </c>
      <c r="AQ37" s="2196" t="s">
        <v>3691</v>
      </c>
      <c r="AR37" s="2196"/>
      <c r="AS37" s="2198" t="s">
        <v>3673</v>
      </c>
      <c r="AT37" s="2198"/>
      <c r="AU37" s="2196" t="s">
        <v>3692</v>
      </c>
      <c r="AV37" s="2196"/>
      <c r="AW37" s="1557" t="s">
        <v>3673</v>
      </c>
      <c r="AX37" s="2197">
        <v>2.6</v>
      </c>
      <c r="AY37" s="2197"/>
      <c r="AZ37" s="2197"/>
      <c r="BA37" s="2197"/>
      <c r="BB37" s="2199"/>
      <c r="BC37" s="2199"/>
      <c r="BD37" s="2199"/>
      <c r="BE37" s="2199"/>
    </row>
    <row r="38" spans="1:57" ht="15" outlineLevel="1">
      <c r="A38" s="2156"/>
      <c r="B38" s="2159"/>
      <c r="C38" s="2162"/>
      <c r="D38" s="2151" t="s">
        <v>3663</v>
      </c>
      <c r="E38" s="2152"/>
      <c r="F38" s="2153" t="s">
        <v>3673</v>
      </c>
      <c r="G38" s="2154"/>
      <c r="H38" s="2151" t="s">
        <v>3664</v>
      </c>
      <c r="I38" s="2152"/>
      <c r="J38" s="1535" t="s">
        <v>3673</v>
      </c>
      <c r="K38" s="2145">
        <v>2</v>
      </c>
      <c r="L38" s="2146"/>
      <c r="M38" s="2146"/>
      <c r="N38" s="2147"/>
      <c r="O38" s="2148"/>
      <c r="P38" s="2148"/>
      <c r="Q38" s="2148"/>
      <c r="R38" s="2148"/>
      <c r="S38" s="1530"/>
      <c r="T38" s="1530"/>
      <c r="U38" s="1530"/>
      <c r="V38" s="1462"/>
      <c r="W38" s="1462"/>
      <c r="X38" s="2184"/>
      <c r="Y38" s="2165"/>
      <c r="Z38" s="2168"/>
      <c r="AA38" s="2186" t="s">
        <v>3663</v>
      </c>
      <c r="AB38" s="2187"/>
      <c r="AC38" s="2191" t="s">
        <v>3673</v>
      </c>
      <c r="AD38" s="2192"/>
      <c r="AE38" s="2186" t="s">
        <v>3664</v>
      </c>
      <c r="AF38" s="2187"/>
      <c r="AG38" s="1556" t="s">
        <v>3673</v>
      </c>
      <c r="AH38" s="2193">
        <v>2</v>
      </c>
      <c r="AI38" s="2194"/>
      <c r="AJ38" s="2194"/>
      <c r="AK38" s="2195"/>
      <c r="AL38" s="1462"/>
      <c r="AM38" s="1462"/>
      <c r="AN38" s="2203"/>
      <c r="AO38" s="2214"/>
      <c r="AP38" s="2204"/>
      <c r="AQ38" s="2196" t="s">
        <v>3663</v>
      </c>
      <c r="AR38" s="2196"/>
      <c r="AS38" s="2198" t="s">
        <v>3673</v>
      </c>
      <c r="AT38" s="2198"/>
      <c r="AU38" s="2196" t="s">
        <v>3664</v>
      </c>
      <c r="AV38" s="2196"/>
      <c r="AW38" s="1557" t="s">
        <v>3673</v>
      </c>
      <c r="AX38" s="2197">
        <v>2</v>
      </c>
      <c r="AY38" s="2197"/>
      <c r="AZ38" s="2197"/>
      <c r="BA38" s="2197"/>
      <c r="BB38" s="2199"/>
      <c r="BC38" s="2199"/>
      <c r="BD38" s="2199"/>
      <c r="BE38" s="2199"/>
    </row>
    <row r="39" spans="1:57" ht="15" outlineLevel="1">
      <c r="A39" s="2156"/>
      <c r="B39" s="2159"/>
      <c r="C39" s="2162"/>
      <c r="D39" s="2151" t="s">
        <v>3657</v>
      </c>
      <c r="E39" s="2152"/>
      <c r="F39" s="2153" t="s">
        <v>3673</v>
      </c>
      <c r="G39" s="2154"/>
      <c r="H39" s="2151" t="s">
        <v>3674</v>
      </c>
      <c r="I39" s="2152"/>
      <c r="J39" s="1535" t="s">
        <v>3673</v>
      </c>
      <c r="K39" s="2145">
        <v>1</v>
      </c>
      <c r="L39" s="2146"/>
      <c r="M39" s="2146"/>
      <c r="N39" s="2147"/>
      <c r="O39" s="2148"/>
      <c r="P39" s="2148"/>
      <c r="Q39" s="2148"/>
      <c r="R39" s="2148"/>
      <c r="S39" s="1530"/>
      <c r="T39" s="1530"/>
      <c r="U39" s="1530"/>
      <c r="V39" s="1462"/>
      <c r="W39" s="1462"/>
      <c r="X39" s="2184"/>
      <c r="Y39" s="2165"/>
      <c r="Z39" s="2168"/>
      <c r="AA39" s="2186" t="s">
        <v>3657</v>
      </c>
      <c r="AB39" s="2187"/>
      <c r="AC39" s="2191" t="s">
        <v>3673</v>
      </c>
      <c r="AD39" s="2192"/>
      <c r="AE39" s="2186" t="s">
        <v>3674</v>
      </c>
      <c r="AF39" s="2187"/>
      <c r="AG39" s="1556" t="s">
        <v>3673</v>
      </c>
      <c r="AH39" s="2193">
        <v>1</v>
      </c>
      <c r="AI39" s="2194"/>
      <c r="AJ39" s="2194"/>
      <c r="AK39" s="2195"/>
      <c r="AL39" s="1462"/>
      <c r="AM39" s="1462"/>
      <c r="AN39" s="2203"/>
      <c r="AO39" s="2214"/>
      <c r="AP39" s="2204"/>
      <c r="AQ39" s="2196" t="s">
        <v>3657</v>
      </c>
      <c r="AR39" s="2196"/>
      <c r="AS39" s="2198" t="s">
        <v>3673</v>
      </c>
      <c r="AT39" s="2198"/>
      <c r="AU39" s="2196" t="s">
        <v>3674</v>
      </c>
      <c r="AV39" s="2196"/>
      <c r="AW39" s="1557" t="s">
        <v>3673</v>
      </c>
      <c r="AX39" s="2197">
        <v>1</v>
      </c>
      <c r="AY39" s="2197"/>
      <c r="AZ39" s="2197"/>
      <c r="BA39" s="2197"/>
      <c r="BB39" s="2199"/>
      <c r="BC39" s="2199"/>
      <c r="BD39" s="2199"/>
      <c r="BE39" s="2199"/>
    </row>
    <row r="40" spans="1:57" ht="15" outlineLevel="1">
      <c r="A40" s="2156"/>
      <c r="B40" s="2159"/>
      <c r="C40" s="2162"/>
      <c r="D40" s="2151" t="s">
        <v>3668</v>
      </c>
      <c r="E40" s="2152"/>
      <c r="F40" s="2153" t="s">
        <v>61</v>
      </c>
      <c r="G40" s="2154"/>
      <c r="H40" s="2151" t="s">
        <v>3685</v>
      </c>
      <c r="I40" s="2152"/>
      <c r="J40" s="1535" t="s">
        <v>61</v>
      </c>
      <c r="K40" s="2145">
        <v>1</v>
      </c>
      <c r="L40" s="2146"/>
      <c r="M40" s="2146"/>
      <c r="N40" s="2147"/>
      <c r="O40" s="2148"/>
      <c r="P40" s="2148"/>
      <c r="Q40" s="2148"/>
      <c r="R40" s="2148"/>
      <c r="S40" s="1530"/>
      <c r="T40" s="1530"/>
      <c r="U40" s="1530"/>
      <c r="V40" s="1462"/>
      <c r="W40" s="1462"/>
      <c r="X40" s="2184"/>
      <c r="Y40" s="2165"/>
      <c r="Z40" s="2168"/>
      <c r="AA40" s="2186" t="s">
        <v>3668</v>
      </c>
      <c r="AB40" s="2187"/>
      <c r="AC40" s="2191" t="s">
        <v>61</v>
      </c>
      <c r="AD40" s="2192"/>
      <c r="AE40" s="2186" t="s">
        <v>3685</v>
      </c>
      <c r="AF40" s="2187"/>
      <c r="AG40" s="1556" t="s">
        <v>61</v>
      </c>
      <c r="AH40" s="2193">
        <v>1</v>
      </c>
      <c r="AI40" s="2194"/>
      <c r="AJ40" s="2194"/>
      <c r="AK40" s="2195"/>
      <c r="AL40" s="1462"/>
      <c r="AM40" s="1462"/>
      <c r="AN40" s="2203"/>
      <c r="AO40" s="2214"/>
      <c r="AP40" s="2204"/>
      <c r="AQ40" s="2196" t="s">
        <v>3668</v>
      </c>
      <c r="AR40" s="2196"/>
      <c r="AS40" s="2198" t="s">
        <v>61</v>
      </c>
      <c r="AT40" s="2198"/>
      <c r="AU40" s="2196" t="s">
        <v>3685</v>
      </c>
      <c r="AV40" s="2196"/>
      <c r="AW40" s="1557" t="s">
        <v>61</v>
      </c>
      <c r="AX40" s="2197">
        <v>1</v>
      </c>
      <c r="AY40" s="2197"/>
      <c r="AZ40" s="2197"/>
      <c r="BA40" s="2197"/>
      <c r="BB40" s="2199"/>
      <c r="BC40" s="2199"/>
      <c r="BD40" s="2199"/>
      <c r="BE40" s="2199"/>
    </row>
    <row r="41" spans="1:57" ht="15" outlineLevel="1">
      <c r="A41" s="2157"/>
      <c r="B41" s="2160"/>
      <c r="C41" s="2163"/>
      <c r="D41" s="2151" t="s">
        <v>3663</v>
      </c>
      <c r="E41" s="2152"/>
      <c r="F41" s="2153" t="s">
        <v>61</v>
      </c>
      <c r="G41" s="2154"/>
      <c r="H41" s="2151" t="s">
        <v>3693</v>
      </c>
      <c r="I41" s="2152"/>
      <c r="J41" s="1535" t="s">
        <v>61</v>
      </c>
      <c r="K41" s="2145">
        <v>1</v>
      </c>
      <c r="L41" s="2146"/>
      <c r="M41" s="2146"/>
      <c r="N41" s="2147"/>
      <c r="O41" s="2148"/>
      <c r="P41" s="2148"/>
      <c r="Q41" s="2148"/>
      <c r="R41" s="2148"/>
      <c r="S41" s="1530"/>
      <c r="T41" s="1530"/>
      <c r="U41" s="1530"/>
      <c r="V41" s="1462"/>
      <c r="W41" s="1462"/>
      <c r="X41" s="2185"/>
      <c r="Y41" s="2166"/>
      <c r="Z41" s="2169"/>
      <c r="AA41" s="2186" t="s">
        <v>3663</v>
      </c>
      <c r="AB41" s="2187"/>
      <c r="AC41" s="2191" t="s">
        <v>61</v>
      </c>
      <c r="AD41" s="2192"/>
      <c r="AE41" s="2186" t="s">
        <v>3693</v>
      </c>
      <c r="AF41" s="2187"/>
      <c r="AG41" s="1556" t="s">
        <v>61</v>
      </c>
      <c r="AH41" s="2193">
        <v>1</v>
      </c>
      <c r="AI41" s="2194"/>
      <c r="AJ41" s="2194"/>
      <c r="AK41" s="2195"/>
      <c r="AL41" s="1462"/>
      <c r="AM41" s="1462"/>
      <c r="AN41" s="2203"/>
      <c r="AO41" s="2214"/>
      <c r="AP41" s="2204"/>
      <c r="AQ41" s="2196" t="s">
        <v>3663</v>
      </c>
      <c r="AR41" s="2196"/>
      <c r="AS41" s="2198" t="s">
        <v>61</v>
      </c>
      <c r="AT41" s="2198"/>
      <c r="AU41" s="2196" t="s">
        <v>3693</v>
      </c>
      <c r="AV41" s="2196"/>
      <c r="AW41" s="1557" t="s">
        <v>61</v>
      </c>
      <c r="AX41" s="2197">
        <v>1</v>
      </c>
      <c r="AY41" s="2197"/>
      <c r="AZ41" s="2197"/>
      <c r="BA41" s="2197"/>
      <c r="BB41" s="2199"/>
      <c r="BC41" s="2199"/>
      <c r="BD41" s="2199"/>
      <c r="BE41" s="2199"/>
    </row>
    <row r="42" spans="1:57" ht="15" outlineLevel="1">
      <c r="A42" s="2155" t="s">
        <v>3694</v>
      </c>
      <c r="B42" s="2158" t="s">
        <v>3690</v>
      </c>
      <c r="C42" s="2161">
        <v>5</v>
      </c>
      <c r="D42" s="2151" t="s">
        <v>3695</v>
      </c>
      <c r="E42" s="2152"/>
      <c r="F42" s="2153" t="s">
        <v>3673</v>
      </c>
      <c r="G42" s="2154"/>
      <c r="H42" s="2151" t="s">
        <v>3643</v>
      </c>
      <c r="I42" s="2152"/>
      <c r="J42" s="1535" t="s">
        <v>3673</v>
      </c>
      <c r="K42" s="2145">
        <v>4.0999999999999996</v>
      </c>
      <c r="L42" s="2146"/>
      <c r="M42" s="2146"/>
      <c r="N42" s="2147"/>
      <c r="O42" s="2148"/>
      <c r="P42" s="2148"/>
      <c r="Q42" s="2148"/>
      <c r="R42" s="2148"/>
      <c r="S42" s="1530"/>
      <c r="T42" s="1530"/>
      <c r="U42" s="1530"/>
      <c r="V42" s="1462"/>
      <c r="W42" s="1462"/>
      <c r="X42" s="2183" t="s">
        <v>3694</v>
      </c>
      <c r="Y42" s="2164" t="s">
        <v>3690</v>
      </c>
      <c r="Z42" s="2167">
        <v>5</v>
      </c>
      <c r="AA42" s="2186" t="s">
        <v>3695</v>
      </c>
      <c r="AB42" s="2187"/>
      <c r="AC42" s="2191" t="s">
        <v>3673</v>
      </c>
      <c r="AD42" s="2192"/>
      <c r="AE42" s="2186" t="s">
        <v>3643</v>
      </c>
      <c r="AF42" s="2187"/>
      <c r="AG42" s="1556" t="s">
        <v>3673</v>
      </c>
      <c r="AH42" s="2193">
        <v>4.0999999999999996</v>
      </c>
      <c r="AI42" s="2194"/>
      <c r="AJ42" s="2194"/>
      <c r="AK42" s="2195"/>
      <c r="AL42" s="1462"/>
      <c r="AM42" s="1462"/>
      <c r="AN42" s="2203" t="s">
        <v>3694</v>
      </c>
      <c r="AO42" s="2214" t="s">
        <v>3690</v>
      </c>
      <c r="AP42" s="2204">
        <v>5</v>
      </c>
      <c r="AQ42" s="2196" t="s">
        <v>3695</v>
      </c>
      <c r="AR42" s="2196"/>
      <c r="AS42" s="2198" t="s">
        <v>3673</v>
      </c>
      <c r="AT42" s="2198"/>
      <c r="AU42" s="2196" t="s">
        <v>3643</v>
      </c>
      <c r="AV42" s="2196"/>
      <c r="AW42" s="1557" t="s">
        <v>3673</v>
      </c>
      <c r="AX42" s="2197">
        <v>4.0999999999999996</v>
      </c>
      <c r="AY42" s="2197"/>
      <c r="AZ42" s="2197"/>
      <c r="BA42" s="2197"/>
      <c r="BB42" s="2199"/>
      <c r="BC42" s="2199"/>
      <c r="BD42" s="2199"/>
      <c r="BE42" s="2199"/>
    </row>
    <row r="43" spans="1:57" ht="15" outlineLevel="1">
      <c r="A43" s="2156"/>
      <c r="B43" s="2159"/>
      <c r="C43" s="2162"/>
      <c r="D43" s="2151" t="s">
        <v>3666</v>
      </c>
      <c r="E43" s="2152"/>
      <c r="F43" s="2153" t="s">
        <v>3673</v>
      </c>
      <c r="G43" s="2154"/>
      <c r="H43" s="2151" t="s">
        <v>3696</v>
      </c>
      <c r="I43" s="2152"/>
      <c r="J43" s="1535" t="s">
        <v>3673</v>
      </c>
      <c r="K43" s="2145">
        <v>0.8</v>
      </c>
      <c r="L43" s="2146"/>
      <c r="M43" s="2146"/>
      <c r="N43" s="2147"/>
      <c r="O43" s="2148"/>
      <c r="P43" s="2148"/>
      <c r="Q43" s="2148"/>
      <c r="R43" s="2148"/>
      <c r="S43" s="1530"/>
      <c r="T43" s="1530"/>
      <c r="U43" s="1530"/>
      <c r="V43" s="1462"/>
      <c r="W43" s="1462"/>
      <c r="X43" s="2184"/>
      <c r="Y43" s="2165"/>
      <c r="Z43" s="2168"/>
      <c r="AA43" s="2186" t="s">
        <v>3666</v>
      </c>
      <c r="AB43" s="2187"/>
      <c r="AC43" s="2191" t="s">
        <v>3673</v>
      </c>
      <c r="AD43" s="2192"/>
      <c r="AE43" s="2186" t="s">
        <v>3696</v>
      </c>
      <c r="AF43" s="2187"/>
      <c r="AG43" s="1556" t="s">
        <v>3673</v>
      </c>
      <c r="AH43" s="2193">
        <v>0.8</v>
      </c>
      <c r="AI43" s="2194"/>
      <c r="AJ43" s="2194"/>
      <c r="AK43" s="2195"/>
      <c r="AL43" s="1462"/>
      <c r="AM43" s="1462"/>
      <c r="AN43" s="2203"/>
      <c r="AO43" s="2214"/>
      <c r="AP43" s="2204"/>
      <c r="AQ43" s="2196" t="s">
        <v>3666</v>
      </c>
      <c r="AR43" s="2196"/>
      <c r="AS43" s="2198" t="s">
        <v>3673</v>
      </c>
      <c r="AT43" s="2198"/>
      <c r="AU43" s="2196" t="s">
        <v>3696</v>
      </c>
      <c r="AV43" s="2196"/>
      <c r="AW43" s="1557" t="s">
        <v>3673</v>
      </c>
      <c r="AX43" s="2197">
        <v>0.8</v>
      </c>
      <c r="AY43" s="2197"/>
      <c r="AZ43" s="2197"/>
      <c r="BA43" s="2197"/>
      <c r="BB43" s="2199"/>
      <c r="BC43" s="2199"/>
      <c r="BD43" s="2199"/>
      <c r="BE43" s="2199"/>
    </row>
    <row r="44" spans="1:57" ht="15" outlineLevel="1">
      <c r="A44" s="2156"/>
      <c r="B44" s="2159"/>
      <c r="C44" s="2162"/>
      <c r="D44" s="2151" t="s">
        <v>3663</v>
      </c>
      <c r="E44" s="2152"/>
      <c r="F44" s="2153" t="s">
        <v>3673</v>
      </c>
      <c r="G44" s="2154"/>
      <c r="H44" s="2151" t="s">
        <v>3693</v>
      </c>
      <c r="I44" s="2152"/>
      <c r="J44" s="1535" t="s">
        <v>3673</v>
      </c>
      <c r="K44" s="2145">
        <v>1</v>
      </c>
      <c r="L44" s="2146"/>
      <c r="M44" s="2146"/>
      <c r="N44" s="2147"/>
      <c r="O44" s="2148"/>
      <c r="P44" s="2148"/>
      <c r="Q44" s="2148"/>
      <c r="R44" s="2148"/>
      <c r="S44" s="1530"/>
      <c r="T44" s="1530"/>
      <c r="U44" s="1530"/>
      <c r="V44" s="1462"/>
      <c r="W44" s="1462"/>
      <c r="X44" s="2184"/>
      <c r="Y44" s="2165"/>
      <c r="Z44" s="2168"/>
      <c r="AA44" s="2186" t="s">
        <v>3663</v>
      </c>
      <c r="AB44" s="2187"/>
      <c r="AC44" s="2191" t="s">
        <v>3673</v>
      </c>
      <c r="AD44" s="2192"/>
      <c r="AE44" s="2186" t="s">
        <v>3693</v>
      </c>
      <c r="AF44" s="2187"/>
      <c r="AG44" s="1556" t="s">
        <v>3673</v>
      </c>
      <c r="AH44" s="2193">
        <v>1</v>
      </c>
      <c r="AI44" s="2194"/>
      <c r="AJ44" s="2194"/>
      <c r="AK44" s="2195"/>
      <c r="AL44" s="1462"/>
      <c r="AM44" s="1462"/>
      <c r="AN44" s="2203"/>
      <c r="AO44" s="2214"/>
      <c r="AP44" s="2204"/>
      <c r="AQ44" s="2196" t="s">
        <v>3663</v>
      </c>
      <c r="AR44" s="2196"/>
      <c r="AS44" s="2198" t="s">
        <v>3673</v>
      </c>
      <c r="AT44" s="2198"/>
      <c r="AU44" s="2196" t="s">
        <v>3693</v>
      </c>
      <c r="AV44" s="2196"/>
      <c r="AW44" s="1557" t="s">
        <v>3673</v>
      </c>
      <c r="AX44" s="2197">
        <v>1</v>
      </c>
      <c r="AY44" s="2197"/>
      <c r="AZ44" s="2197"/>
      <c r="BA44" s="2197"/>
      <c r="BB44" s="2199"/>
      <c r="BC44" s="2199"/>
      <c r="BD44" s="2199"/>
      <c r="BE44" s="2199"/>
    </row>
    <row r="45" spans="1:57" ht="15" outlineLevel="1">
      <c r="A45" s="2156"/>
      <c r="B45" s="2159"/>
      <c r="C45" s="2162"/>
      <c r="D45" s="2151" t="s">
        <v>3657</v>
      </c>
      <c r="E45" s="2152"/>
      <c r="F45" s="2153" t="s">
        <v>3673</v>
      </c>
      <c r="G45" s="2154"/>
      <c r="H45" s="2151" t="s">
        <v>3697</v>
      </c>
      <c r="I45" s="2152"/>
      <c r="J45" s="1535" t="s">
        <v>3673</v>
      </c>
      <c r="K45" s="2145">
        <v>-1</v>
      </c>
      <c r="L45" s="2146"/>
      <c r="M45" s="2146"/>
      <c r="N45" s="2147"/>
      <c r="O45" s="2148"/>
      <c r="P45" s="2148"/>
      <c r="Q45" s="2148"/>
      <c r="R45" s="2148"/>
      <c r="S45" s="1530"/>
      <c r="T45" s="1530"/>
      <c r="U45" s="1530"/>
      <c r="V45" s="1462"/>
      <c r="W45" s="1462"/>
      <c r="X45" s="2184"/>
      <c r="Y45" s="2165"/>
      <c r="Z45" s="2168"/>
      <c r="AA45" s="2186" t="s">
        <v>3657</v>
      </c>
      <c r="AB45" s="2187"/>
      <c r="AC45" s="2191" t="s">
        <v>3673</v>
      </c>
      <c r="AD45" s="2192"/>
      <c r="AE45" s="2186" t="s">
        <v>3697</v>
      </c>
      <c r="AF45" s="2187"/>
      <c r="AG45" s="1556" t="s">
        <v>3673</v>
      </c>
      <c r="AH45" s="2193">
        <v>-1</v>
      </c>
      <c r="AI45" s="2194"/>
      <c r="AJ45" s="2194"/>
      <c r="AK45" s="2195"/>
      <c r="AL45" s="1462"/>
      <c r="AM45" s="1462"/>
      <c r="AN45" s="2203"/>
      <c r="AO45" s="2214"/>
      <c r="AP45" s="2204"/>
      <c r="AQ45" s="2196" t="s">
        <v>3657</v>
      </c>
      <c r="AR45" s="2196"/>
      <c r="AS45" s="2198" t="s">
        <v>3673</v>
      </c>
      <c r="AT45" s="2198"/>
      <c r="AU45" s="2196" t="s">
        <v>3697</v>
      </c>
      <c r="AV45" s="2196"/>
      <c r="AW45" s="1557" t="s">
        <v>3673</v>
      </c>
      <c r="AX45" s="2197">
        <v>-1</v>
      </c>
      <c r="AY45" s="2197"/>
      <c r="AZ45" s="2197"/>
      <c r="BA45" s="2197"/>
      <c r="BB45" s="2199"/>
      <c r="BC45" s="2199"/>
      <c r="BD45" s="2199"/>
      <c r="BE45" s="2199"/>
    </row>
    <row r="46" spans="1:57" ht="15" outlineLevel="1">
      <c r="A46" s="2157"/>
      <c r="B46" s="2160"/>
      <c r="C46" s="2163"/>
      <c r="D46" s="2151" t="s">
        <v>3668</v>
      </c>
      <c r="E46" s="2152"/>
      <c r="F46" s="2153" t="s">
        <v>61</v>
      </c>
      <c r="G46" s="2154"/>
      <c r="H46" s="2151" t="s">
        <v>3587</v>
      </c>
      <c r="I46" s="2152"/>
      <c r="J46" s="1535" t="s">
        <v>61</v>
      </c>
      <c r="K46" s="2145">
        <v>0</v>
      </c>
      <c r="L46" s="2146"/>
      <c r="M46" s="2146"/>
      <c r="N46" s="2147"/>
      <c r="O46" s="2148"/>
      <c r="P46" s="2148"/>
      <c r="Q46" s="2148"/>
      <c r="R46" s="2148"/>
      <c r="S46" s="1530"/>
      <c r="T46" s="1530"/>
      <c r="U46" s="1530"/>
      <c r="V46" s="1462"/>
      <c r="W46" s="1462"/>
      <c r="X46" s="2185"/>
      <c r="Y46" s="2166"/>
      <c r="Z46" s="2169"/>
      <c r="AA46" s="2186" t="s">
        <v>3668</v>
      </c>
      <c r="AB46" s="2187"/>
      <c r="AC46" s="2191" t="s">
        <v>61</v>
      </c>
      <c r="AD46" s="2192"/>
      <c r="AE46" s="2186" t="s">
        <v>3587</v>
      </c>
      <c r="AF46" s="2187"/>
      <c r="AG46" s="1556" t="s">
        <v>61</v>
      </c>
      <c r="AH46" s="2193">
        <v>0</v>
      </c>
      <c r="AI46" s="2194"/>
      <c r="AJ46" s="2194"/>
      <c r="AK46" s="2195"/>
      <c r="AL46" s="1462"/>
      <c r="AM46" s="1462"/>
      <c r="AN46" s="2203"/>
      <c r="AO46" s="2214"/>
      <c r="AP46" s="2204"/>
      <c r="AQ46" s="2196" t="s">
        <v>3668</v>
      </c>
      <c r="AR46" s="2196"/>
      <c r="AS46" s="2198" t="s">
        <v>61</v>
      </c>
      <c r="AT46" s="2198"/>
      <c r="AU46" s="2196" t="s">
        <v>3587</v>
      </c>
      <c r="AV46" s="2196"/>
      <c r="AW46" s="1557" t="s">
        <v>61</v>
      </c>
      <c r="AX46" s="2197">
        <v>0</v>
      </c>
      <c r="AY46" s="2197"/>
      <c r="AZ46" s="2197"/>
      <c r="BA46" s="2197"/>
      <c r="BB46" s="2199"/>
      <c r="BC46" s="2199"/>
      <c r="BD46" s="2199"/>
      <c r="BE46" s="2199"/>
    </row>
    <row r="47" spans="1:57" outlineLevel="1">
      <c r="A47" s="1462"/>
      <c r="B47" s="1462"/>
      <c r="C47" s="1462"/>
      <c r="D47" s="1462"/>
      <c r="E47" s="1462"/>
      <c r="F47" s="1462"/>
      <c r="G47" s="1462"/>
      <c r="H47" s="1462"/>
      <c r="I47" s="1462"/>
      <c r="J47" s="1462"/>
      <c r="K47" s="1462"/>
      <c r="L47" s="1462"/>
      <c r="M47" s="1462"/>
      <c r="N47" s="1462"/>
      <c r="O47" s="1462"/>
      <c r="P47" s="1462"/>
      <c r="Q47" s="1462"/>
      <c r="R47" s="1462"/>
      <c r="S47" s="1462"/>
      <c r="T47" s="1462"/>
      <c r="U47" s="1462"/>
      <c r="V47" s="1462"/>
      <c r="W47" s="1462"/>
      <c r="X47" s="1462"/>
      <c r="Y47" s="1462"/>
      <c r="Z47" s="1462"/>
      <c r="AA47" s="1462"/>
      <c r="AB47" s="1462"/>
      <c r="AC47" s="1462"/>
      <c r="AD47" s="1462"/>
      <c r="AE47" s="1462"/>
      <c r="AF47" s="1462"/>
      <c r="AG47" s="1462"/>
      <c r="AH47" s="1462"/>
      <c r="AI47" s="1462"/>
      <c r="AJ47" s="1462"/>
      <c r="AK47" s="1462"/>
      <c r="AL47" s="1462"/>
      <c r="AM47" s="1462"/>
      <c r="AN47" s="1462"/>
      <c r="AO47" s="1462"/>
      <c r="AP47" s="1462"/>
      <c r="AQ47" s="1462"/>
      <c r="AR47" s="1462"/>
      <c r="AS47" s="1462"/>
      <c r="AT47" s="1462"/>
      <c r="AU47" s="1462"/>
      <c r="AV47" s="1462"/>
      <c r="AW47" s="1462"/>
      <c r="AX47" s="1462"/>
      <c r="AY47" s="1462"/>
      <c r="AZ47" s="1462"/>
      <c r="BA47" s="1462"/>
      <c r="BB47" s="1462"/>
      <c r="BC47" s="1462"/>
      <c r="BD47" s="1462"/>
      <c r="BE47" s="1462"/>
    </row>
    <row r="48" spans="1:57" outlineLevel="1">
      <c r="A48" s="1532" t="s">
        <v>593</v>
      </c>
      <c r="B48" s="1462"/>
      <c r="C48" s="1462"/>
      <c r="D48" s="1462"/>
      <c r="E48" s="1462"/>
      <c r="F48" s="1462"/>
      <c r="G48" s="1462"/>
      <c r="H48" s="1462"/>
      <c r="I48" s="1462"/>
      <c r="J48" s="1462"/>
      <c r="K48" s="1462"/>
      <c r="L48" s="1462"/>
      <c r="M48" s="1462"/>
      <c r="N48" s="1462"/>
      <c r="O48" s="1462"/>
      <c r="P48" s="1462"/>
      <c r="Q48" s="1462"/>
      <c r="R48" s="1462"/>
      <c r="S48" s="1462"/>
      <c r="T48" s="1462"/>
      <c r="U48" s="1462"/>
      <c r="V48" s="1462"/>
      <c r="W48" s="1462"/>
      <c r="X48" s="1462"/>
      <c r="Y48" s="1462"/>
      <c r="Z48" s="1462"/>
      <c r="AA48" s="1462"/>
      <c r="AB48" s="1462"/>
      <c r="AC48" s="1462"/>
      <c r="AD48" s="1462"/>
      <c r="AE48" s="1462"/>
      <c r="AF48" s="1462"/>
      <c r="AG48" s="1462"/>
      <c r="AH48" s="1462"/>
      <c r="AI48" s="1462"/>
      <c r="AJ48" s="1462"/>
      <c r="AK48" s="1462"/>
      <c r="AL48" s="1462"/>
      <c r="AM48" s="1462"/>
      <c r="AN48" s="1462"/>
      <c r="AO48" s="1462"/>
      <c r="AP48" s="1462"/>
      <c r="AQ48" s="1462"/>
      <c r="AR48" s="1462"/>
      <c r="AS48" s="1462"/>
      <c r="AT48" s="1462"/>
      <c r="AU48" s="1462"/>
      <c r="AV48" s="1462"/>
      <c r="AW48" s="1462"/>
      <c r="AX48" s="1462"/>
      <c r="AY48" s="1462"/>
      <c r="AZ48" s="1462"/>
      <c r="BA48" s="1462"/>
      <c r="BB48" s="1462"/>
      <c r="BC48" s="1462"/>
      <c r="BD48" s="1462"/>
      <c r="BE48" s="1462"/>
    </row>
    <row r="49" spans="1:58" outlineLevel="1">
      <c r="A49" s="1462"/>
      <c r="B49" s="1532" t="s">
        <v>3698</v>
      </c>
      <c r="C49" s="1462"/>
      <c r="D49" s="1462"/>
      <c r="E49" s="1462"/>
      <c r="F49" s="1462"/>
      <c r="G49" s="1462"/>
      <c r="H49" s="1462"/>
      <c r="I49" s="1462"/>
      <c r="J49" s="1462"/>
      <c r="K49" s="1462"/>
      <c r="L49" s="1462"/>
      <c r="M49" s="1462"/>
      <c r="N49" s="1462"/>
      <c r="O49" s="1462"/>
      <c r="P49" s="1462"/>
      <c r="Q49" s="1462"/>
      <c r="R49" s="1462"/>
      <c r="S49" s="1462"/>
      <c r="T49" s="1462"/>
      <c r="U49" s="1462"/>
      <c r="V49" s="1462"/>
      <c r="W49" s="1462"/>
      <c r="X49" s="1462"/>
      <c r="Y49" s="1462"/>
      <c r="Z49" s="1462"/>
      <c r="AA49" s="1462"/>
      <c r="AB49" s="1462"/>
      <c r="AC49" s="1462"/>
      <c r="AD49" s="1462"/>
      <c r="AE49" s="1462"/>
      <c r="AF49" s="1462"/>
      <c r="AG49" s="1462"/>
      <c r="AH49" s="1462"/>
      <c r="AI49" s="1462"/>
      <c r="AJ49" s="1462"/>
      <c r="AK49" s="1462"/>
      <c r="AL49" s="1462"/>
      <c r="AM49" s="1462"/>
      <c r="AN49" s="1462"/>
      <c r="AO49" s="1462"/>
      <c r="AP49" s="1462"/>
      <c r="AQ49" s="1462"/>
      <c r="AR49" s="1462"/>
      <c r="AS49" s="1462"/>
      <c r="AT49" s="1462"/>
      <c r="AU49" s="1462"/>
      <c r="AV49" s="1462"/>
      <c r="AW49" s="1462"/>
      <c r="AX49" s="1462"/>
      <c r="AY49" s="1462"/>
      <c r="AZ49" s="1462"/>
      <c r="BA49" s="1462"/>
      <c r="BB49" s="1462"/>
      <c r="BC49" s="1462"/>
      <c r="BD49" s="1462"/>
      <c r="BE49" s="1462"/>
      <c r="BF49" s="1462"/>
    </row>
    <row r="51" spans="1:58">
      <c r="A51" s="1536" t="s">
        <v>3699</v>
      </c>
      <c r="B51" s="1536"/>
      <c r="C51" s="1536"/>
      <c r="D51" s="2149"/>
      <c r="E51" s="2149"/>
      <c r="F51" s="2149"/>
      <c r="G51" s="2149"/>
      <c r="H51" s="2149"/>
      <c r="I51" s="2149"/>
      <c r="J51" s="2149"/>
      <c r="K51" s="2149"/>
      <c r="L51" s="2149"/>
      <c r="M51" s="2149"/>
      <c r="N51" s="2149"/>
      <c r="O51" s="2149"/>
      <c r="P51" s="2149"/>
      <c r="Q51" s="2149"/>
      <c r="R51" s="2149"/>
      <c r="S51" s="1462"/>
      <c r="T51" s="1462"/>
      <c r="U51" s="1462"/>
      <c r="V51" s="1462"/>
      <c r="W51" s="1462"/>
      <c r="X51" s="1462"/>
      <c r="Y51" s="1462"/>
      <c r="Z51" s="1462"/>
      <c r="AA51" s="1462"/>
      <c r="AB51" s="1462"/>
      <c r="AC51" s="1462"/>
      <c r="AD51" s="1462"/>
      <c r="AE51" s="1462"/>
      <c r="AF51" s="1462"/>
      <c r="AG51" s="1462"/>
      <c r="AH51" s="1462"/>
      <c r="AI51" s="1462"/>
      <c r="AJ51" s="1462"/>
      <c r="AK51" s="1462"/>
      <c r="AL51" s="1462"/>
      <c r="AM51" s="1462"/>
      <c r="AN51" s="1462"/>
      <c r="AO51" s="1462"/>
      <c r="AP51" s="1462"/>
      <c r="AQ51" s="1462"/>
      <c r="AR51" s="1462"/>
      <c r="AS51" s="1462"/>
      <c r="AT51" s="1462"/>
      <c r="AU51" s="1462"/>
      <c r="AV51" s="1462"/>
      <c r="AW51" s="1462"/>
      <c r="AX51" s="1462"/>
      <c r="AY51" s="1462"/>
      <c r="AZ51" s="1462"/>
      <c r="BA51" s="1462"/>
      <c r="BB51" s="1462"/>
      <c r="BC51" s="1462"/>
      <c r="BD51" s="1462"/>
      <c r="BE51" s="1462"/>
      <c r="BF51" s="1462"/>
    </row>
    <row r="52" spans="1:58">
      <c r="A52" s="1536" t="s">
        <v>3700</v>
      </c>
      <c r="B52" s="1536"/>
      <c r="C52" s="1536"/>
      <c r="D52" s="1545"/>
      <c r="E52" s="1545"/>
      <c r="F52" s="1545"/>
      <c r="G52" s="1545"/>
      <c r="H52" s="1545"/>
      <c r="I52" s="1545"/>
      <c r="J52" s="1545"/>
      <c r="K52" s="1545"/>
      <c r="L52" s="1545"/>
      <c r="M52" s="1545"/>
      <c r="N52" s="1545"/>
      <c r="O52" s="1545"/>
      <c r="P52" s="1545"/>
      <c r="Q52" s="1545"/>
      <c r="R52" s="1545"/>
      <c r="S52" s="1462"/>
      <c r="T52" s="1462"/>
      <c r="U52" s="1462"/>
      <c r="V52" s="1462"/>
      <c r="W52" s="1462"/>
      <c r="X52" s="1462"/>
      <c r="Y52" s="1532" t="s">
        <v>3526</v>
      </c>
      <c r="Z52" s="1462"/>
      <c r="AA52" s="1462"/>
      <c r="AB52" s="1462"/>
      <c r="AC52" s="1462"/>
      <c r="AD52" s="1462"/>
      <c r="AE52" s="1462"/>
      <c r="AF52" s="1462"/>
      <c r="AG52" s="1462"/>
      <c r="AH52" s="1462"/>
      <c r="AI52" s="1462"/>
      <c r="AJ52" s="1462"/>
      <c r="AK52" s="1462"/>
      <c r="AL52" s="1462"/>
      <c r="AM52" s="1462"/>
      <c r="AN52" s="1532" t="s">
        <v>3527</v>
      </c>
      <c r="AO52" s="1462"/>
      <c r="AP52" s="1462"/>
      <c r="AQ52" s="1462"/>
      <c r="AR52" s="1462"/>
      <c r="AS52" s="1462"/>
      <c r="AT52" s="1462"/>
      <c r="AU52" s="1462"/>
      <c r="AV52" s="1462"/>
      <c r="AW52" s="1462"/>
      <c r="AX52" s="1462"/>
      <c r="AY52" s="1462"/>
      <c r="AZ52" s="1462"/>
      <c r="BA52" s="1462"/>
      <c r="BB52" s="1462"/>
      <c r="BC52" s="1462"/>
      <c r="BD52" s="1462"/>
      <c r="BE52" s="1462"/>
      <c r="BF52" s="1462"/>
    </row>
    <row r="53" spans="1:58" s="244" customFormat="1" ht="35.25" customHeight="1" outlineLevel="1">
      <c r="A53" s="2135" t="s">
        <v>3602</v>
      </c>
      <c r="B53" s="2136"/>
      <c r="C53" s="2135" t="s">
        <v>3603</v>
      </c>
      <c r="D53" s="2150"/>
      <c r="E53" s="2136"/>
      <c r="F53" s="2135" t="s">
        <v>100</v>
      </c>
      <c r="G53" s="2150"/>
      <c r="H53" s="2150"/>
      <c r="I53" s="2133" t="s">
        <v>3701</v>
      </c>
      <c r="J53" s="2134"/>
      <c r="K53" s="1539"/>
      <c r="L53" s="2137" t="s">
        <v>3702</v>
      </c>
      <c r="M53" s="2138"/>
      <c r="N53" s="2139" t="s">
        <v>100</v>
      </c>
      <c r="O53" s="2140"/>
      <c r="P53" s="2140"/>
      <c r="Q53" s="2137" t="s">
        <v>3701</v>
      </c>
      <c r="R53" s="2138"/>
      <c r="S53" s="2138"/>
      <c r="T53" s="1540" t="s">
        <v>3703</v>
      </c>
      <c r="U53" s="1508" t="s">
        <v>3569</v>
      </c>
      <c r="V53" s="1508" t="s">
        <v>3569</v>
      </c>
      <c r="W53" s="1508" t="s">
        <v>3570</v>
      </c>
      <c r="X53" s="1539"/>
      <c r="Y53" s="2135" t="s">
        <v>3602</v>
      </c>
      <c r="Z53" s="2136"/>
      <c r="AA53" s="2135" t="s">
        <v>3603</v>
      </c>
      <c r="AB53" s="2150"/>
      <c r="AC53" s="2136"/>
      <c r="AD53" s="2135" t="s">
        <v>100</v>
      </c>
      <c r="AE53" s="2150"/>
      <c r="AF53" s="2150"/>
      <c r="AG53" s="2133" t="s">
        <v>3701</v>
      </c>
      <c r="AH53" s="2134"/>
      <c r="AI53" s="1525" t="s">
        <v>3702</v>
      </c>
      <c r="AJ53" s="1528" t="s">
        <v>100</v>
      </c>
      <c r="AK53" s="1547" t="s">
        <v>3701</v>
      </c>
      <c r="AL53" s="1539"/>
      <c r="AM53" s="1539"/>
      <c r="AN53" s="2135" t="s">
        <v>3602</v>
      </c>
      <c r="AO53" s="2136"/>
      <c r="AP53" s="2135" t="s">
        <v>3603</v>
      </c>
      <c r="AQ53" s="2150"/>
      <c r="AR53" s="2136"/>
      <c r="AS53" s="2135" t="s">
        <v>100</v>
      </c>
      <c r="AT53" s="2150"/>
      <c r="AU53" s="2150"/>
      <c r="AV53" s="2133" t="s">
        <v>3701</v>
      </c>
      <c r="AW53" s="2134"/>
      <c r="AX53" s="2137" t="s">
        <v>3702</v>
      </c>
      <c r="AY53" s="2138"/>
      <c r="AZ53" s="2139" t="s">
        <v>100</v>
      </c>
      <c r="BA53" s="2140"/>
      <c r="BB53" s="2140"/>
      <c r="BC53" s="2137" t="s">
        <v>3701</v>
      </c>
      <c r="BD53" s="2138"/>
      <c r="BE53" s="2138"/>
      <c r="BF53" s="1540" t="s">
        <v>3703</v>
      </c>
    </row>
    <row r="54" spans="1:58" ht="15" outlineLevel="1">
      <c r="A54" s="2123">
        <v>1000</v>
      </c>
      <c r="B54" s="2124"/>
      <c r="C54" s="2125">
        <v>1175.5</v>
      </c>
      <c r="D54" s="2126"/>
      <c r="E54" s="2127"/>
      <c r="F54" s="2128">
        <v>17.549999999999997</v>
      </c>
      <c r="G54" s="2129"/>
      <c r="H54" s="2130"/>
      <c r="I54" s="2131" t="s">
        <v>3704</v>
      </c>
      <c r="J54" s="2132"/>
      <c r="K54" s="1462"/>
      <c r="L54" s="2141">
        <v>1172.5999999999999</v>
      </c>
      <c r="M54" s="2141"/>
      <c r="N54" s="2142" t="e">
        <v>#DIV/0!</v>
      </c>
      <c r="O54" s="2142"/>
      <c r="P54" s="2142"/>
      <c r="Q54" s="2143" t="s">
        <v>3705</v>
      </c>
      <c r="R54" s="2144"/>
      <c r="S54" s="2144"/>
      <c r="T54" s="1548"/>
      <c r="U54" s="1512"/>
      <c r="V54" s="1513"/>
      <c r="W54" s="1514"/>
      <c r="X54" s="1462"/>
      <c r="Y54" s="2181">
        <v>1000</v>
      </c>
      <c r="Z54" s="2182"/>
      <c r="AA54" s="2181">
        <v>1175.5</v>
      </c>
      <c r="AB54" s="2188"/>
      <c r="AC54" s="2182"/>
      <c r="AD54" s="2200">
        <v>17.549999999999997</v>
      </c>
      <c r="AE54" s="2201"/>
      <c r="AF54" s="2202"/>
      <c r="AG54" s="2189" t="s">
        <v>3704</v>
      </c>
      <c r="AH54" s="2190"/>
      <c r="AI54" s="1549">
        <v>1172.5999999999999</v>
      </c>
      <c r="AJ54" s="1550" t="e">
        <v>#DIV/0!</v>
      </c>
      <c r="AK54" s="1551" t="s">
        <v>3705</v>
      </c>
      <c r="AL54" s="1462"/>
      <c r="AM54" s="1462"/>
      <c r="AN54" s="2181">
        <v>1000</v>
      </c>
      <c r="AO54" s="2182"/>
      <c r="AP54" s="2181">
        <v>1175.5</v>
      </c>
      <c r="AQ54" s="2188"/>
      <c r="AR54" s="2182"/>
      <c r="AS54" s="2200">
        <v>17.549999999999997</v>
      </c>
      <c r="AT54" s="2201"/>
      <c r="AU54" s="2202"/>
      <c r="AV54" s="2189" t="s">
        <v>3704</v>
      </c>
      <c r="AW54" s="2190"/>
      <c r="AX54" s="2203">
        <v>1172.5999999999999</v>
      </c>
      <c r="AY54" s="2203"/>
      <c r="AZ54" s="2204" t="e">
        <v>#DIV/0!</v>
      </c>
      <c r="BA54" s="2204"/>
      <c r="BB54" s="2204"/>
      <c r="BC54" s="2205" t="s">
        <v>3705</v>
      </c>
      <c r="BD54" s="2203"/>
      <c r="BE54" s="2203"/>
      <c r="BF54" s="1498"/>
    </row>
    <row r="55" spans="1:58" ht="15" customHeight="1" outlineLevel="1">
      <c r="A55" s="2123">
        <v>250</v>
      </c>
      <c r="B55" s="2124"/>
      <c r="C55" s="2125">
        <v>270.39999999999998</v>
      </c>
      <c r="D55" s="2126"/>
      <c r="E55" s="2127"/>
      <c r="F55" s="2128">
        <v>8.1599999999999913</v>
      </c>
      <c r="G55" s="2129"/>
      <c r="H55" s="2130"/>
      <c r="I55" s="2131" t="s">
        <v>3706</v>
      </c>
      <c r="J55" s="2132"/>
      <c r="K55" s="1462"/>
      <c r="L55" s="1537" t="s">
        <v>76</v>
      </c>
      <c r="M55" s="1538"/>
      <c r="N55" s="2142" t="e">
        <v>#VALUE!</v>
      </c>
      <c r="O55" s="2142"/>
      <c r="P55" s="2142"/>
      <c r="Q55" s="2143" t="s">
        <v>3705</v>
      </c>
      <c r="R55" s="2144"/>
      <c r="S55" s="2144"/>
      <c r="T55" s="1548"/>
      <c r="U55" s="1527"/>
      <c r="V55" s="1527"/>
      <c r="W55" s="1527"/>
      <c r="X55" s="1462"/>
      <c r="Y55" s="2181">
        <v>250</v>
      </c>
      <c r="Z55" s="2182"/>
      <c r="AA55" s="2181">
        <v>270.39999999999998</v>
      </c>
      <c r="AB55" s="2188"/>
      <c r="AC55" s="2182"/>
      <c r="AD55" s="2200">
        <v>8.1599999999999913</v>
      </c>
      <c r="AE55" s="2201"/>
      <c r="AF55" s="2202"/>
      <c r="AG55" s="2189" t="s">
        <v>3706</v>
      </c>
      <c r="AH55" s="2190"/>
      <c r="AI55" s="1529" t="s">
        <v>76</v>
      </c>
      <c r="AJ55" s="1550" t="e">
        <v>#VALUE!</v>
      </c>
      <c r="AK55" s="1551" t="s">
        <v>3705</v>
      </c>
      <c r="AL55" s="1462"/>
      <c r="AM55" s="1462"/>
      <c r="AN55" s="2181">
        <v>250</v>
      </c>
      <c r="AO55" s="2182"/>
      <c r="AP55" s="2181">
        <v>270.39999999999998</v>
      </c>
      <c r="AQ55" s="2188"/>
      <c r="AR55" s="2182"/>
      <c r="AS55" s="2200">
        <v>8.1599999999999913</v>
      </c>
      <c r="AT55" s="2201"/>
      <c r="AU55" s="2202"/>
      <c r="AV55" s="2189" t="s">
        <v>3706</v>
      </c>
      <c r="AW55" s="2190"/>
      <c r="AX55" s="1529" t="s">
        <v>76</v>
      </c>
      <c r="AY55" s="1546"/>
      <c r="AZ55" s="2204" t="e">
        <v>#VALUE!</v>
      </c>
      <c r="BA55" s="2204"/>
      <c r="BB55" s="2204"/>
      <c r="BC55" s="2205" t="s">
        <v>3705</v>
      </c>
      <c r="BD55" s="2203"/>
      <c r="BE55" s="2203"/>
      <c r="BF55" s="1498"/>
    </row>
    <row r="56" spans="1:58" ht="15" outlineLevel="1">
      <c r="A56" s="2123">
        <v>500</v>
      </c>
      <c r="B56" s="2124"/>
      <c r="C56" s="2125">
        <v>607.6</v>
      </c>
      <c r="D56" s="2126"/>
      <c r="E56" s="2127"/>
      <c r="F56" s="2128">
        <v>21.520000000000007</v>
      </c>
      <c r="G56" s="2129"/>
      <c r="H56" s="2130"/>
      <c r="I56" s="2131" t="s">
        <v>3704</v>
      </c>
      <c r="J56" s="2132"/>
      <c r="K56" s="1462"/>
      <c r="L56" s="2141">
        <v>603.5</v>
      </c>
      <c r="M56" s="2141"/>
      <c r="N56" s="2142" t="e">
        <v>#DIV/0!</v>
      </c>
      <c r="O56" s="2142"/>
      <c r="P56" s="2142"/>
      <c r="Q56" s="2143" t="s">
        <v>3705</v>
      </c>
      <c r="R56" s="2144"/>
      <c r="S56" s="2144"/>
      <c r="T56" s="1548"/>
      <c r="U56" s="1527"/>
      <c r="V56" s="1527"/>
      <c r="W56" s="1527"/>
      <c r="X56" s="1462"/>
      <c r="Y56" s="2181">
        <v>500</v>
      </c>
      <c r="Z56" s="2182"/>
      <c r="AA56" s="2181">
        <v>607.6</v>
      </c>
      <c r="AB56" s="2188"/>
      <c r="AC56" s="2182"/>
      <c r="AD56" s="2200">
        <v>21.520000000000007</v>
      </c>
      <c r="AE56" s="2201"/>
      <c r="AF56" s="2202"/>
      <c r="AG56" s="2189" t="s">
        <v>3704</v>
      </c>
      <c r="AH56" s="2190"/>
      <c r="AI56" s="1549">
        <v>603.5</v>
      </c>
      <c r="AJ56" s="1550" t="e">
        <v>#DIV/0!</v>
      </c>
      <c r="AK56" s="1551" t="s">
        <v>3705</v>
      </c>
      <c r="AL56" s="1462"/>
      <c r="AM56" s="1462"/>
      <c r="AN56" s="2181">
        <v>500</v>
      </c>
      <c r="AO56" s="2182"/>
      <c r="AP56" s="2181">
        <v>607.6</v>
      </c>
      <c r="AQ56" s="2188"/>
      <c r="AR56" s="2182"/>
      <c r="AS56" s="2200">
        <v>21.520000000000007</v>
      </c>
      <c r="AT56" s="2201"/>
      <c r="AU56" s="2202"/>
      <c r="AV56" s="2189" t="s">
        <v>3704</v>
      </c>
      <c r="AW56" s="2190"/>
      <c r="AX56" s="2203">
        <v>603.5</v>
      </c>
      <c r="AY56" s="2203"/>
      <c r="AZ56" s="2204" t="e">
        <v>#DIV/0!</v>
      </c>
      <c r="BA56" s="2204"/>
      <c r="BB56" s="2204"/>
      <c r="BC56" s="2205" t="s">
        <v>3705</v>
      </c>
      <c r="BD56" s="2203"/>
      <c r="BE56" s="2203"/>
      <c r="BF56" s="1498"/>
    </row>
    <row r="57" spans="1:58" ht="15" outlineLevel="1">
      <c r="A57" s="2123">
        <v>2500</v>
      </c>
      <c r="B57" s="2124"/>
      <c r="C57" s="2125">
        <v>2780</v>
      </c>
      <c r="D57" s="2126"/>
      <c r="E57" s="2127"/>
      <c r="F57" s="2128">
        <v>11.200000000000001</v>
      </c>
      <c r="G57" s="2129"/>
      <c r="H57" s="2130"/>
      <c r="I57" s="2131" t="s">
        <v>3704</v>
      </c>
      <c r="J57" s="2132"/>
      <c r="K57" s="1462"/>
      <c r="L57" s="2141">
        <v>2778</v>
      </c>
      <c r="M57" s="2141"/>
      <c r="N57" s="2142" t="e">
        <v>#DIV/0!</v>
      </c>
      <c r="O57" s="2142"/>
      <c r="P57" s="2142"/>
      <c r="Q57" s="2143" t="s">
        <v>3705</v>
      </c>
      <c r="R57" s="2144"/>
      <c r="S57" s="2144"/>
      <c r="T57" s="1548"/>
      <c r="U57" s="1527"/>
      <c r="V57" s="1527"/>
      <c r="W57" s="1527"/>
      <c r="X57" s="1462"/>
      <c r="Y57" s="2181">
        <v>2500</v>
      </c>
      <c r="Z57" s="2182"/>
      <c r="AA57" s="2181">
        <v>2780</v>
      </c>
      <c r="AB57" s="2188"/>
      <c r="AC57" s="2182"/>
      <c r="AD57" s="2200">
        <v>11.200000000000001</v>
      </c>
      <c r="AE57" s="2201"/>
      <c r="AF57" s="2202"/>
      <c r="AG57" s="2189" t="s">
        <v>3704</v>
      </c>
      <c r="AH57" s="2190"/>
      <c r="AI57" s="1549">
        <v>2778</v>
      </c>
      <c r="AJ57" s="1550" t="e">
        <v>#DIV/0!</v>
      </c>
      <c r="AK57" s="1551" t="s">
        <v>3705</v>
      </c>
      <c r="AL57" s="1462"/>
      <c r="AM57" s="1462"/>
      <c r="AN57" s="2181">
        <v>2500</v>
      </c>
      <c r="AO57" s="2182"/>
      <c r="AP57" s="2181">
        <v>2780</v>
      </c>
      <c r="AQ57" s="2188"/>
      <c r="AR57" s="2182"/>
      <c r="AS57" s="2200">
        <v>11.200000000000001</v>
      </c>
      <c r="AT57" s="2201"/>
      <c r="AU57" s="2202"/>
      <c r="AV57" s="2189" t="s">
        <v>3704</v>
      </c>
      <c r="AW57" s="2190"/>
      <c r="AX57" s="2203">
        <v>2778</v>
      </c>
      <c r="AY57" s="2203"/>
      <c r="AZ57" s="2204" t="e">
        <v>#DIV/0!</v>
      </c>
      <c r="BA57" s="2204"/>
      <c r="BB57" s="2204"/>
      <c r="BC57" s="2205" t="s">
        <v>3705</v>
      </c>
      <c r="BD57" s="2203"/>
      <c r="BE57" s="2203"/>
      <c r="BF57" s="1498"/>
    </row>
    <row r="58" spans="1:58" ht="15" outlineLevel="1">
      <c r="A58" s="2123">
        <v>5000</v>
      </c>
      <c r="B58" s="2124"/>
      <c r="C58" s="2125">
        <v>5686</v>
      </c>
      <c r="D58" s="2126"/>
      <c r="E58" s="2127"/>
      <c r="F58" s="2128">
        <v>13.719999999999999</v>
      </c>
      <c r="G58" s="2129"/>
      <c r="H58" s="2130"/>
      <c r="I58" s="2131" t="s">
        <v>3704</v>
      </c>
      <c r="J58" s="2132"/>
      <c r="K58" s="1462"/>
      <c r="L58" s="2141">
        <v>5684</v>
      </c>
      <c r="M58" s="2141"/>
      <c r="N58" s="2142" t="e">
        <v>#DIV/0!</v>
      </c>
      <c r="O58" s="2142"/>
      <c r="P58" s="2142"/>
      <c r="Q58" s="2143" t="s">
        <v>3705</v>
      </c>
      <c r="R58" s="2144"/>
      <c r="S58" s="2144"/>
      <c r="T58" s="1548"/>
      <c r="U58" s="1527"/>
      <c r="V58" s="1527"/>
      <c r="W58" s="1527"/>
      <c r="X58" s="1462"/>
      <c r="Y58" s="2181">
        <v>5000</v>
      </c>
      <c r="Z58" s="2182"/>
      <c r="AA58" s="2181">
        <v>5686</v>
      </c>
      <c r="AB58" s="2188"/>
      <c r="AC58" s="2182"/>
      <c r="AD58" s="2200">
        <v>13.719999999999999</v>
      </c>
      <c r="AE58" s="2201"/>
      <c r="AF58" s="2202"/>
      <c r="AG58" s="2189" t="s">
        <v>3704</v>
      </c>
      <c r="AH58" s="2190"/>
      <c r="AI58" s="1549">
        <v>5684</v>
      </c>
      <c r="AJ58" s="1550" t="e">
        <v>#DIV/0!</v>
      </c>
      <c r="AK58" s="1551" t="s">
        <v>3705</v>
      </c>
      <c r="AL58" s="1462"/>
      <c r="AM58" s="1462"/>
      <c r="AN58" s="2181">
        <v>5000</v>
      </c>
      <c r="AO58" s="2182"/>
      <c r="AP58" s="2181">
        <v>5686</v>
      </c>
      <c r="AQ58" s="2188"/>
      <c r="AR58" s="2182"/>
      <c r="AS58" s="2200">
        <v>13.719999999999999</v>
      </c>
      <c r="AT58" s="2201"/>
      <c r="AU58" s="2202"/>
      <c r="AV58" s="2189" t="s">
        <v>3704</v>
      </c>
      <c r="AW58" s="2190"/>
      <c r="AX58" s="2203">
        <v>5684</v>
      </c>
      <c r="AY58" s="2203"/>
      <c r="AZ58" s="2204" t="e">
        <v>#DIV/0!</v>
      </c>
      <c r="BA58" s="2204"/>
      <c r="BB58" s="2204"/>
      <c r="BC58" s="2205" t="s">
        <v>3705</v>
      </c>
      <c r="BD58" s="2203"/>
      <c r="BE58" s="2203"/>
      <c r="BF58" s="1498"/>
    </row>
    <row r="59" spans="1:58" s="244" customFormat="1" ht="15" outlineLevel="1">
      <c r="A59" s="2215"/>
      <c r="B59" s="2215"/>
      <c r="C59" s="1552"/>
      <c r="D59" s="1552"/>
      <c r="E59" s="1552"/>
      <c r="F59" s="1553"/>
      <c r="G59" s="1553"/>
      <c r="H59" s="1553"/>
      <c r="I59" s="1554"/>
      <c r="J59" s="1554"/>
      <c r="K59" s="1539"/>
      <c r="L59" s="1539"/>
      <c r="M59" s="1539"/>
      <c r="N59" s="1539"/>
      <c r="O59" s="1539"/>
      <c r="P59" s="1539"/>
      <c r="Q59" s="1539"/>
      <c r="R59" s="1539"/>
      <c r="S59" s="1539"/>
      <c r="T59" s="1539"/>
      <c r="U59" s="1555"/>
      <c r="V59" s="1555"/>
      <c r="W59" s="1555"/>
      <c r="X59" s="1539"/>
      <c r="Y59" s="1539"/>
      <c r="Z59" s="1539"/>
      <c r="AA59" s="1539"/>
      <c r="AB59" s="1539"/>
      <c r="AC59" s="1539"/>
      <c r="AD59" s="1539"/>
      <c r="AE59" s="1539"/>
      <c r="AF59" s="1539"/>
      <c r="AG59" s="1539"/>
      <c r="AH59" s="1539"/>
      <c r="AI59" s="1539"/>
      <c r="AJ59" s="1539"/>
      <c r="AK59" s="1539"/>
      <c r="AL59" s="1539"/>
      <c r="AM59" s="1539"/>
      <c r="AN59" s="1539"/>
      <c r="AO59" s="1539"/>
      <c r="AP59" s="1539"/>
      <c r="AQ59" s="1539"/>
      <c r="AR59" s="1539"/>
      <c r="AS59" s="1539"/>
      <c r="AT59" s="1539"/>
      <c r="AU59" s="1539"/>
      <c r="AV59" s="1539"/>
      <c r="AW59" s="1539"/>
      <c r="AX59" s="1539"/>
      <c r="AY59" s="1539"/>
      <c r="AZ59" s="1539"/>
      <c r="BA59" s="1539"/>
      <c r="BB59" s="1539"/>
      <c r="BC59" s="1539"/>
      <c r="BD59" s="1539"/>
      <c r="BE59" s="1539"/>
      <c r="BF59" s="1539"/>
    </row>
    <row r="60" spans="1:58" s="244" customFormat="1" ht="15" outlineLevel="1">
      <c r="A60" s="2216"/>
      <c r="B60" s="2216"/>
      <c r="C60" s="1552"/>
      <c r="D60" s="1552"/>
      <c r="E60" s="1552"/>
      <c r="F60" s="1553"/>
      <c r="G60" s="1553"/>
      <c r="H60" s="1553"/>
      <c r="I60" s="1554"/>
      <c r="J60" s="1554"/>
      <c r="K60" s="1539"/>
      <c r="L60" s="1539"/>
      <c r="M60" s="1539"/>
      <c r="N60" s="1539"/>
      <c r="O60" s="1539"/>
      <c r="P60" s="1539"/>
      <c r="Q60" s="1539"/>
      <c r="R60" s="1539"/>
      <c r="S60" s="1539"/>
      <c r="T60" s="1539"/>
      <c r="U60" s="2170"/>
      <c r="V60" s="2170"/>
      <c r="W60" s="2170"/>
      <c r="X60" s="1539"/>
      <c r="Y60" s="1539"/>
      <c r="Z60" s="1539"/>
      <c r="AA60" s="1539"/>
      <c r="AB60" s="1539"/>
      <c r="AC60" s="1539"/>
      <c r="AD60" s="1539"/>
      <c r="AE60" s="1539"/>
      <c r="AF60" s="1539"/>
      <c r="AG60" s="1539"/>
      <c r="AH60" s="1539"/>
      <c r="AI60" s="1539"/>
      <c r="AJ60" s="1539"/>
      <c r="AK60" s="1539"/>
      <c r="AL60" s="1539"/>
      <c r="AM60" s="1539"/>
      <c r="AN60" s="1539"/>
      <c r="AO60" s="1539"/>
      <c r="AP60" s="1539"/>
      <c r="AQ60" s="1539"/>
      <c r="AR60" s="1539"/>
      <c r="AS60" s="1539"/>
      <c r="AT60" s="1539"/>
      <c r="AU60" s="1539"/>
      <c r="AV60" s="1539"/>
      <c r="AW60" s="1539"/>
      <c r="AX60" s="1539"/>
      <c r="AY60" s="1539"/>
      <c r="AZ60" s="1539"/>
      <c r="BA60" s="1539"/>
      <c r="BB60" s="1539"/>
      <c r="BC60" s="1539"/>
      <c r="BD60" s="1539"/>
      <c r="BE60" s="1539"/>
      <c r="BF60" s="1539"/>
    </row>
    <row r="61" spans="1:58" ht="14.25" customHeight="1" outlineLevel="1">
      <c r="A61" s="1532"/>
      <c r="B61" s="1462"/>
      <c r="C61" s="1532"/>
      <c r="D61" s="1462"/>
      <c r="E61" s="1462"/>
      <c r="F61" s="1462"/>
      <c r="G61" s="1462"/>
      <c r="H61" s="1462"/>
      <c r="I61" s="1462"/>
      <c r="J61" s="1462"/>
      <c r="K61" s="1462"/>
      <c r="L61" s="1462"/>
      <c r="M61" s="1462"/>
      <c r="N61" s="1462"/>
      <c r="O61" s="1462"/>
      <c r="P61" s="1462"/>
      <c r="Q61" s="1462"/>
      <c r="R61" s="1462"/>
      <c r="S61" s="1462"/>
      <c r="T61" s="1462"/>
      <c r="U61" s="2170"/>
      <c r="V61" s="2170"/>
      <c r="W61" s="2170"/>
      <c r="X61" s="1462"/>
      <c r="Y61" s="1462"/>
      <c r="Z61" s="1462"/>
      <c r="AA61" s="1462"/>
      <c r="AB61" s="1462"/>
      <c r="AC61" s="1462"/>
      <c r="AD61" s="1462"/>
      <c r="AE61" s="1462"/>
      <c r="AF61" s="1462"/>
      <c r="AG61" s="1462"/>
      <c r="AH61" s="1462"/>
      <c r="AI61" s="1462"/>
      <c r="AJ61" s="1462"/>
      <c r="AK61" s="1462"/>
      <c r="AL61" s="1462"/>
      <c r="AM61" s="1462"/>
      <c r="AN61" s="1462"/>
      <c r="AO61" s="1462"/>
      <c r="AP61" s="1462"/>
      <c r="AQ61" s="1462"/>
      <c r="AR61" s="1462"/>
      <c r="AS61" s="1462"/>
      <c r="AT61" s="1462"/>
      <c r="AU61" s="1462"/>
      <c r="AV61" s="1462"/>
      <c r="AW61" s="1462"/>
      <c r="AX61" s="1462"/>
      <c r="AY61" s="1462"/>
      <c r="AZ61" s="1462"/>
      <c r="BA61" s="1462"/>
      <c r="BB61" s="1462"/>
      <c r="BC61" s="1462"/>
      <c r="BD61" s="1462"/>
      <c r="BE61" s="1462"/>
      <c r="BF61" s="1462"/>
    </row>
    <row r="62" spans="1:58" ht="14.25" customHeight="1">
      <c r="A62" s="1462"/>
      <c r="B62" s="1462"/>
      <c r="C62" s="1462"/>
      <c r="D62" s="1462"/>
      <c r="E62" s="1462"/>
      <c r="F62" s="1462"/>
      <c r="G62" s="1462"/>
      <c r="H62" s="1462"/>
      <c r="I62" s="1462"/>
      <c r="J62" s="1462"/>
      <c r="K62" s="1462"/>
      <c r="L62" s="1462"/>
      <c r="M62" s="1462"/>
      <c r="N62" s="1462"/>
      <c r="O62" s="1462"/>
      <c r="P62" s="1462"/>
      <c r="Q62" s="1462"/>
      <c r="R62" s="1462"/>
      <c r="S62" s="1462"/>
      <c r="T62" s="1462"/>
      <c r="U62" s="2170"/>
      <c r="V62" s="2170"/>
      <c r="W62" s="2170"/>
      <c r="X62" s="1462"/>
      <c r="Y62" s="1462"/>
      <c r="Z62" s="1462"/>
      <c r="AA62" s="1462"/>
      <c r="AB62" s="1462"/>
      <c r="AC62" s="1462"/>
      <c r="AD62" s="1462"/>
      <c r="AE62" s="1462"/>
      <c r="AF62" s="1462"/>
      <c r="AG62" s="1462"/>
      <c r="AH62" s="1462"/>
      <c r="AI62" s="1462"/>
      <c r="AJ62" s="1462"/>
      <c r="AK62" s="1462"/>
      <c r="AL62" s="1462"/>
      <c r="AM62" s="1462"/>
      <c r="AN62" s="1462"/>
      <c r="AO62" s="1462"/>
      <c r="AP62" s="1462"/>
      <c r="AQ62" s="1462"/>
      <c r="AR62" s="1462"/>
      <c r="AS62" s="1462"/>
      <c r="AT62" s="1462"/>
      <c r="AU62" s="1462"/>
      <c r="AV62" s="1462"/>
      <c r="AW62" s="1462"/>
      <c r="AX62" s="1462"/>
      <c r="AY62" s="1462"/>
      <c r="AZ62" s="1462"/>
      <c r="BA62" s="1462"/>
      <c r="BB62" s="1462"/>
      <c r="BC62" s="1462"/>
      <c r="BD62" s="1462"/>
      <c r="BE62" s="1462"/>
      <c r="BF62" s="1462"/>
    </row>
    <row r="63" spans="1:58" ht="14.25" customHeight="1">
      <c r="A63" s="1462"/>
      <c r="B63" s="1462"/>
      <c r="C63" s="1462"/>
      <c r="D63" s="1462"/>
      <c r="E63" s="1462"/>
      <c r="F63" s="1462"/>
      <c r="G63" s="1462"/>
      <c r="H63" s="1462"/>
      <c r="I63" s="1462"/>
      <c r="J63" s="1462"/>
      <c r="K63" s="1462"/>
      <c r="L63" s="1462"/>
      <c r="M63" s="1462"/>
      <c r="N63" s="1462"/>
      <c r="O63" s="1462"/>
      <c r="P63" s="1462"/>
      <c r="Q63" s="1462"/>
      <c r="R63" s="1462"/>
      <c r="S63" s="1462"/>
      <c r="T63" s="1462"/>
      <c r="U63" s="2170"/>
      <c r="V63" s="2170"/>
      <c r="W63" s="2170"/>
      <c r="X63" s="1462"/>
      <c r="Y63" s="1462"/>
      <c r="Z63" s="1462"/>
      <c r="AA63" s="1462"/>
      <c r="AB63" s="1462"/>
      <c r="AC63" s="1462"/>
      <c r="AD63" s="1462"/>
      <c r="AE63" s="1462"/>
      <c r="AF63" s="1462"/>
      <c r="AG63" s="1462"/>
      <c r="AH63" s="1462"/>
      <c r="AI63" s="1462"/>
      <c r="AJ63" s="1462"/>
      <c r="AK63" s="1462"/>
      <c r="AL63" s="1462"/>
      <c r="AM63" s="1462"/>
      <c r="AN63" s="1462"/>
      <c r="AO63" s="1462"/>
      <c r="AP63" s="1462"/>
      <c r="AQ63" s="1462"/>
      <c r="AR63" s="1462"/>
      <c r="AS63" s="1462"/>
      <c r="AT63" s="1462"/>
      <c r="AU63" s="1462"/>
      <c r="AV63" s="1462"/>
      <c r="AW63" s="1462"/>
      <c r="AX63" s="1462"/>
      <c r="AY63" s="1462"/>
      <c r="AZ63" s="1462"/>
      <c r="BA63" s="1462"/>
      <c r="BB63" s="1462"/>
      <c r="BC63" s="1462"/>
      <c r="BD63" s="1462"/>
      <c r="BE63" s="1462"/>
      <c r="BF63" s="1462"/>
    </row>
    <row r="64" spans="1:58" ht="14.25" customHeight="1">
      <c r="A64" s="1462"/>
      <c r="B64" s="1462"/>
      <c r="C64" s="1462"/>
      <c r="D64" s="1462"/>
      <c r="E64" s="1462"/>
      <c r="F64" s="1462"/>
      <c r="G64" s="1462"/>
      <c r="H64" s="1462"/>
      <c r="I64" s="1462"/>
      <c r="J64" s="1462"/>
      <c r="K64" s="1462"/>
      <c r="L64" s="1462"/>
      <c r="M64" s="1462"/>
      <c r="N64" s="1462"/>
      <c r="O64" s="1462"/>
      <c r="P64" s="1462"/>
      <c r="Q64" s="1462"/>
      <c r="R64" s="1462"/>
      <c r="S64" s="1462"/>
      <c r="T64" s="1462"/>
      <c r="U64" s="2170"/>
      <c r="V64" s="2170"/>
      <c r="W64" s="2170"/>
      <c r="X64" s="1462"/>
      <c r="Y64" s="1462"/>
      <c r="Z64" s="1462"/>
      <c r="AA64" s="1462"/>
      <c r="AB64" s="1462"/>
      <c r="AC64" s="1462"/>
      <c r="AD64" s="1462"/>
      <c r="AE64" s="1462"/>
      <c r="AF64" s="1462"/>
      <c r="AG64" s="1462"/>
      <c r="AH64" s="1462"/>
      <c r="AI64" s="1462"/>
      <c r="AJ64" s="1462"/>
      <c r="AK64" s="1462"/>
      <c r="AL64" s="1462"/>
      <c r="AM64" s="1462"/>
      <c r="AN64" s="1462"/>
      <c r="AO64" s="1462"/>
      <c r="AP64" s="1462"/>
      <c r="AQ64" s="1462"/>
      <c r="AR64" s="1462"/>
      <c r="AS64" s="1462"/>
      <c r="AT64" s="1462"/>
      <c r="AU64" s="1462"/>
      <c r="AV64" s="1462"/>
      <c r="AW64" s="1462"/>
      <c r="AX64" s="1462"/>
      <c r="AY64" s="1462"/>
      <c r="AZ64" s="1462"/>
      <c r="BA64" s="1462"/>
      <c r="BB64" s="1462"/>
      <c r="BC64" s="1462"/>
      <c r="BD64" s="1462"/>
      <c r="BE64" s="1462"/>
      <c r="BF64" s="1462"/>
    </row>
  </sheetData>
  <protectedRanges>
    <protectedRange sqref="A16:I46 X16:AF46 AN16:AV46" name="区域4"/>
    <protectedRange sqref="J16:J46 AG16:AG46 AW16:AW46" name="区域4_1"/>
    <protectedRange sqref="A54:H60 Y54:AF58 AN54:AU58" name="区域3"/>
    <protectedRange sqref="L54:L58 J54:J60 AH54:AI58 AW54:AX58" name="区域3_2"/>
  </protectedRanges>
  <mergeCells count="607">
    <mergeCell ref="Q57:S57"/>
    <mergeCell ref="L58:M58"/>
    <mergeCell ref="N58:P58"/>
    <mergeCell ref="Q58:S58"/>
    <mergeCell ref="L57:M57"/>
    <mergeCell ref="N57:P57"/>
    <mergeCell ref="A58:B58"/>
    <mergeCell ref="C58:E58"/>
    <mergeCell ref="F58:H58"/>
    <mergeCell ref="I58:J58"/>
    <mergeCell ref="A57:B57"/>
    <mergeCell ref="C57:E57"/>
    <mergeCell ref="F57:H57"/>
    <mergeCell ref="I57:J57"/>
    <mergeCell ref="N55:P55"/>
    <mergeCell ref="Q55:S55"/>
    <mergeCell ref="L56:M56"/>
    <mergeCell ref="N56:P56"/>
    <mergeCell ref="Q56:S56"/>
    <mergeCell ref="AQ44:AR44"/>
    <mergeCell ref="AA46:AB46"/>
    <mergeCell ref="AC46:AD46"/>
    <mergeCell ref="AE46:AF46"/>
    <mergeCell ref="AH46:AK46"/>
    <mergeCell ref="AP54:AR54"/>
    <mergeCell ref="K45:N45"/>
    <mergeCell ref="O45:R45"/>
    <mergeCell ref="AH45:AK45"/>
    <mergeCell ref="X42:X46"/>
    <mergeCell ref="Y42:Y46"/>
    <mergeCell ref="Z42:Z46"/>
    <mergeCell ref="AA42:AB42"/>
    <mergeCell ref="AC42:AD42"/>
    <mergeCell ref="AA44:AB44"/>
    <mergeCell ref="AC44:AD44"/>
    <mergeCell ref="AE44:AF44"/>
    <mergeCell ref="AH44:AK44"/>
    <mergeCell ref="AA45:AB45"/>
    <mergeCell ref="AN58:AO58"/>
    <mergeCell ref="AP58:AR58"/>
    <mergeCell ref="AX44:BA44"/>
    <mergeCell ref="AX46:BA46"/>
    <mergeCell ref="AX45:BA45"/>
    <mergeCell ref="AN56:AO56"/>
    <mergeCell ref="AP56:AR56"/>
    <mergeCell ref="AS56:AU56"/>
    <mergeCell ref="AV56:AW56"/>
    <mergeCell ref="AX56:AY56"/>
    <mergeCell ref="AU46:AV46"/>
    <mergeCell ref="AS44:AT44"/>
    <mergeCell ref="AS46:AT46"/>
    <mergeCell ref="AN42:AN46"/>
    <mergeCell ref="AO42:AO46"/>
    <mergeCell ref="AP42:AP46"/>
    <mergeCell ref="AQ42:AR42"/>
    <mergeCell ref="AS42:AT42"/>
    <mergeCell ref="AQ45:AR45"/>
    <mergeCell ref="AS45:AT45"/>
    <mergeCell ref="AQ46:AR46"/>
    <mergeCell ref="AN53:AO53"/>
    <mergeCell ref="AP53:AR53"/>
    <mergeCell ref="AN54:AO54"/>
    <mergeCell ref="BB44:BE44"/>
    <mergeCell ref="BB46:BE46"/>
    <mergeCell ref="BB45:BE45"/>
    <mergeCell ref="BC53:BE53"/>
    <mergeCell ref="AS54:AU54"/>
    <mergeCell ref="AV54:AW54"/>
    <mergeCell ref="AX54:AY54"/>
    <mergeCell ref="AZ54:BB54"/>
    <mergeCell ref="AU44:AV44"/>
    <mergeCell ref="AU45:AV45"/>
    <mergeCell ref="BC54:BE54"/>
    <mergeCell ref="AS53:AU53"/>
    <mergeCell ref="AV53:AW53"/>
    <mergeCell ref="AX53:AY53"/>
    <mergeCell ref="AZ53:BB53"/>
    <mergeCell ref="AX43:BA43"/>
    <mergeCell ref="BB43:BE43"/>
    <mergeCell ref="AX41:BA41"/>
    <mergeCell ref="BB41:BE41"/>
    <mergeCell ref="AQ43:AR43"/>
    <mergeCell ref="AS43:AT43"/>
    <mergeCell ref="AU42:AV42"/>
    <mergeCell ref="AX42:BA42"/>
    <mergeCell ref="BB42:BE42"/>
    <mergeCell ref="AU43:AV43"/>
    <mergeCell ref="A37:A41"/>
    <mergeCell ref="B37:B41"/>
    <mergeCell ref="C37:C41"/>
    <mergeCell ref="D37:E37"/>
    <mergeCell ref="F37:G37"/>
    <mergeCell ref="H37:I37"/>
    <mergeCell ref="AQ40:AR40"/>
    <mergeCell ref="AE42:AF42"/>
    <mergeCell ref="AH42:AK42"/>
    <mergeCell ref="AH40:AK40"/>
    <mergeCell ref="AA41:AB41"/>
    <mergeCell ref="AC41:AD41"/>
    <mergeCell ref="X37:X41"/>
    <mergeCell ref="Y37:Y41"/>
    <mergeCell ref="Z37:Z41"/>
    <mergeCell ref="AA37:AB37"/>
    <mergeCell ref="AC37:AD37"/>
    <mergeCell ref="AE37:AF37"/>
    <mergeCell ref="AA40:AB40"/>
    <mergeCell ref="AE41:AF41"/>
    <mergeCell ref="AQ38:AR38"/>
    <mergeCell ref="AH37:AK37"/>
    <mergeCell ref="AA38:AB38"/>
    <mergeCell ref="K42:N42"/>
    <mergeCell ref="BB35:BE35"/>
    <mergeCell ref="AQ36:AR36"/>
    <mergeCell ref="AS36:AT36"/>
    <mergeCell ref="AU36:AV36"/>
    <mergeCell ref="AX36:BA36"/>
    <mergeCell ref="BB36:BE36"/>
    <mergeCell ref="AX39:BA39"/>
    <mergeCell ref="BB39:BE39"/>
    <mergeCell ref="AX37:BA37"/>
    <mergeCell ref="BB37:BE37"/>
    <mergeCell ref="AU38:AV38"/>
    <mergeCell ref="AX38:BA38"/>
    <mergeCell ref="BB38:BE38"/>
    <mergeCell ref="AQ37:AR37"/>
    <mergeCell ref="AS37:AT37"/>
    <mergeCell ref="AU37:AV37"/>
    <mergeCell ref="AU39:AV39"/>
    <mergeCell ref="AQ39:AR39"/>
    <mergeCell ref="AS39:AT39"/>
    <mergeCell ref="AS38:AT38"/>
    <mergeCell ref="A32:A36"/>
    <mergeCell ref="B32:B36"/>
    <mergeCell ref="C32:C36"/>
    <mergeCell ref="D32:E32"/>
    <mergeCell ref="F32:G32"/>
    <mergeCell ref="H32:I32"/>
    <mergeCell ref="D34:E34"/>
    <mergeCell ref="F34:G34"/>
    <mergeCell ref="H34:I34"/>
    <mergeCell ref="D36:E36"/>
    <mergeCell ref="A27:A31"/>
    <mergeCell ref="B27:B31"/>
    <mergeCell ref="C27:C31"/>
    <mergeCell ref="D27:E27"/>
    <mergeCell ref="F27:G27"/>
    <mergeCell ref="H27:I27"/>
    <mergeCell ref="D31:E31"/>
    <mergeCell ref="F31:G31"/>
    <mergeCell ref="H31:I31"/>
    <mergeCell ref="D30:E30"/>
    <mergeCell ref="D29:E29"/>
    <mergeCell ref="F29:G29"/>
    <mergeCell ref="H29:I29"/>
    <mergeCell ref="H30:I30"/>
    <mergeCell ref="AO32:AO36"/>
    <mergeCell ref="AP32:AP36"/>
    <mergeCell ref="AQ32:AR32"/>
    <mergeCell ref="AQ33:AR33"/>
    <mergeCell ref="K27:N27"/>
    <mergeCell ref="O27:R27"/>
    <mergeCell ref="D28:E28"/>
    <mergeCell ref="F28:G28"/>
    <mergeCell ref="H28:I28"/>
    <mergeCell ref="K28:N28"/>
    <mergeCell ref="O28:R28"/>
    <mergeCell ref="AQ35:AR35"/>
    <mergeCell ref="K34:N34"/>
    <mergeCell ref="O34:R34"/>
    <mergeCell ref="D35:E35"/>
    <mergeCell ref="F35:G35"/>
    <mergeCell ref="H35:I35"/>
    <mergeCell ref="K35:N35"/>
    <mergeCell ref="D33:E33"/>
    <mergeCell ref="O33:R33"/>
    <mergeCell ref="AC34:AD34"/>
    <mergeCell ref="AE34:AF34"/>
    <mergeCell ref="AQ30:AR30"/>
    <mergeCell ref="F30:G30"/>
    <mergeCell ref="AS30:AT30"/>
    <mergeCell ref="AQ29:AR29"/>
    <mergeCell ref="AS29:AT29"/>
    <mergeCell ref="AQ31:AR31"/>
    <mergeCell ref="AS31:AT31"/>
    <mergeCell ref="AX40:BA40"/>
    <mergeCell ref="AU33:AV33"/>
    <mergeCell ref="AX33:BA33"/>
    <mergeCell ref="AU34:AV34"/>
    <mergeCell ref="AX34:BA34"/>
    <mergeCell ref="AU40:AV40"/>
    <mergeCell ref="AX29:BA29"/>
    <mergeCell ref="AU31:AV31"/>
    <mergeCell ref="AX31:BA31"/>
    <mergeCell ref="AQ34:AR34"/>
    <mergeCell ref="AS34:AT34"/>
    <mergeCell ref="K30:N30"/>
    <mergeCell ref="O30:R30"/>
    <mergeCell ref="AS40:AT40"/>
    <mergeCell ref="AS32:AT32"/>
    <mergeCell ref="AS35:AT35"/>
    <mergeCell ref="O35:R35"/>
    <mergeCell ref="K32:N32"/>
    <mergeCell ref="O32:R32"/>
    <mergeCell ref="AH38:AK38"/>
    <mergeCell ref="AH39:AK39"/>
    <mergeCell ref="AN37:AN41"/>
    <mergeCell ref="AO37:AO41"/>
    <mergeCell ref="AP37:AP41"/>
    <mergeCell ref="AQ41:AR41"/>
    <mergeCell ref="AN27:AN31"/>
    <mergeCell ref="AO27:AO31"/>
    <mergeCell ref="AP27:AP31"/>
    <mergeCell ref="AQ27:AR27"/>
    <mergeCell ref="AS27:AT27"/>
    <mergeCell ref="AQ28:AR28"/>
    <mergeCell ref="AS28:AT28"/>
    <mergeCell ref="AS33:AT33"/>
    <mergeCell ref="AN32:AN36"/>
    <mergeCell ref="AA30:AB30"/>
    <mergeCell ref="AU27:AV27"/>
    <mergeCell ref="AX27:BA27"/>
    <mergeCell ref="AU28:AV28"/>
    <mergeCell ref="AX28:BA28"/>
    <mergeCell ref="AU32:AV32"/>
    <mergeCell ref="AX32:BA32"/>
    <mergeCell ref="AU30:AV30"/>
    <mergeCell ref="AX30:BA30"/>
    <mergeCell ref="AU29:AV29"/>
    <mergeCell ref="AS26:AT26"/>
    <mergeCell ref="AQ25:AR25"/>
    <mergeCell ref="AX26:BA26"/>
    <mergeCell ref="B1:C1"/>
    <mergeCell ref="A2:C2"/>
    <mergeCell ref="B3:C3"/>
    <mergeCell ref="B6:C6"/>
    <mergeCell ref="B9:C9"/>
    <mergeCell ref="D15:G15"/>
    <mergeCell ref="H15:J15"/>
    <mergeCell ref="K15:N15"/>
    <mergeCell ref="O15:R15"/>
    <mergeCell ref="B10:C10"/>
    <mergeCell ref="D13:R13"/>
    <mergeCell ref="K16:N16"/>
    <mergeCell ref="D17:E17"/>
    <mergeCell ref="F17:G17"/>
    <mergeCell ref="H17:I17"/>
    <mergeCell ref="K20:N20"/>
    <mergeCell ref="A16:A26"/>
    <mergeCell ref="B16:B26"/>
    <mergeCell ref="C16:C26"/>
    <mergeCell ref="D16:E16"/>
    <mergeCell ref="AC16:AD16"/>
    <mergeCell ref="AA17:AB17"/>
    <mergeCell ref="AC17:AD17"/>
    <mergeCell ref="AE17:AF17"/>
    <mergeCell ref="AH17:AK17"/>
    <mergeCell ref="F16:G16"/>
    <mergeCell ref="S25:S26"/>
    <mergeCell ref="S17:S21"/>
    <mergeCell ref="T17:T21"/>
    <mergeCell ref="S22:S24"/>
    <mergeCell ref="T22:T24"/>
    <mergeCell ref="AA26:AB26"/>
    <mergeCell ref="AC26:AD26"/>
    <mergeCell ref="H16:I16"/>
    <mergeCell ref="F18:G18"/>
    <mergeCell ref="H18:I18"/>
    <mergeCell ref="H22:I22"/>
    <mergeCell ref="O17:R21"/>
    <mergeCell ref="K18:N18"/>
    <mergeCell ref="AC30:AD30"/>
    <mergeCell ref="AE30:AF30"/>
    <mergeCell ref="A59:B59"/>
    <mergeCell ref="A60:B60"/>
    <mergeCell ref="U25:U26"/>
    <mergeCell ref="U22:U24"/>
    <mergeCell ref="K22:N22"/>
    <mergeCell ref="F24:G24"/>
    <mergeCell ref="Y16:Y26"/>
    <mergeCell ref="Z16:Z26"/>
    <mergeCell ref="T25:T26"/>
    <mergeCell ref="K23:N23"/>
    <mergeCell ref="D24:E24"/>
    <mergeCell ref="O22:R24"/>
    <mergeCell ref="H24:I24"/>
    <mergeCell ref="K24:N24"/>
    <mergeCell ref="D25:E25"/>
    <mergeCell ref="O16:R16"/>
    <mergeCell ref="K17:N17"/>
    <mergeCell ref="K21:N21"/>
    <mergeCell ref="D22:E22"/>
    <mergeCell ref="F22:G22"/>
    <mergeCell ref="AA16:AB16"/>
    <mergeCell ref="D21:E21"/>
    <mergeCell ref="D19:E19"/>
    <mergeCell ref="F19:G19"/>
    <mergeCell ref="H19:I19"/>
    <mergeCell ref="K19:N19"/>
    <mergeCell ref="F20:G20"/>
    <mergeCell ref="H20:I20"/>
    <mergeCell ref="D18:E18"/>
    <mergeCell ref="D20:E20"/>
    <mergeCell ref="AQ21:AR21"/>
    <mergeCell ref="AS21:AT21"/>
    <mergeCell ref="F21:G21"/>
    <mergeCell ref="H21:I21"/>
    <mergeCell ref="O25:R26"/>
    <mergeCell ref="AA24:AB24"/>
    <mergeCell ref="AC24:AD24"/>
    <mergeCell ref="AE24:AF24"/>
    <mergeCell ref="AE26:AF26"/>
    <mergeCell ref="AH26:AK26"/>
    <mergeCell ref="AH24:AK24"/>
    <mergeCell ref="AA25:AB25"/>
    <mergeCell ref="AA23:AB23"/>
    <mergeCell ref="AC23:AD23"/>
    <mergeCell ref="AE23:AF23"/>
    <mergeCell ref="AH23:AK23"/>
    <mergeCell ref="AC25:AD25"/>
    <mergeCell ref="AE25:AF25"/>
    <mergeCell ref="AH25:AK25"/>
    <mergeCell ref="AQ26:AR26"/>
    <mergeCell ref="AN16:AN26"/>
    <mergeCell ref="AO16:AO26"/>
    <mergeCell ref="AP16:AP26"/>
    <mergeCell ref="AE16:AF16"/>
    <mergeCell ref="AH16:AK16"/>
    <mergeCell ref="D23:E23"/>
    <mergeCell ref="F23:G23"/>
    <mergeCell ref="H23:I23"/>
    <mergeCell ref="D26:E26"/>
    <mergeCell ref="AS23:AT23"/>
    <mergeCell ref="AQ24:AR24"/>
    <mergeCell ref="U63:U64"/>
    <mergeCell ref="V63:V64"/>
    <mergeCell ref="W63:W64"/>
    <mergeCell ref="Y58:Z58"/>
    <mergeCell ref="AA58:AC58"/>
    <mergeCell ref="AD58:AF58"/>
    <mergeCell ref="Y57:Z57"/>
    <mergeCell ref="AA57:AC57"/>
    <mergeCell ref="AD57:AF57"/>
    <mergeCell ref="U60:U62"/>
    <mergeCell ref="AG58:AH58"/>
    <mergeCell ref="AH30:AK30"/>
    <mergeCell ref="AA31:AB31"/>
    <mergeCell ref="AC31:AD31"/>
    <mergeCell ref="AE31:AF31"/>
    <mergeCell ref="AH31:AK31"/>
    <mergeCell ref="AA32:AB32"/>
    <mergeCell ref="AC32:AD32"/>
    <mergeCell ref="AG56:AH56"/>
    <mergeCell ref="AG57:AH57"/>
    <mergeCell ref="AH32:AK32"/>
    <mergeCell ref="AA33:AB33"/>
    <mergeCell ref="AC33:AD33"/>
    <mergeCell ref="AE33:AF33"/>
    <mergeCell ref="AH33:AK33"/>
    <mergeCell ref="AD55:AF55"/>
    <mergeCell ref="AA54:AC54"/>
    <mergeCell ref="AD54:AF54"/>
    <mergeCell ref="AH34:AK34"/>
    <mergeCell ref="AH35:AK35"/>
    <mergeCell ref="AA36:AB36"/>
    <mergeCell ref="AC36:AD36"/>
    <mergeCell ref="AE36:AF36"/>
    <mergeCell ref="AH36:AK36"/>
    <mergeCell ref="AA56:AC56"/>
    <mergeCell ref="AD56:AF56"/>
    <mergeCell ref="AH41:AK41"/>
    <mergeCell ref="AA39:AB39"/>
    <mergeCell ref="AC39:AD39"/>
    <mergeCell ref="AE39:AF39"/>
    <mergeCell ref="AC40:AD40"/>
    <mergeCell ref="AE40:AF40"/>
    <mergeCell ref="AH27:AK27"/>
    <mergeCell ref="AA28:AB28"/>
    <mergeCell ref="AC28:AD28"/>
    <mergeCell ref="AE28:AF28"/>
    <mergeCell ref="AH28:AK28"/>
    <mergeCell ref="AA29:AB29"/>
    <mergeCell ref="AC29:AD29"/>
    <mergeCell ref="AE29:AF29"/>
    <mergeCell ref="AH29:AK29"/>
    <mergeCell ref="AA27:AB27"/>
    <mergeCell ref="AC27:AD27"/>
    <mergeCell ref="AE27:AF27"/>
    <mergeCell ref="BB22:BE24"/>
    <mergeCell ref="BB17:BE21"/>
    <mergeCell ref="AU18:AV18"/>
    <mergeCell ref="AX19:BA19"/>
    <mergeCell ref="AX17:BA17"/>
    <mergeCell ref="AQ18:AR18"/>
    <mergeCell ref="AS18:AT18"/>
    <mergeCell ref="AU25:AV25"/>
    <mergeCell ref="AU22:AV22"/>
    <mergeCell ref="AU20:AV20"/>
    <mergeCell ref="AX20:BA20"/>
    <mergeCell ref="AU21:AV21"/>
    <mergeCell ref="AX21:BA21"/>
    <mergeCell ref="AX24:BA24"/>
    <mergeCell ref="AX25:BA25"/>
    <mergeCell ref="AX22:BA22"/>
    <mergeCell ref="AU23:AV23"/>
    <mergeCell ref="AX23:BA23"/>
    <mergeCell ref="AS24:AT24"/>
    <mergeCell ref="AS25:AT25"/>
    <mergeCell ref="AQ22:AR22"/>
    <mergeCell ref="AS22:AT22"/>
    <mergeCell ref="AQ23:AR23"/>
    <mergeCell ref="AS20:AT20"/>
    <mergeCell ref="AS58:AU58"/>
    <mergeCell ref="AV58:AW58"/>
    <mergeCell ref="AX58:AY58"/>
    <mergeCell ref="AZ58:BB58"/>
    <mergeCell ref="BC58:BE58"/>
    <mergeCell ref="AU24:AV24"/>
    <mergeCell ref="AS41:AT41"/>
    <mergeCell ref="AU41:AV41"/>
    <mergeCell ref="BB25:BE26"/>
    <mergeCell ref="AU26:AV26"/>
    <mergeCell ref="BB40:BE40"/>
    <mergeCell ref="BB33:BE33"/>
    <mergeCell ref="BB34:BE34"/>
    <mergeCell ref="BB31:BE31"/>
    <mergeCell ref="BB32:BE32"/>
    <mergeCell ref="BB29:BE29"/>
    <mergeCell ref="BB30:BE30"/>
    <mergeCell ref="BB28:BE28"/>
    <mergeCell ref="BB27:BE27"/>
    <mergeCell ref="AU35:AV35"/>
    <mergeCell ref="BC55:BE55"/>
    <mergeCell ref="BC56:BE56"/>
    <mergeCell ref="BC57:BE57"/>
    <mergeCell ref="AX35:BA35"/>
    <mergeCell ref="AN57:AO57"/>
    <mergeCell ref="AP57:AR57"/>
    <mergeCell ref="AS57:AU57"/>
    <mergeCell ref="AV57:AW57"/>
    <mergeCell ref="AX57:AY57"/>
    <mergeCell ref="AZ57:BB57"/>
    <mergeCell ref="AZ56:BB56"/>
    <mergeCell ref="AN55:AO55"/>
    <mergeCell ref="AP55:AR55"/>
    <mergeCell ref="AS55:AU55"/>
    <mergeCell ref="AV55:AW55"/>
    <mergeCell ref="AZ55:BB55"/>
    <mergeCell ref="AX15:BA15"/>
    <mergeCell ref="BB15:BE15"/>
    <mergeCell ref="AQ15:AT15"/>
    <mergeCell ref="AU15:AW15"/>
    <mergeCell ref="AU17:AV17"/>
    <mergeCell ref="AQ20:AR20"/>
    <mergeCell ref="AX18:BA18"/>
    <mergeCell ref="AQ19:AR19"/>
    <mergeCell ref="AS19:AT19"/>
    <mergeCell ref="AU19:AV19"/>
    <mergeCell ref="AX16:BA16"/>
    <mergeCell ref="BB16:BE16"/>
    <mergeCell ref="AQ17:AR17"/>
    <mergeCell ref="AS17:AT17"/>
    <mergeCell ref="AU16:AV16"/>
    <mergeCell ref="AS16:AT16"/>
    <mergeCell ref="AQ16:AR16"/>
    <mergeCell ref="AA15:AD15"/>
    <mergeCell ref="AE15:AG15"/>
    <mergeCell ref="AH15:AK15"/>
    <mergeCell ref="X16:X26"/>
    <mergeCell ref="AE21:AF21"/>
    <mergeCell ref="AH21:AK21"/>
    <mergeCell ref="AA22:AB22"/>
    <mergeCell ref="AC22:AD22"/>
    <mergeCell ref="AE22:AF22"/>
    <mergeCell ref="AH22:AK22"/>
    <mergeCell ref="AA20:AB20"/>
    <mergeCell ref="AC20:AD20"/>
    <mergeCell ref="AE20:AF20"/>
    <mergeCell ref="AH20:AK20"/>
    <mergeCell ref="AA21:AB21"/>
    <mergeCell ref="AC21:AD21"/>
    <mergeCell ref="AA18:AB18"/>
    <mergeCell ref="AC18:AD18"/>
    <mergeCell ref="AE18:AF18"/>
    <mergeCell ref="AH18:AK18"/>
    <mergeCell ref="AA19:AB19"/>
    <mergeCell ref="AC19:AD19"/>
    <mergeCell ref="AE19:AF19"/>
    <mergeCell ref="AH19:AK19"/>
    <mergeCell ref="Y54:Z54"/>
    <mergeCell ref="Y32:Y36"/>
    <mergeCell ref="Z32:Z36"/>
    <mergeCell ref="AA34:AB34"/>
    <mergeCell ref="Y55:Z55"/>
    <mergeCell ref="AA55:AC55"/>
    <mergeCell ref="AG54:AH54"/>
    <mergeCell ref="AA53:AC53"/>
    <mergeCell ref="AD53:AF53"/>
    <mergeCell ref="AG55:AH55"/>
    <mergeCell ref="AA35:AB35"/>
    <mergeCell ref="AC35:AD35"/>
    <mergeCell ref="AE35:AF35"/>
    <mergeCell ref="AA43:AB43"/>
    <mergeCell ref="AC43:AD43"/>
    <mergeCell ref="AE43:AF43"/>
    <mergeCell ref="AH43:AK43"/>
    <mergeCell ref="AG53:AH53"/>
    <mergeCell ref="AE45:AF45"/>
    <mergeCell ref="AE32:AF32"/>
    <mergeCell ref="AC38:AD38"/>
    <mergeCell ref="AE38:AF38"/>
    <mergeCell ref="AC45:AD45"/>
    <mergeCell ref="Y27:Y31"/>
    <mergeCell ref="Z27:Z31"/>
    <mergeCell ref="V60:V62"/>
    <mergeCell ref="W60:W62"/>
    <mergeCell ref="U17:U21"/>
    <mergeCell ref="F26:G26"/>
    <mergeCell ref="H26:I26"/>
    <mergeCell ref="K26:N26"/>
    <mergeCell ref="F36:G36"/>
    <mergeCell ref="H36:I36"/>
    <mergeCell ref="Y53:Z53"/>
    <mergeCell ref="Y56:Z56"/>
    <mergeCell ref="X27:X31"/>
    <mergeCell ref="X32:X36"/>
    <mergeCell ref="F25:G25"/>
    <mergeCell ref="H25:I25"/>
    <mergeCell ref="K25:N25"/>
    <mergeCell ref="K31:N31"/>
    <mergeCell ref="O31:R31"/>
    <mergeCell ref="K29:N29"/>
    <mergeCell ref="O29:R29"/>
    <mergeCell ref="F33:G33"/>
    <mergeCell ref="H33:I33"/>
    <mergeCell ref="K33:N33"/>
    <mergeCell ref="K36:N36"/>
    <mergeCell ref="O36:R36"/>
    <mergeCell ref="D41:E41"/>
    <mergeCell ref="F41:G41"/>
    <mergeCell ref="H41:I41"/>
    <mergeCell ref="K41:N41"/>
    <mergeCell ref="O41:R41"/>
    <mergeCell ref="D39:E39"/>
    <mergeCell ref="F39:G39"/>
    <mergeCell ref="H39:I39"/>
    <mergeCell ref="K39:N39"/>
    <mergeCell ref="O39:R39"/>
    <mergeCell ref="D40:E40"/>
    <mergeCell ref="F40:G40"/>
    <mergeCell ref="H40:I40"/>
    <mergeCell ref="K40:N40"/>
    <mergeCell ref="O40:R40"/>
    <mergeCell ref="K37:N37"/>
    <mergeCell ref="O37:R37"/>
    <mergeCell ref="D38:E38"/>
    <mergeCell ref="F38:G38"/>
    <mergeCell ref="H38:I38"/>
    <mergeCell ref="K38:N38"/>
    <mergeCell ref="O38:R38"/>
    <mergeCell ref="O42:R42"/>
    <mergeCell ref="D43:E43"/>
    <mergeCell ref="F43:G43"/>
    <mergeCell ref="H43:I43"/>
    <mergeCell ref="K43:N43"/>
    <mergeCell ref="O43:R43"/>
    <mergeCell ref="A42:A46"/>
    <mergeCell ref="B42:B46"/>
    <mergeCell ref="C42:C46"/>
    <mergeCell ref="D42:E42"/>
    <mergeCell ref="F42:G42"/>
    <mergeCell ref="H42:I42"/>
    <mergeCell ref="D46:E46"/>
    <mergeCell ref="F46:G46"/>
    <mergeCell ref="H46:I46"/>
    <mergeCell ref="D44:E44"/>
    <mergeCell ref="F44:G44"/>
    <mergeCell ref="H44:I44"/>
    <mergeCell ref="K44:N44"/>
    <mergeCell ref="O44:R44"/>
    <mergeCell ref="D45:E45"/>
    <mergeCell ref="F45:G45"/>
    <mergeCell ref="H45:I45"/>
    <mergeCell ref="L53:M53"/>
    <mergeCell ref="N53:P53"/>
    <mergeCell ref="Q53:S53"/>
    <mergeCell ref="L54:M54"/>
    <mergeCell ref="N54:P54"/>
    <mergeCell ref="Q54:S54"/>
    <mergeCell ref="K46:N46"/>
    <mergeCell ref="O46:R46"/>
    <mergeCell ref="D51:R51"/>
    <mergeCell ref="C54:E54"/>
    <mergeCell ref="F54:H54"/>
    <mergeCell ref="I54:J54"/>
    <mergeCell ref="C53:E53"/>
    <mergeCell ref="F53:H53"/>
    <mergeCell ref="A56:B56"/>
    <mergeCell ref="C56:E56"/>
    <mergeCell ref="F56:H56"/>
    <mergeCell ref="I56:J56"/>
    <mergeCell ref="A55:B55"/>
    <mergeCell ref="C55:E55"/>
    <mergeCell ref="F55:H55"/>
    <mergeCell ref="I55:J55"/>
    <mergeCell ref="I53:J53"/>
    <mergeCell ref="A54:B54"/>
    <mergeCell ref="A53:B53"/>
  </mergeCells>
  <phoneticPr fontId="17" type="noConversion"/>
  <conditionalFormatting sqref="K16:K46 L17:N46">
    <cfRule type="cellIs" dxfId="203" priority="7" stopIfTrue="1" operator="equal">
      <formula>"/"</formula>
    </cfRule>
    <cfRule type="cellIs" dxfId="202" priority="8" stopIfTrue="1" operator="greaterThan">
      <formula>C$30</formula>
    </cfRule>
    <cfRule type="cellIs" dxfId="201" priority="9" stopIfTrue="1" operator="lessThan">
      <formula>-$C$30</formula>
    </cfRule>
  </conditionalFormatting>
  <conditionalFormatting sqref="AH16:AH46 AI17:AK46">
    <cfRule type="cellIs" dxfId="200" priority="4" stopIfTrue="1" operator="equal">
      <formula>"/"</formula>
    </cfRule>
    <cfRule type="cellIs" dxfId="199" priority="5" stopIfTrue="1" operator="greaterThan">
      <formula>Z$30</formula>
    </cfRule>
    <cfRule type="cellIs" dxfId="198" priority="6" stopIfTrue="1" operator="lessThan">
      <formula>-$C$30</formula>
    </cfRule>
  </conditionalFormatting>
  <conditionalFormatting sqref="AX16:AX46 AY17:BA46">
    <cfRule type="cellIs" dxfId="197" priority="1" stopIfTrue="1" operator="equal">
      <formula>"/"</formula>
    </cfRule>
    <cfRule type="cellIs" dxfId="196" priority="2" stopIfTrue="1" operator="greaterThan">
      <formula>AP$30</formula>
    </cfRule>
    <cfRule type="cellIs" dxfId="195" priority="3" stopIfTrue="1" operator="lessThan">
      <formula>-$C$30</formula>
    </cfRule>
  </conditionalFormatting>
  <pageMargins left="0.75" right="0.75" top="1" bottom="1" header="0.5" footer="0.5"/>
  <drawing r:id="rId1"/>
  <legacyDrawing r:id="rId2"/>
</worksheet>
</file>

<file path=xl/worksheets/sheet12.xml><?xml version="1.0" encoding="utf-8"?>
<worksheet xmlns="http://schemas.openxmlformats.org/spreadsheetml/2006/main" xmlns:r="http://schemas.openxmlformats.org/officeDocument/2006/relationships">
  <dimension ref="A1:AA140"/>
  <sheetViews>
    <sheetView topLeftCell="A85" workbookViewId="0">
      <selection activeCell="C89" sqref="C89"/>
    </sheetView>
  </sheetViews>
  <sheetFormatPr defaultColWidth="9" defaultRowHeight="14.25"/>
  <cols>
    <col min="3" max="3" width="14.5" customWidth="1"/>
    <col min="4" max="4" width="11.625" bestFit="1" customWidth="1"/>
    <col min="5" max="5" width="13.875" customWidth="1"/>
    <col min="7" max="7" width="11.625" bestFit="1" customWidth="1"/>
    <col min="11" max="11" width="11.625" bestFit="1" customWidth="1"/>
  </cols>
  <sheetData>
    <row r="1" spans="1:27" ht="18" customHeight="1">
      <c r="A1" s="454" t="s">
        <v>995</v>
      </c>
      <c r="B1" s="455" t="s">
        <v>1064</v>
      </c>
      <c r="C1" s="455" t="s">
        <v>1091</v>
      </c>
      <c r="D1" s="456"/>
      <c r="E1" s="2118"/>
      <c r="F1" s="2118"/>
      <c r="G1" s="2118"/>
      <c r="H1" s="2118"/>
      <c r="I1" s="315"/>
      <c r="J1" s="315"/>
      <c r="K1" s="315"/>
      <c r="L1" s="457"/>
      <c r="M1" s="457"/>
      <c r="N1" s="457"/>
      <c r="O1" s="457"/>
      <c r="P1" s="457"/>
      <c r="Q1" s="457"/>
      <c r="R1" s="457"/>
      <c r="S1" s="457"/>
      <c r="T1" s="457"/>
      <c r="U1" s="457"/>
      <c r="V1" s="457"/>
      <c r="W1" s="457"/>
      <c r="X1" s="457"/>
      <c r="Y1" s="457"/>
      <c r="Z1" s="457"/>
      <c r="AA1" s="457"/>
    </row>
    <row r="2" spans="1:27">
      <c r="A2" s="165"/>
      <c r="B2" s="398" t="s">
        <v>1092</v>
      </c>
      <c r="C2" s="458" t="s">
        <v>1093</v>
      </c>
      <c r="D2" s="398"/>
      <c r="E2" s="458" t="s">
        <v>999</v>
      </c>
      <c r="F2" s="398"/>
      <c r="G2" s="398"/>
      <c r="H2" s="398"/>
      <c r="I2" s="398"/>
      <c r="J2" s="398"/>
      <c r="K2" s="411"/>
    </row>
    <row r="3" spans="1:27">
      <c r="A3" s="340"/>
      <c r="B3" s="459" t="s">
        <v>1067</v>
      </c>
      <c r="C3" s="337"/>
      <c r="D3" s="337" t="s">
        <v>1094</v>
      </c>
      <c r="E3" s="337"/>
      <c r="F3" s="337"/>
      <c r="G3" s="337"/>
      <c r="H3" s="337"/>
      <c r="I3" s="337"/>
      <c r="J3" s="337"/>
      <c r="K3" s="460"/>
      <c r="L3" s="13"/>
      <c r="M3" s="13"/>
      <c r="N3" s="13"/>
      <c r="O3" s="13"/>
      <c r="P3" s="13"/>
      <c r="Q3" s="13"/>
      <c r="R3" s="13"/>
      <c r="S3" s="13"/>
      <c r="T3" s="13"/>
      <c r="U3" s="13"/>
      <c r="V3" s="13"/>
      <c r="W3" s="13"/>
      <c r="X3" s="13"/>
      <c r="Y3" s="13"/>
      <c r="Z3" s="13"/>
      <c r="AA3" s="13"/>
    </row>
    <row r="4" spans="1:27" ht="15.75">
      <c r="A4" s="340"/>
      <c r="B4" s="347" t="s">
        <v>1002</v>
      </c>
      <c r="C4" s="347" t="s">
        <v>1003</v>
      </c>
      <c r="D4" s="347" t="s">
        <v>1004</v>
      </c>
      <c r="E4" s="347" t="s">
        <v>1569</v>
      </c>
      <c r="F4" s="448" t="s">
        <v>1006</v>
      </c>
      <c r="G4" s="449"/>
      <c r="H4" s="390"/>
      <c r="I4" s="482"/>
      <c r="J4" s="482"/>
      <c r="K4" s="390"/>
      <c r="L4" s="13"/>
      <c r="M4" s="13"/>
      <c r="N4" s="13"/>
      <c r="O4" s="13"/>
      <c r="P4" s="13"/>
      <c r="Q4" s="13"/>
      <c r="R4" s="13"/>
      <c r="S4" s="13"/>
      <c r="T4" s="13"/>
      <c r="U4" s="13"/>
      <c r="V4" s="13"/>
      <c r="W4" s="13"/>
      <c r="X4" s="13"/>
      <c r="Y4" s="13"/>
      <c r="Z4" s="13"/>
      <c r="AA4" s="13"/>
    </row>
    <row r="5" spans="1:27" ht="15">
      <c r="A5" s="340"/>
      <c r="B5" s="347"/>
      <c r="C5" s="347"/>
      <c r="D5" s="347"/>
      <c r="E5" s="347"/>
      <c r="F5" s="448"/>
      <c r="G5" s="449"/>
      <c r="H5" s="390"/>
      <c r="I5" s="482"/>
      <c r="J5" s="482"/>
      <c r="K5" s="390"/>
      <c r="L5" s="13"/>
      <c r="M5" s="13"/>
      <c r="N5" s="13"/>
      <c r="O5" s="13"/>
      <c r="P5" s="13"/>
      <c r="Q5" s="13"/>
      <c r="R5" s="13"/>
      <c r="S5" s="13"/>
      <c r="T5" s="13"/>
      <c r="U5" s="13"/>
      <c r="V5" s="13"/>
      <c r="W5" s="13"/>
      <c r="X5" s="13"/>
      <c r="Y5" s="13"/>
      <c r="Z5" s="13"/>
      <c r="AA5" s="13"/>
    </row>
    <row r="6" spans="1:27" ht="15">
      <c r="A6" s="340"/>
      <c r="B6" s="349">
        <v>0.99447300000000005</v>
      </c>
      <c r="C6" s="349">
        <v>0.99545300000000003</v>
      </c>
      <c r="D6" s="349">
        <v>0.99447300000000005</v>
      </c>
      <c r="E6" s="349">
        <v>0.99545300000000003</v>
      </c>
      <c r="F6" s="349">
        <v>0.99447300000000005</v>
      </c>
      <c r="G6" s="623"/>
      <c r="H6" s="624"/>
      <c r="I6" s="624"/>
      <c r="J6" s="624"/>
      <c r="K6" s="624"/>
      <c r="L6" s="13"/>
      <c r="M6" s="13"/>
      <c r="N6" s="13"/>
      <c r="O6" s="13"/>
      <c r="P6" s="13"/>
      <c r="Q6" s="13"/>
      <c r="R6" s="13"/>
      <c r="S6" s="13"/>
      <c r="T6" s="13"/>
      <c r="U6" s="13"/>
      <c r="V6" s="13"/>
      <c r="W6" s="13"/>
      <c r="X6" s="13"/>
      <c r="Y6" s="13"/>
      <c r="Z6" s="13"/>
      <c r="AA6" s="13"/>
    </row>
    <row r="7" spans="1:27" ht="18.75">
      <c r="A7" s="340"/>
      <c r="B7" s="394" t="s">
        <v>1572</v>
      </c>
      <c r="C7" s="2119">
        <f>STDEV(C6:K6)</f>
        <v>5.6580326380582216E-4</v>
      </c>
      <c r="D7" s="2120"/>
      <c r="E7" s="2120"/>
      <c r="F7" s="2120"/>
      <c r="G7" s="2121"/>
      <c r="H7" s="2121"/>
      <c r="I7" s="2121"/>
      <c r="J7" s="2121"/>
      <c r="K7" s="2122"/>
      <c r="L7" s="13"/>
      <c r="M7" s="13"/>
      <c r="N7" s="13"/>
      <c r="O7" s="13"/>
      <c r="P7" s="13"/>
      <c r="Q7" s="13"/>
      <c r="R7" s="13"/>
      <c r="S7" s="13"/>
      <c r="T7" s="13"/>
      <c r="U7" s="13"/>
      <c r="V7" s="13"/>
      <c r="W7" s="13"/>
      <c r="X7" s="13"/>
      <c r="Y7" s="13"/>
      <c r="Z7" s="13"/>
      <c r="AA7" s="13"/>
    </row>
    <row r="8" spans="1:27">
      <c r="A8" s="340"/>
      <c r="B8" s="463"/>
      <c r="C8" s="463"/>
      <c r="D8" s="463"/>
      <c r="E8" s="463"/>
      <c r="F8" s="463"/>
      <c r="G8" s="463"/>
      <c r="H8" s="463"/>
      <c r="I8" s="463"/>
      <c r="J8" s="463"/>
      <c r="K8" s="464"/>
      <c r="L8" s="13"/>
      <c r="M8" s="13"/>
      <c r="N8" s="13"/>
      <c r="O8" s="13"/>
      <c r="P8" s="13"/>
      <c r="Q8" s="13"/>
      <c r="R8" s="13"/>
      <c r="S8" s="13"/>
      <c r="T8" s="13"/>
      <c r="U8" s="13"/>
      <c r="V8" s="13"/>
      <c r="W8" s="13"/>
      <c r="X8" s="13"/>
      <c r="Y8" s="13"/>
      <c r="Z8" s="13"/>
      <c r="AA8" s="13"/>
    </row>
    <row r="9" spans="1:27" ht="15.75" customHeight="1">
      <c r="A9" s="465" t="s">
        <v>1095</v>
      </c>
      <c r="B9" s="466" t="s">
        <v>1096</v>
      </c>
      <c r="C9" s="28"/>
      <c r="D9" s="28"/>
      <c r="E9" s="28"/>
      <c r="F9" s="28"/>
      <c r="G9" s="28"/>
      <c r="H9" s="28"/>
      <c r="I9" s="28"/>
      <c r="J9" s="28"/>
      <c r="K9" s="410"/>
      <c r="V9" s="13"/>
      <c r="W9" s="13"/>
      <c r="X9" s="13"/>
      <c r="Y9" s="13"/>
      <c r="Z9" s="13"/>
      <c r="AA9" s="13"/>
    </row>
    <row r="10" spans="1:27" ht="15.75" customHeight="1">
      <c r="A10" s="465"/>
      <c r="B10" s="467" t="s">
        <v>1097</v>
      </c>
      <c r="C10" s="467" t="s">
        <v>1098</v>
      </c>
      <c r="D10" s="467" t="s">
        <v>1099</v>
      </c>
      <c r="E10" s="467" t="s">
        <v>1100</v>
      </c>
      <c r="F10" s="467" t="s">
        <v>1101</v>
      </c>
      <c r="G10" s="467" t="s">
        <v>1102</v>
      </c>
      <c r="H10" s="28"/>
      <c r="I10" s="28"/>
      <c r="J10" s="28"/>
      <c r="K10" s="410"/>
      <c r="V10" s="13"/>
      <c r="W10" s="13"/>
      <c r="X10" s="13"/>
      <c r="Y10" s="13"/>
      <c r="Z10" s="13"/>
      <c r="AA10" s="13"/>
    </row>
    <row r="11" spans="1:27" ht="36" customHeight="1">
      <c r="A11" s="465"/>
      <c r="B11" s="7">
        <v>1</v>
      </c>
      <c r="C11" s="468" t="s">
        <v>1103</v>
      </c>
      <c r="D11" s="469">
        <v>2E-3</v>
      </c>
      <c r="E11" s="467" t="s">
        <v>1104</v>
      </c>
      <c r="F11" s="6">
        <v>3</v>
      </c>
      <c r="G11" s="443">
        <f>D11/F11</f>
        <v>6.6666666666666664E-4</v>
      </c>
      <c r="H11" s="28"/>
      <c r="I11" s="28"/>
      <c r="J11" s="28"/>
      <c r="K11" s="410"/>
      <c r="V11" s="13"/>
      <c r="W11" s="13"/>
      <c r="X11" s="13"/>
      <c r="Y11" s="13"/>
      <c r="Z11" s="13"/>
      <c r="AA11" s="13"/>
    </row>
    <row r="12" spans="1:27" ht="48" customHeight="1">
      <c r="A12" s="465"/>
      <c r="B12" s="7">
        <v>2</v>
      </c>
      <c r="C12" s="468" t="s">
        <v>1105</v>
      </c>
      <c r="D12" s="442">
        <v>2.0000000000000001E-4</v>
      </c>
      <c r="E12" s="467" t="s">
        <v>1106</v>
      </c>
      <c r="F12" s="6">
        <v>2</v>
      </c>
      <c r="G12" s="443">
        <f>D12/F12</f>
        <v>1E-4</v>
      </c>
      <c r="H12" s="28"/>
      <c r="I12" s="28"/>
      <c r="J12" s="28"/>
      <c r="K12" s="410"/>
      <c r="V12" s="13"/>
      <c r="W12" s="13"/>
      <c r="X12" s="13"/>
      <c r="Y12" s="13"/>
      <c r="Z12" s="13"/>
      <c r="AA12" s="13"/>
    </row>
    <row r="13" spans="1:27" ht="33.75" customHeight="1">
      <c r="A13" s="465"/>
      <c r="B13" s="7">
        <v>3</v>
      </c>
      <c r="C13" s="468" t="s">
        <v>1107</v>
      </c>
      <c r="D13" s="442">
        <v>5.0000000000000001E-4</v>
      </c>
      <c r="E13" s="467" t="s">
        <v>1104</v>
      </c>
      <c r="F13" s="6"/>
      <c r="G13" s="443">
        <f>D13/SQRT(3)</f>
        <v>2.886751345948129E-4</v>
      </c>
      <c r="H13" s="28"/>
      <c r="I13" s="28"/>
      <c r="J13" s="28"/>
      <c r="K13" s="410"/>
      <c r="V13" s="13"/>
      <c r="W13" s="13"/>
      <c r="X13" s="13"/>
      <c r="Y13" s="13"/>
      <c r="Z13" s="13"/>
      <c r="AA13" s="13"/>
    </row>
    <row r="14" spans="1:27" ht="15.75" customHeight="1">
      <c r="A14" s="465"/>
      <c r="B14" s="467" t="s">
        <v>1108</v>
      </c>
      <c r="C14" s="1969"/>
      <c r="D14" s="1970"/>
      <c r="E14" s="1970"/>
      <c r="F14" s="1970"/>
      <c r="G14" s="1832"/>
      <c r="H14" s="28"/>
      <c r="I14" s="28"/>
      <c r="J14" s="28"/>
      <c r="K14" s="410"/>
      <c r="V14" s="13"/>
      <c r="W14" s="13"/>
      <c r="X14" s="13"/>
      <c r="Y14" s="13"/>
      <c r="Z14" s="13"/>
      <c r="AA14" s="13"/>
    </row>
    <row r="15" spans="1:27">
      <c r="A15" s="340"/>
      <c r="B15" s="470" t="s">
        <v>1109</v>
      </c>
      <c r="C15" s="28"/>
      <c r="D15" s="28"/>
      <c r="E15" s="28"/>
      <c r="F15" s="28"/>
      <c r="G15" s="28"/>
      <c r="H15" s="28"/>
      <c r="I15" s="28"/>
      <c r="J15" s="28"/>
      <c r="K15" s="410"/>
      <c r="V15" s="13"/>
      <c r="W15" s="13"/>
      <c r="X15" s="13"/>
      <c r="Y15" s="13"/>
      <c r="Z15" s="13"/>
      <c r="AA15" s="13"/>
    </row>
    <row r="16" spans="1:27" ht="18.75" customHeight="1">
      <c r="A16" s="340"/>
      <c r="B16" s="471" t="s">
        <v>1060</v>
      </c>
      <c r="C16" s="470"/>
      <c r="D16" s="28"/>
      <c r="E16" s="28"/>
      <c r="F16" s="28"/>
      <c r="G16" s="28"/>
      <c r="H16" s="28"/>
      <c r="I16" s="28"/>
      <c r="J16" s="28"/>
      <c r="K16" s="410"/>
      <c r="V16" s="13"/>
      <c r="W16" s="13"/>
      <c r="X16" s="13"/>
      <c r="Y16" s="13"/>
      <c r="Z16" s="13"/>
      <c r="AA16" s="13"/>
    </row>
    <row r="17" spans="1:27">
      <c r="A17" s="317"/>
      <c r="B17" s="470" t="s">
        <v>1061</v>
      </c>
      <c r="C17" s="28"/>
      <c r="D17" s="28"/>
      <c r="E17" s="28"/>
      <c r="F17" s="28"/>
      <c r="G17" s="28"/>
      <c r="H17" s="28"/>
      <c r="I17" s="28"/>
      <c r="J17" s="28"/>
      <c r="K17" s="410"/>
    </row>
    <row r="18" spans="1:27" ht="15.75" customHeight="1">
      <c r="A18" s="317"/>
      <c r="B18" s="472" t="s">
        <v>1062</v>
      </c>
      <c r="C18" s="392"/>
      <c r="D18" s="391"/>
      <c r="E18" s="392"/>
      <c r="F18" s="391"/>
      <c r="G18" s="393"/>
      <c r="H18" s="390"/>
      <c r="I18" s="390"/>
      <c r="J18" s="390"/>
      <c r="K18" s="473"/>
    </row>
    <row r="19" spans="1:27" ht="15.75" customHeight="1">
      <c r="A19" s="317"/>
      <c r="B19" s="329" t="s">
        <v>1561</v>
      </c>
      <c r="C19" s="392"/>
      <c r="D19" s="391"/>
      <c r="E19" s="392"/>
      <c r="F19" s="391"/>
      <c r="G19" s="393"/>
      <c r="H19" s="390"/>
      <c r="I19" s="390"/>
      <c r="J19" s="390"/>
      <c r="K19" s="473"/>
    </row>
    <row r="20" spans="1:27" ht="15.75" customHeight="1">
      <c r="A20" s="317"/>
      <c r="B20" t="s">
        <v>1562</v>
      </c>
      <c r="C20" s="392"/>
      <c r="D20" s="391"/>
      <c r="E20" s="392"/>
      <c r="F20" s="391"/>
      <c r="G20" s="393"/>
      <c r="H20" s="390"/>
      <c r="I20" s="390"/>
      <c r="J20" s="390"/>
      <c r="K20" s="473"/>
    </row>
    <row r="21" spans="1:27" ht="15.75" customHeight="1">
      <c r="A21" s="317"/>
      <c r="B21" s="472"/>
      <c r="C21" s="392"/>
      <c r="D21" s="391"/>
      <c r="E21" s="392"/>
      <c r="F21" s="391"/>
      <c r="G21" s="393"/>
      <c r="H21" s="390"/>
      <c r="I21" s="390"/>
      <c r="J21" s="390"/>
      <c r="K21" s="473"/>
    </row>
    <row r="22" spans="1:27">
      <c r="A22" s="317"/>
      <c r="B22" s="28" t="s">
        <v>1110</v>
      </c>
      <c r="C22" s="28" t="s">
        <v>1111</v>
      </c>
      <c r="D22" s="28"/>
      <c r="E22" s="28"/>
      <c r="F22" s="28"/>
      <c r="G22" s="28"/>
      <c r="H22" s="28"/>
      <c r="I22" s="28"/>
      <c r="J22" s="28"/>
      <c r="K22" s="410"/>
    </row>
    <row r="23" spans="1:27">
      <c r="A23" s="340"/>
      <c r="B23" s="459" t="s">
        <v>1067</v>
      </c>
      <c r="C23" s="337"/>
      <c r="D23" s="337" t="s">
        <v>1001</v>
      </c>
      <c r="E23" s="337"/>
      <c r="F23" s="337"/>
      <c r="G23" s="337"/>
      <c r="H23" s="337"/>
      <c r="I23" s="337"/>
      <c r="J23" s="337"/>
      <c r="K23" s="460"/>
      <c r="L23" s="13"/>
      <c r="M23" s="13"/>
      <c r="N23" s="13"/>
      <c r="O23" s="13"/>
      <c r="P23" s="13"/>
      <c r="Q23" s="13"/>
      <c r="R23" s="13"/>
      <c r="S23" s="13"/>
      <c r="T23" s="13"/>
      <c r="U23" s="13"/>
      <c r="V23" s="13"/>
      <c r="W23" s="13"/>
      <c r="X23" s="13"/>
      <c r="Y23" s="13"/>
      <c r="Z23" s="13"/>
      <c r="AA23" s="13"/>
    </row>
    <row r="24" spans="1:27" ht="15.75">
      <c r="A24" s="340"/>
      <c r="B24" s="347" t="s">
        <v>1002</v>
      </c>
      <c r="C24" s="347" t="s">
        <v>1003</v>
      </c>
      <c r="D24" s="347" t="s">
        <v>1004</v>
      </c>
      <c r="E24" s="347" t="s">
        <v>1569</v>
      </c>
      <c r="F24" s="448" t="s">
        <v>1006</v>
      </c>
      <c r="G24" s="449"/>
      <c r="H24" s="390"/>
      <c r="I24" s="482"/>
      <c r="J24" s="482"/>
      <c r="K24" s="390"/>
      <c r="L24" s="13"/>
      <c r="M24" s="13"/>
      <c r="N24" s="13"/>
      <c r="O24" s="13"/>
      <c r="P24" s="13"/>
      <c r="Q24" s="13"/>
      <c r="R24" s="13"/>
      <c r="S24" s="13"/>
      <c r="T24" s="13"/>
      <c r="U24" s="13"/>
      <c r="V24" s="13"/>
      <c r="W24" s="13"/>
      <c r="X24" s="13"/>
      <c r="Y24" s="13"/>
      <c r="Z24" s="13"/>
      <c r="AA24" s="13"/>
    </row>
    <row r="25" spans="1:27" ht="15">
      <c r="A25" s="340"/>
      <c r="B25" s="349">
        <v>0.99447300000000005</v>
      </c>
      <c r="C25" s="349">
        <v>0.99545300000000003</v>
      </c>
      <c r="D25" s="349">
        <v>0.99447300000000005</v>
      </c>
      <c r="E25" s="349">
        <v>0.99545300000000003</v>
      </c>
      <c r="F25" s="349">
        <v>0.99447300000000005</v>
      </c>
      <c r="G25" s="623"/>
      <c r="H25" s="624"/>
      <c r="I25" s="624"/>
      <c r="J25" s="624"/>
      <c r="K25" s="624"/>
      <c r="L25" s="13"/>
      <c r="M25" s="13"/>
      <c r="N25" s="13"/>
      <c r="O25" s="13"/>
      <c r="P25" s="13"/>
      <c r="Q25" s="13"/>
      <c r="R25" s="13"/>
      <c r="S25" s="13"/>
      <c r="T25" s="13"/>
      <c r="U25" s="13"/>
      <c r="V25" s="13"/>
      <c r="W25" s="13"/>
      <c r="X25" s="13"/>
      <c r="Y25" s="13"/>
      <c r="Z25" s="13"/>
      <c r="AA25" s="13"/>
    </row>
    <row r="26" spans="1:27" ht="18.75">
      <c r="A26" s="340"/>
      <c r="B26" s="394" t="s">
        <v>1572</v>
      </c>
      <c r="C26" s="2119">
        <f>STDEV(C25:K25)</f>
        <v>5.6580326380582216E-4</v>
      </c>
      <c r="D26" s="2120"/>
      <c r="E26" s="2120"/>
      <c r="F26" s="2120"/>
      <c r="G26" s="2121"/>
      <c r="H26" s="2121"/>
      <c r="I26" s="2121"/>
      <c r="J26" s="2121"/>
      <c r="K26" s="2122"/>
      <c r="L26" s="13"/>
      <c r="M26" s="13"/>
      <c r="N26" s="13"/>
      <c r="O26" s="13"/>
      <c r="P26" s="13"/>
      <c r="Q26" s="13"/>
      <c r="R26" s="13"/>
      <c r="S26" s="13"/>
      <c r="T26" s="13"/>
      <c r="U26" s="13"/>
      <c r="V26" s="13"/>
      <c r="W26" s="13"/>
      <c r="X26" s="13"/>
      <c r="Y26" s="13"/>
      <c r="Z26" s="13"/>
      <c r="AA26" s="13"/>
    </row>
    <row r="27" spans="1:27">
      <c r="A27" s="340"/>
      <c r="B27" s="463"/>
      <c r="C27" s="463"/>
      <c r="D27" s="463"/>
      <c r="E27" s="463"/>
      <c r="F27" s="463"/>
      <c r="G27" s="463"/>
      <c r="H27" s="463"/>
      <c r="I27" s="463"/>
      <c r="J27" s="463"/>
      <c r="K27" s="464"/>
      <c r="L27" s="13"/>
      <c r="M27" s="13"/>
      <c r="N27" s="13"/>
      <c r="O27" s="13"/>
      <c r="P27" s="13"/>
      <c r="Q27" s="13"/>
      <c r="R27" s="13"/>
      <c r="S27" s="13"/>
      <c r="T27" s="13"/>
      <c r="U27" s="13"/>
      <c r="V27" s="13"/>
      <c r="W27" s="13"/>
      <c r="X27" s="13"/>
      <c r="Y27" s="13"/>
      <c r="Z27" s="13"/>
      <c r="AA27" s="13"/>
    </row>
    <row r="28" spans="1:27" ht="15.75" customHeight="1">
      <c r="A28" s="465" t="s">
        <v>1112</v>
      </c>
      <c r="B28" s="466" t="s">
        <v>1008</v>
      </c>
      <c r="C28" s="28"/>
      <c r="D28" s="28"/>
      <c r="E28" s="28"/>
      <c r="F28" s="28"/>
      <c r="G28" s="28"/>
      <c r="H28" s="28"/>
      <c r="I28" s="28"/>
      <c r="J28" s="28"/>
      <c r="K28" s="410"/>
      <c r="V28" s="13"/>
      <c r="W28" s="13"/>
      <c r="X28" s="13"/>
      <c r="Y28" s="13"/>
      <c r="Z28" s="13"/>
      <c r="AA28" s="13"/>
    </row>
    <row r="29" spans="1:27" ht="15.75" customHeight="1">
      <c r="A29" s="465"/>
      <c r="B29" s="467" t="s">
        <v>1049</v>
      </c>
      <c r="C29" s="467" t="s">
        <v>1010</v>
      </c>
      <c r="D29" s="467" t="s">
        <v>1050</v>
      </c>
      <c r="E29" s="467" t="s">
        <v>1113</v>
      </c>
      <c r="F29" s="467" t="s">
        <v>1052</v>
      </c>
      <c r="G29" s="467" t="s">
        <v>1014</v>
      </c>
      <c r="H29" s="28"/>
      <c r="I29" s="28"/>
      <c r="J29" s="28"/>
      <c r="K29" s="410"/>
      <c r="V29" s="13"/>
      <c r="W29" s="13"/>
      <c r="X29" s="13"/>
      <c r="Y29" s="13"/>
      <c r="Z29" s="13"/>
      <c r="AA29" s="13"/>
    </row>
    <row r="30" spans="1:27" ht="36" customHeight="1">
      <c r="A30" s="465"/>
      <c r="B30" s="7">
        <v>1</v>
      </c>
      <c r="C30" s="468" t="s">
        <v>1053</v>
      </c>
      <c r="D30" s="469">
        <v>0.01</v>
      </c>
      <c r="E30" s="467" t="s">
        <v>1054</v>
      </c>
      <c r="F30" s="6">
        <v>3</v>
      </c>
      <c r="G30" s="443">
        <f>D30/F30</f>
        <v>3.3333333333333335E-3</v>
      </c>
      <c r="H30" s="28"/>
      <c r="I30" s="28"/>
      <c r="J30" s="28"/>
      <c r="K30" s="410"/>
      <c r="V30" s="13"/>
      <c r="W30" s="13"/>
      <c r="X30" s="13"/>
      <c r="Y30" s="13"/>
      <c r="Z30" s="13"/>
      <c r="AA30" s="13"/>
    </row>
    <row r="31" spans="1:27" ht="48" customHeight="1">
      <c r="A31" s="465"/>
      <c r="B31" s="7">
        <v>2</v>
      </c>
      <c r="C31" s="468" t="s">
        <v>1055</v>
      </c>
      <c r="D31" s="442">
        <v>1E-3</v>
      </c>
      <c r="E31" s="467" t="s">
        <v>1056</v>
      </c>
      <c r="F31" s="6">
        <v>2</v>
      </c>
      <c r="G31" s="443">
        <f>D31/F31</f>
        <v>5.0000000000000001E-4</v>
      </c>
      <c r="H31" s="28"/>
      <c r="I31" s="28"/>
      <c r="J31" s="28"/>
      <c r="K31" s="410"/>
      <c r="V31" s="13"/>
      <c r="W31" s="13"/>
      <c r="X31" s="13"/>
      <c r="Y31" s="13"/>
      <c r="Z31" s="13"/>
      <c r="AA31" s="13"/>
    </row>
    <row r="32" spans="1:27" ht="33.75" customHeight="1">
      <c r="A32" s="465"/>
      <c r="B32" s="7">
        <v>3</v>
      </c>
      <c r="C32" s="468" t="s">
        <v>1057</v>
      </c>
      <c r="D32" s="442">
        <v>5.0000000000000001E-4</v>
      </c>
      <c r="E32" s="467" t="s">
        <v>1054</v>
      </c>
      <c r="F32" s="6"/>
      <c r="G32" s="443">
        <f>D32/SQRT(3)</f>
        <v>2.886751345948129E-4</v>
      </c>
      <c r="H32" s="28"/>
      <c r="I32" s="28"/>
      <c r="J32" s="28"/>
      <c r="K32" s="410"/>
      <c r="V32" s="13"/>
      <c r="W32" s="13"/>
      <c r="X32" s="13"/>
      <c r="Y32" s="13"/>
      <c r="Z32" s="13"/>
      <c r="AA32" s="13"/>
    </row>
    <row r="33" spans="1:27" ht="15.75" customHeight="1">
      <c r="A33" s="465"/>
      <c r="B33" s="467" t="s">
        <v>1058</v>
      </c>
      <c r="C33" s="1969"/>
      <c r="D33" s="1970"/>
      <c r="E33" s="1970"/>
      <c r="F33" s="1970"/>
      <c r="G33" s="1832"/>
      <c r="H33" s="28"/>
      <c r="I33" s="28"/>
      <c r="J33" s="28"/>
      <c r="K33" s="410"/>
      <c r="V33" s="13"/>
      <c r="W33" s="13"/>
      <c r="X33" s="13"/>
      <c r="Y33" s="13"/>
      <c r="Z33" s="13"/>
      <c r="AA33" s="13"/>
    </row>
    <row r="34" spans="1:27">
      <c r="A34" s="340"/>
      <c r="B34" s="470" t="s">
        <v>1059</v>
      </c>
      <c r="C34" s="28"/>
      <c r="D34" s="28"/>
      <c r="E34" s="28"/>
      <c r="F34" s="28"/>
      <c r="G34" s="28"/>
      <c r="H34" s="28"/>
      <c r="I34" s="28"/>
      <c r="J34" s="28"/>
      <c r="K34" s="410"/>
      <c r="V34" s="13"/>
      <c r="W34" s="13"/>
      <c r="X34" s="13"/>
      <c r="Y34" s="13"/>
      <c r="Z34" s="13"/>
      <c r="AA34" s="13"/>
    </row>
    <row r="35" spans="1:27" ht="18.75" customHeight="1">
      <c r="A35" s="340"/>
      <c r="B35" s="471" t="s">
        <v>1060</v>
      </c>
      <c r="C35" s="470"/>
      <c r="D35" s="28"/>
      <c r="E35" s="28"/>
      <c r="F35" s="28"/>
      <c r="G35" s="28"/>
      <c r="H35" s="28"/>
      <c r="I35" s="28"/>
      <c r="J35" s="28"/>
      <c r="K35" s="410"/>
      <c r="V35" s="13"/>
      <c r="W35" s="13"/>
      <c r="X35" s="13"/>
      <c r="Y35" s="13"/>
      <c r="Z35" s="13"/>
      <c r="AA35" s="13"/>
    </row>
    <row r="36" spans="1:27">
      <c r="A36" s="317"/>
      <c r="B36" s="470" t="s">
        <v>1061</v>
      </c>
      <c r="C36" s="28"/>
      <c r="D36" s="28"/>
      <c r="E36" s="28"/>
      <c r="F36" s="28"/>
      <c r="G36" s="28"/>
      <c r="H36" s="28"/>
      <c r="I36" s="28"/>
      <c r="J36" s="28"/>
      <c r="K36" s="410"/>
    </row>
    <row r="37" spans="1:27" ht="15.75" customHeight="1">
      <c r="A37" s="317"/>
      <c r="B37" s="472" t="s">
        <v>1062</v>
      </c>
      <c r="C37" s="392"/>
      <c r="D37" s="391"/>
      <c r="E37" s="392"/>
      <c r="F37" s="391"/>
      <c r="G37" s="393"/>
      <c r="H37" s="390"/>
      <c r="I37" s="390"/>
      <c r="J37" s="390"/>
      <c r="K37" s="473"/>
    </row>
    <row r="38" spans="1:27" ht="15.75" customHeight="1">
      <c r="A38" s="317"/>
      <c r="B38" s="329" t="s">
        <v>1561</v>
      </c>
      <c r="C38" s="392"/>
      <c r="D38" s="391"/>
      <c r="E38" s="392"/>
      <c r="F38" s="391"/>
      <c r="G38" s="393"/>
      <c r="H38" s="390"/>
      <c r="I38" s="390"/>
      <c r="J38" s="390"/>
      <c r="K38" s="473"/>
    </row>
    <row r="39" spans="1:27" ht="15.75" customHeight="1">
      <c r="A39" s="317"/>
      <c r="B39" t="s">
        <v>1562</v>
      </c>
      <c r="C39" s="392"/>
      <c r="D39" s="391"/>
      <c r="E39" s="392"/>
      <c r="F39" s="391"/>
      <c r="G39" s="393"/>
      <c r="H39" s="390"/>
      <c r="I39" s="390"/>
      <c r="J39" s="390"/>
      <c r="K39" s="473"/>
    </row>
    <row r="40" spans="1:27">
      <c r="A40" s="317"/>
      <c r="B40" s="28"/>
      <c r="C40" s="28"/>
      <c r="D40" s="28"/>
      <c r="E40" s="28"/>
      <c r="F40" s="28"/>
      <c r="G40" s="28"/>
      <c r="H40" s="28"/>
      <c r="I40" s="28"/>
      <c r="J40" s="28"/>
      <c r="K40" s="410"/>
    </row>
    <row r="41" spans="1:27">
      <c r="A41" s="317"/>
      <c r="B41" s="28" t="s">
        <v>998</v>
      </c>
      <c r="C41" s="28" t="s">
        <v>1114</v>
      </c>
      <c r="D41" s="28"/>
      <c r="E41" s="28"/>
      <c r="F41" s="28"/>
      <c r="G41" s="28"/>
      <c r="H41" s="28"/>
      <c r="I41" s="28"/>
      <c r="J41" s="28"/>
      <c r="K41" s="410"/>
    </row>
    <row r="42" spans="1:27">
      <c r="A42" s="340"/>
      <c r="B42" s="459" t="s">
        <v>1067</v>
      </c>
      <c r="C42" s="337"/>
      <c r="D42" s="337" t="s">
        <v>1001</v>
      </c>
      <c r="E42" s="337"/>
      <c r="F42" s="337"/>
      <c r="G42" s="337"/>
      <c r="H42" s="337"/>
      <c r="I42" s="337"/>
      <c r="J42" s="337"/>
      <c r="K42" s="460"/>
      <c r="L42" s="13"/>
      <c r="M42" s="13"/>
      <c r="N42" s="13"/>
      <c r="O42" s="13"/>
      <c r="P42" s="13"/>
      <c r="Q42" s="13"/>
      <c r="R42" s="13"/>
      <c r="S42" s="13"/>
      <c r="T42" s="13"/>
      <c r="U42" s="13"/>
      <c r="V42" s="13"/>
      <c r="W42" s="13"/>
      <c r="X42" s="13"/>
      <c r="Y42" s="13"/>
      <c r="Z42" s="13"/>
      <c r="AA42" s="13"/>
    </row>
    <row r="43" spans="1:27" ht="15.75">
      <c r="A43" s="340"/>
      <c r="B43" s="347" t="s">
        <v>1002</v>
      </c>
      <c r="C43" s="347" t="s">
        <v>1003</v>
      </c>
      <c r="D43" s="347" t="s">
        <v>1004</v>
      </c>
      <c r="E43" s="347" t="s">
        <v>1569</v>
      </c>
      <c r="F43" s="448" t="s">
        <v>1006</v>
      </c>
      <c r="G43" s="449"/>
      <c r="H43" s="390"/>
      <c r="I43" s="482"/>
      <c r="J43" s="482"/>
      <c r="K43" s="390"/>
      <c r="L43" s="13"/>
      <c r="M43" s="13"/>
      <c r="N43" s="13"/>
      <c r="O43" s="13"/>
      <c r="P43" s="13"/>
      <c r="Q43" s="13"/>
      <c r="R43" s="13"/>
      <c r="S43" s="13"/>
      <c r="T43" s="13"/>
      <c r="U43" s="13"/>
      <c r="V43" s="13"/>
      <c r="W43" s="13"/>
      <c r="X43" s="13"/>
      <c r="Y43" s="13"/>
      <c r="Z43" s="13"/>
      <c r="AA43" s="13"/>
    </row>
    <row r="44" spans="1:27" ht="15">
      <c r="A44" s="340"/>
      <c r="B44" s="349">
        <v>0.99447300000000005</v>
      </c>
      <c r="C44" s="349">
        <v>0.99545300000000003</v>
      </c>
      <c r="D44" s="349">
        <v>0.99447300000000005</v>
      </c>
      <c r="E44" s="349">
        <v>0.99545300000000003</v>
      </c>
      <c r="F44" s="349">
        <v>0.99447300000000005</v>
      </c>
      <c r="G44" s="623"/>
      <c r="H44" s="624"/>
      <c r="I44" s="624"/>
      <c r="J44" s="624"/>
      <c r="K44" s="624"/>
      <c r="L44" s="13"/>
      <c r="M44" s="13"/>
      <c r="N44" s="13"/>
      <c r="O44" s="13"/>
      <c r="P44" s="13"/>
      <c r="Q44" s="13"/>
      <c r="R44" s="13"/>
      <c r="S44" s="13"/>
      <c r="T44" s="13"/>
      <c r="U44" s="13"/>
      <c r="V44" s="13"/>
      <c r="W44" s="13"/>
      <c r="X44" s="13"/>
      <c r="Y44" s="13"/>
      <c r="Z44" s="13"/>
      <c r="AA44" s="13"/>
    </row>
    <row r="45" spans="1:27" ht="18.75">
      <c r="A45" s="340"/>
      <c r="B45" s="394" t="s">
        <v>1572</v>
      </c>
      <c r="C45" s="2119">
        <f>STDEV(C44:K44)</f>
        <v>5.6580326380582216E-4</v>
      </c>
      <c r="D45" s="2120"/>
      <c r="E45" s="2120"/>
      <c r="F45" s="2120"/>
      <c r="G45" s="2121"/>
      <c r="H45" s="2121"/>
      <c r="I45" s="2121"/>
      <c r="J45" s="2121"/>
      <c r="K45" s="2122"/>
      <c r="L45" s="13"/>
      <c r="M45" s="13"/>
      <c r="N45" s="13"/>
      <c r="O45" s="13"/>
      <c r="P45" s="13"/>
      <c r="Q45" s="13"/>
      <c r="R45" s="13"/>
      <c r="S45" s="13"/>
      <c r="T45" s="13"/>
      <c r="U45" s="13"/>
      <c r="V45" s="13"/>
      <c r="W45" s="13"/>
      <c r="X45" s="13"/>
      <c r="Y45" s="13"/>
      <c r="Z45" s="13"/>
      <c r="AA45" s="13"/>
    </row>
    <row r="46" spans="1:27">
      <c r="A46" s="340"/>
      <c r="B46" s="463"/>
      <c r="C46" s="463"/>
      <c r="D46" s="463"/>
      <c r="E46" s="463"/>
      <c r="F46" s="463"/>
      <c r="G46" s="463"/>
      <c r="H46" s="463"/>
      <c r="I46" s="463"/>
      <c r="J46" s="463"/>
      <c r="K46" s="464"/>
      <c r="L46" s="13"/>
      <c r="M46" s="13"/>
      <c r="N46" s="13"/>
      <c r="O46" s="13"/>
      <c r="P46" s="13"/>
      <c r="Q46" s="13"/>
      <c r="R46" s="13"/>
      <c r="S46" s="13"/>
      <c r="T46" s="13"/>
      <c r="U46" s="13"/>
      <c r="V46" s="13"/>
      <c r="W46" s="13"/>
      <c r="X46" s="13"/>
      <c r="Y46" s="13"/>
      <c r="Z46" s="13"/>
      <c r="AA46" s="13"/>
    </row>
    <row r="47" spans="1:27" ht="15.75" customHeight="1">
      <c r="A47" s="465" t="s">
        <v>1007</v>
      </c>
      <c r="B47" s="466" t="s">
        <v>1008</v>
      </c>
      <c r="C47" s="28"/>
      <c r="D47" s="28"/>
      <c r="E47" s="28"/>
      <c r="F47" s="28"/>
      <c r="G47" s="28"/>
      <c r="H47" s="28"/>
      <c r="I47" s="28"/>
      <c r="J47" s="28"/>
      <c r="K47" s="410"/>
      <c r="V47" s="13"/>
      <c r="W47" s="13"/>
      <c r="X47" s="13"/>
      <c r="Y47" s="13"/>
      <c r="Z47" s="13"/>
      <c r="AA47" s="13"/>
    </row>
    <row r="48" spans="1:27" ht="15.75" customHeight="1">
      <c r="A48" s="465"/>
      <c r="B48" s="467" t="s">
        <v>1049</v>
      </c>
      <c r="C48" s="467" t="s">
        <v>1010</v>
      </c>
      <c r="D48" s="467" t="s">
        <v>1050</v>
      </c>
      <c r="E48" s="467" t="s">
        <v>1051</v>
      </c>
      <c r="F48" s="467" t="s">
        <v>1052</v>
      </c>
      <c r="G48" s="467" t="s">
        <v>1014</v>
      </c>
      <c r="H48" s="28"/>
      <c r="I48" s="28"/>
      <c r="J48" s="28"/>
      <c r="K48" s="410"/>
      <c r="V48" s="13"/>
      <c r="W48" s="13"/>
      <c r="X48" s="13"/>
      <c r="Y48" s="13"/>
      <c r="Z48" s="13"/>
      <c r="AA48" s="13"/>
    </row>
    <row r="49" spans="1:27" ht="36" customHeight="1">
      <c r="A49" s="465"/>
      <c r="B49" s="7">
        <v>1</v>
      </c>
      <c r="C49" s="468" t="s">
        <v>1053</v>
      </c>
      <c r="D49" s="469">
        <v>0.02</v>
      </c>
      <c r="E49" s="467" t="s">
        <v>1054</v>
      </c>
      <c r="F49" s="6">
        <v>3</v>
      </c>
      <c r="G49" s="443">
        <f>D49/F49</f>
        <v>6.6666666666666671E-3</v>
      </c>
      <c r="H49" s="28"/>
      <c r="I49" s="28"/>
      <c r="J49" s="28"/>
      <c r="K49" s="410"/>
      <c r="V49" s="13"/>
      <c r="W49" s="13"/>
      <c r="X49" s="13"/>
      <c r="Y49" s="13"/>
      <c r="Z49" s="13"/>
      <c r="AA49" s="13"/>
    </row>
    <row r="50" spans="1:27" ht="48" customHeight="1">
      <c r="A50" s="465"/>
      <c r="B50" s="7">
        <v>2</v>
      </c>
      <c r="C50" s="468" t="s">
        <v>1055</v>
      </c>
      <c r="D50" s="442">
        <v>1E-3</v>
      </c>
      <c r="E50" s="467" t="s">
        <v>1056</v>
      </c>
      <c r="F50" s="6">
        <v>2</v>
      </c>
      <c r="G50" s="443">
        <f>D50/F50</f>
        <v>5.0000000000000001E-4</v>
      </c>
      <c r="H50" s="28"/>
      <c r="I50" s="28"/>
      <c r="J50" s="28"/>
      <c r="K50" s="410"/>
      <c r="V50" s="13"/>
      <c r="W50" s="13"/>
      <c r="X50" s="13"/>
      <c r="Y50" s="13"/>
      <c r="Z50" s="13"/>
      <c r="AA50" s="13"/>
    </row>
    <row r="51" spans="1:27" ht="33.75" customHeight="1">
      <c r="A51" s="465"/>
      <c r="B51" s="7">
        <v>3</v>
      </c>
      <c r="C51" s="468" t="s">
        <v>1057</v>
      </c>
      <c r="D51" s="442">
        <v>5.0000000000000001E-4</v>
      </c>
      <c r="E51" s="467" t="s">
        <v>1054</v>
      </c>
      <c r="F51" s="6"/>
      <c r="G51" s="443">
        <f>D51/SQRT(3)</f>
        <v>2.886751345948129E-4</v>
      </c>
      <c r="H51" s="28"/>
      <c r="I51" s="28"/>
      <c r="J51" s="28"/>
      <c r="K51" s="410"/>
      <c r="V51" s="13"/>
      <c r="W51" s="13"/>
      <c r="X51" s="13"/>
      <c r="Y51" s="13"/>
      <c r="Z51" s="13"/>
      <c r="AA51" s="13"/>
    </row>
    <row r="52" spans="1:27" ht="15.75" customHeight="1">
      <c r="A52" s="465"/>
      <c r="B52" s="467" t="s">
        <v>1058</v>
      </c>
      <c r="C52" s="1969"/>
      <c r="D52" s="1970"/>
      <c r="E52" s="1970"/>
      <c r="F52" s="1970"/>
      <c r="G52" s="1832"/>
      <c r="H52" s="28"/>
      <c r="I52" s="28"/>
      <c r="J52" s="28"/>
      <c r="K52" s="410"/>
      <c r="V52" s="13"/>
      <c r="W52" s="13"/>
      <c r="X52" s="13"/>
      <c r="Y52" s="13"/>
      <c r="Z52" s="13"/>
      <c r="AA52" s="13"/>
    </row>
    <row r="53" spans="1:27">
      <c r="A53" s="340"/>
      <c r="B53" s="470" t="s">
        <v>1059</v>
      </c>
      <c r="C53" s="28"/>
      <c r="D53" s="28"/>
      <c r="E53" s="28"/>
      <c r="F53" s="28"/>
      <c r="G53" s="28"/>
      <c r="H53" s="28"/>
      <c r="I53" s="28"/>
      <c r="J53" s="28"/>
      <c r="K53" s="410"/>
      <c r="V53" s="13"/>
      <c r="W53" s="13"/>
      <c r="X53" s="13"/>
      <c r="Y53" s="13"/>
      <c r="Z53" s="13"/>
      <c r="AA53" s="13"/>
    </row>
    <row r="54" spans="1:27" ht="18.75" customHeight="1">
      <c r="A54" s="340"/>
      <c r="B54" s="471" t="s">
        <v>1060</v>
      </c>
      <c r="C54" s="470"/>
      <c r="D54" s="28"/>
      <c r="E54" s="28"/>
      <c r="F54" s="28"/>
      <c r="G54" s="28"/>
      <c r="H54" s="28"/>
      <c r="I54" s="28"/>
      <c r="J54" s="28"/>
      <c r="K54" s="410"/>
      <c r="V54" s="13"/>
      <c r="W54" s="13"/>
      <c r="X54" s="13"/>
      <c r="Y54" s="13"/>
      <c r="Z54" s="13"/>
      <c r="AA54" s="13"/>
    </row>
    <row r="55" spans="1:27">
      <c r="A55" s="317"/>
      <c r="B55" s="470" t="s">
        <v>1061</v>
      </c>
      <c r="C55" s="28"/>
      <c r="D55" s="28"/>
      <c r="E55" s="28"/>
      <c r="F55" s="28"/>
      <c r="G55" s="28"/>
      <c r="H55" s="28"/>
      <c r="I55" s="28"/>
      <c r="J55" s="28"/>
      <c r="K55" s="410"/>
    </row>
    <row r="56" spans="1:27" ht="15.75" customHeight="1">
      <c r="A56" s="317"/>
      <c r="B56" s="472" t="s">
        <v>1062</v>
      </c>
      <c r="C56" s="392"/>
      <c r="D56" s="391"/>
      <c r="E56" s="392"/>
      <c r="F56" s="391"/>
      <c r="G56" s="393"/>
      <c r="H56" s="390"/>
      <c r="I56" s="390"/>
      <c r="J56" s="390"/>
      <c r="K56" s="473"/>
    </row>
    <row r="57" spans="1:27" ht="15.75" customHeight="1">
      <c r="A57" s="317"/>
      <c r="B57" s="329" t="s">
        <v>1561</v>
      </c>
      <c r="C57" s="392"/>
      <c r="D57" s="391"/>
      <c r="E57" s="392"/>
      <c r="F57" s="391"/>
      <c r="G57" s="393"/>
      <c r="H57" s="390"/>
      <c r="I57" s="390"/>
      <c r="J57" s="390"/>
      <c r="K57" s="473"/>
    </row>
    <row r="58" spans="1:27" ht="15.75" customHeight="1">
      <c r="A58" s="317"/>
      <c r="B58" t="s">
        <v>1562</v>
      </c>
      <c r="C58" s="392"/>
      <c r="D58" s="391"/>
      <c r="E58" s="392"/>
      <c r="F58" s="391"/>
      <c r="G58" s="393"/>
      <c r="H58" s="390"/>
      <c r="I58" s="390"/>
      <c r="J58" s="390"/>
      <c r="K58" s="473"/>
    </row>
    <row r="59" spans="1:27" ht="15.75" customHeight="1">
      <c r="A59" s="317"/>
      <c r="B59" s="472"/>
      <c r="C59" s="392"/>
      <c r="D59" s="391"/>
      <c r="E59" s="392"/>
      <c r="F59" s="391"/>
      <c r="G59" s="393"/>
      <c r="H59" s="390"/>
      <c r="I59" s="390"/>
      <c r="J59" s="390"/>
      <c r="K59" s="473"/>
    </row>
    <row r="60" spans="1:27">
      <c r="A60" s="317"/>
      <c r="B60" s="28" t="s">
        <v>998</v>
      </c>
      <c r="C60" s="28" t="s">
        <v>1114</v>
      </c>
      <c r="D60" s="28"/>
      <c r="E60" s="28"/>
      <c r="F60" s="28"/>
      <c r="G60" s="28"/>
      <c r="H60" s="28"/>
      <c r="I60" s="28"/>
      <c r="J60" s="28"/>
      <c r="K60" s="410"/>
    </row>
    <row r="61" spans="1:27">
      <c r="A61" s="340"/>
      <c r="B61" s="459" t="s">
        <v>1067</v>
      </c>
      <c r="C61" s="337"/>
      <c r="D61" s="337" t="s">
        <v>1001</v>
      </c>
      <c r="E61" s="337"/>
      <c r="F61" s="337"/>
      <c r="G61" s="337"/>
      <c r="H61" s="337"/>
      <c r="I61" s="337"/>
      <c r="J61" s="337"/>
      <c r="K61" s="460"/>
      <c r="L61" s="13"/>
      <c r="M61" s="13"/>
      <c r="N61" s="13"/>
      <c r="O61" s="13"/>
      <c r="P61" s="13"/>
      <c r="Q61" s="13"/>
      <c r="R61" s="13"/>
      <c r="S61" s="13"/>
      <c r="T61" s="13"/>
      <c r="U61" s="13"/>
      <c r="V61" s="13"/>
      <c r="W61" s="13"/>
      <c r="X61" s="13"/>
      <c r="Y61" s="13"/>
      <c r="Z61" s="13"/>
      <c r="AA61" s="13"/>
    </row>
    <row r="62" spans="1:27" ht="15.75">
      <c r="A62" s="340"/>
      <c r="B62" s="347" t="s">
        <v>1002</v>
      </c>
      <c r="C62" s="347" t="s">
        <v>1003</v>
      </c>
      <c r="D62" s="347" t="s">
        <v>1004</v>
      </c>
      <c r="E62" s="347" t="s">
        <v>1569</v>
      </c>
      <c r="F62" s="448" t="s">
        <v>1006</v>
      </c>
      <c r="G62" s="449"/>
      <c r="H62" s="390"/>
      <c r="I62" s="482"/>
      <c r="J62" s="482"/>
      <c r="K62" s="390"/>
      <c r="L62" s="13"/>
      <c r="M62" s="13"/>
      <c r="N62" s="13"/>
      <c r="O62" s="13"/>
      <c r="P62" s="13"/>
      <c r="Q62" s="13"/>
      <c r="R62" s="13"/>
      <c r="S62" s="13"/>
      <c r="T62" s="13"/>
      <c r="U62" s="13"/>
      <c r="V62" s="13"/>
      <c r="W62" s="13"/>
      <c r="X62" s="13"/>
      <c r="Y62" s="13"/>
      <c r="Z62" s="13"/>
      <c r="AA62" s="13"/>
    </row>
    <row r="63" spans="1:27" ht="15">
      <c r="A63" s="340"/>
      <c r="B63" s="349">
        <v>0.99447300000000005</v>
      </c>
      <c r="C63" s="349">
        <v>0.99545300000000003</v>
      </c>
      <c r="D63" s="349">
        <v>0.99447300000000005</v>
      </c>
      <c r="E63" s="349">
        <v>0.99545300000000003</v>
      </c>
      <c r="F63" s="349">
        <v>0.99447300000000005</v>
      </c>
      <c r="G63" s="623"/>
      <c r="H63" s="624"/>
      <c r="I63" s="624"/>
      <c r="J63" s="624"/>
      <c r="K63" s="624"/>
      <c r="L63" s="13"/>
      <c r="M63" s="13"/>
      <c r="N63" s="13"/>
      <c r="O63" s="13"/>
      <c r="P63" s="13"/>
      <c r="Q63" s="13"/>
      <c r="R63" s="13"/>
      <c r="S63" s="13"/>
      <c r="T63" s="13"/>
      <c r="U63" s="13"/>
      <c r="V63" s="13"/>
      <c r="W63" s="13"/>
      <c r="X63" s="13"/>
      <c r="Y63" s="13"/>
      <c r="Z63" s="13"/>
      <c r="AA63" s="13"/>
    </row>
    <row r="64" spans="1:27" ht="18.75">
      <c r="A64" s="340"/>
      <c r="B64" s="394" t="s">
        <v>1573</v>
      </c>
      <c r="C64" s="2119">
        <f>STDEV(C63:K63)</f>
        <v>5.6580326380582216E-4</v>
      </c>
      <c r="D64" s="2120"/>
      <c r="E64" s="2120"/>
      <c r="F64" s="2120"/>
      <c r="G64" s="2121"/>
      <c r="H64" s="2121"/>
      <c r="I64" s="2121"/>
      <c r="J64" s="2121"/>
      <c r="K64" s="2122"/>
      <c r="L64" s="13"/>
      <c r="M64" s="13"/>
      <c r="N64" s="13"/>
      <c r="O64" s="13"/>
      <c r="P64" s="13"/>
      <c r="Q64" s="13"/>
      <c r="R64" s="13"/>
      <c r="S64" s="13"/>
      <c r="T64" s="13"/>
      <c r="U64" s="13"/>
      <c r="V64" s="13"/>
      <c r="W64" s="13"/>
      <c r="X64" s="13"/>
      <c r="Y64" s="13"/>
      <c r="Z64" s="13"/>
      <c r="AA64" s="13"/>
    </row>
    <row r="65" spans="1:27">
      <c r="A65" s="340"/>
      <c r="B65" s="463"/>
      <c r="C65" s="463"/>
      <c r="D65" s="463"/>
      <c r="E65" s="463"/>
      <c r="F65" s="463"/>
      <c r="G65" s="463"/>
      <c r="H65" s="463"/>
      <c r="I65" s="463"/>
      <c r="J65" s="463"/>
      <c r="K65" s="464"/>
      <c r="L65" s="13"/>
      <c r="M65" s="13"/>
      <c r="N65" s="13"/>
      <c r="O65" s="13"/>
      <c r="P65" s="13"/>
      <c r="Q65" s="13"/>
      <c r="R65" s="13"/>
      <c r="S65" s="13"/>
      <c r="T65" s="13"/>
      <c r="U65" s="13"/>
      <c r="V65" s="13"/>
      <c r="W65" s="13"/>
      <c r="X65" s="13"/>
      <c r="Y65" s="13"/>
      <c r="Z65" s="13"/>
      <c r="AA65" s="13"/>
    </row>
    <row r="66" spans="1:27" ht="15.75" customHeight="1">
      <c r="A66" s="465" t="s">
        <v>1007</v>
      </c>
      <c r="B66" s="466" t="s">
        <v>1008</v>
      </c>
      <c r="C66" s="28"/>
      <c r="D66" s="28"/>
      <c r="E66" s="28"/>
      <c r="F66" s="28"/>
      <c r="G66" s="28"/>
      <c r="H66" s="28"/>
      <c r="I66" s="28"/>
      <c r="J66" s="28"/>
      <c r="K66" s="410"/>
      <c r="V66" s="13"/>
      <c r="W66" s="13"/>
      <c r="X66" s="13"/>
      <c r="Y66" s="13"/>
      <c r="Z66" s="13"/>
      <c r="AA66" s="13"/>
    </row>
    <row r="67" spans="1:27" ht="15.75" customHeight="1">
      <c r="A67" s="465"/>
      <c r="B67" s="467" t="s">
        <v>1049</v>
      </c>
      <c r="C67" s="467" t="s">
        <v>1010</v>
      </c>
      <c r="D67" s="467" t="s">
        <v>1050</v>
      </c>
      <c r="E67" s="467" t="s">
        <v>1051</v>
      </c>
      <c r="F67" s="467" t="s">
        <v>1052</v>
      </c>
      <c r="G67" s="467" t="s">
        <v>1014</v>
      </c>
      <c r="H67" s="28"/>
      <c r="I67" s="28"/>
      <c r="J67" s="28"/>
      <c r="K67" s="410"/>
      <c r="V67" s="13"/>
      <c r="W67" s="13"/>
      <c r="X67" s="13"/>
      <c r="Y67" s="13"/>
      <c r="Z67" s="13"/>
      <c r="AA67" s="13"/>
    </row>
    <row r="68" spans="1:27" ht="36" customHeight="1">
      <c r="A68" s="465"/>
      <c r="B68" s="7">
        <v>1</v>
      </c>
      <c r="C68" s="468" t="s">
        <v>1053</v>
      </c>
      <c r="D68" s="469">
        <v>0.02</v>
      </c>
      <c r="E68" s="467" t="s">
        <v>1054</v>
      </c>
      <c r="F68" s="6">
        <v>3</v>
      </c>
      <c r="G68" s="443">
        <f>D68/F68</f>
        <v>6.6666666666666671E-3</v>
      </c>
      <c r="H68" s="28"/>
      <c r="I68" s="28"/>
      <c r="J68" s="28"/>
      <c r="K68" s="410"/>
      <c r="V68" s="13"/>
      <c r="W68" s="13"/>
      <c r="X68" s="13"/>
      <c r="Y68" s="13"/>
      <c r="Z68" s="13"/>
      <c r="AA68" s="13"/>
    </row>
    <row r="69" spans="1:27" ht="48" customHeight="1">
      <c r="A69" s="465"/>
      <c r="B69" s="7">
        <v>2</v>
      </c>
      <c r="C69" s="468" t="s">
        <v>1055</v>
      </c>
      <c r="D69" s="442">
        <v>1E-3</v>
      </c>
      <c r="E69" s="467" t="s">
        <v>1056</v>
      </c>
      <c r="F69" s="6">
        <v>2</v>
      </c>
      <c r="G69" s="443">
        <f>D69/F69</f>
        <v>5.0000000000000001E-4</v>
      </c>
      <c r="H69" s="28"/>
      <c r="I69" s="28"/>
      <c r="J69" s="28"/>
      <c r="K69" s="410"/>
      <c r="V69" s="13"/>
      <c r="W69" s="13"/>
      <c r="X69" s="13"/>
      <c r="Y69" s="13"/>
      <c r="Z69" s="13"/>
      <c r="AA69" s="13"/>
    </row>
    <row r="70" spans="1:27" ht="33.75" customHeight="1">
      <c r="A70" s="465"/>
      <c r="B70" s="7">
        <v>3</v>
      </c>
      <c r="C70" s="468" t="s">
        <v>1057</v>
      </c>
      <c r="D70" s="442">
        <v>5.0000000000000001E-4</v>
      </c>
      <c r="E70" s="467" t="s">
        <v>1054</v>
      </c>
      <c r="F70" s="6"/>
      <c r="G70" s="443">
        <f>D70/SQRT(3)</f>
        <v>2.886751345948129E-4</v>
      </c>
      <c r="H70" s="28"/>
      <c r="I70" s="28"/>
      <c r="J70" s="28"/>
      <c r="K70" s="410"/>
      <c r="V70" s="13"/>
      <c r="W70" s="13"/>
      <c r="X70" s="13"/>
      <c r="Y70" s="13"/>
      <c r="Z70" s="13"/>
      <c r="AA70" s="13"/>
    </row>
    <row r="71" spans="1:27" ht="15.75" customHeight="1">
      <c r="A71" s="465"/>
      <c r="B71" s="467" t="s">
        <v>1058</v>
      </c>
      <c r="C71" s="1969"/>
      <c r="D71" s="1970"/>
      <c r="E71" s="1970"/>
      <c r="F71" s="1970"/>
      <c r="G71" s="1832"/>
      <c r="H71" s="28"/>
      <c r="I71" s="28"/>
      <c r="J71" s="28"/>
      <c r="K71" s="410"/>
      <c r="V71" s="13"/>
      <c r="W71" s="13"/>
      <c r="X71" s="13"/>
      <c r="Y71" s="13"/>
      <c r="Z71" s="13"/>
      <c r="AA71" s="13"/>
    </row>
    <row r="72" spans="1:27">
      <c r="A72" s="340"/>
      <c r="B72" s="470" t="s">
        <v>1059</v>
      </c>
      <c r="C72" s="28"/>
      <c r="D72" s="28"/>
      <c r="E72" s="28"/>
      <c r="F72" s="28"/>
      <c r="G72" s="28"/>
      <c r="H72" s="28"/>
      <c r="I72" s="28"/>
      <c r="J72" s="28"/>
      <c r="K72" s="410"/>
      <c r="V72" s="13"/>
      <c r="W72" s="13"/>
      <c r="X72" s="13"/>
      <c r="Y72" s="13"/>
      <c r="Z72" s="13"/>
      <c r="AA72" s="13"/>
    </row>
    <row r="73" spans="1:27" ht="18.75" customHeight="1">
      <c r="A73" s="340"/>
      <c r="B73" s="471" t="s">
        <v>1060</v>
      </c>
      <c r="C73" s="470"/>
      <c r="D73" s="28"/>
      <c r="E73" s="28"/>
      <c r="F73" s="28"/>
      <c r="G73" s="28"/>
      <c r="H73" s="28"/>
      <c r="I73" s="28"/>
      <c r="J73" s="28"/>
      <c r="K73" s="410"/>
      <c r="V73" s="13"/>
      <c r="W73" s="13"/>
      <c r="X73" s="13"/>
      <c r="Y73" s="13"/>
      <c r="Z73" s="13"/>
      <c r="AA73" s="13"/>
    </row>
    <row r="74" spans="1:27">
      <c r="A74" s="317"/>
      <c r="B74" s="470" t="s">
        <v>1061</v>
      </c>
      <c r="C74" s="28"/>
      <c r="D74" s="28"/>
      <c r="E74" s="28"/>
      <c r="F74" s="28"/>
      <c r="G74" s="28"/>
      <c r="H74" s="28"/>
      <c r="I74" s="28"/>
      <c r="J74" s="28"/>
      <c r="K74" s="410"/>
    </row>
    <row r="75" spans="1:27" ht="15.75" customHeight="1">
      <c r="A75" s="317"/>
      <c r="B75" s="472" t="s">
        <v>1062</v>
      </c>
      <c r="C75" s="392"/>
      <c r="D75" s="391"/>
      <c r="E75" s="392"/>
      <c r="F75" s="391"/>
      <c r="G75" s="393"/>
      <c r="H75" s="390"/>
      <c r="I75" s="390"/>
      <c r="J75" s="390"/>
      <c r="K75" s="473"/>
    </row>
    <row r="76" spans="1:27" ht="15.75" customHeight="1">
      <c r="A76" s="317"/>
      <c r="B76" s="329" t="s">
        <v>1561</v>
      </c>
      <c r="C76" s="392"/>
      <c r="D76" s="391"/>
      <c r="E76" s="392"/>
      <c r="F76" s="391"/>
      <c r="G76" s="393"/>
      <c r="H76" s="390"/>
      <c r="I76" s="390"/>
      <c r="J76" s="390"/>
      <c r="K76" s="473"/>
    </row>
    <row r="77" spans="1:27" ht="15.75" customHeight="1">
      <c r="A77" s="317"/>
      <c r="B77" t="s">
        <v>1562</v>
      </c>
      <c r="C77" s="392"/>
      <c r="D77" s="391"/>
      <c r="E77" s="392"/>
      <c r="F77" s="391"/>
      <c r="G77" s="393"/>
      <c r="H77" s="390"/>
      <c r="I77" s="390"/>
      <c r="J77" s="390"/>
      <c r="K77" s="473"/>
    </row>
    <row r="78" spans="1:27">
      <c r="A78" s="317"/>
      <c r="B78" s="28"/>
      <c r="C78" s="28"/>
      <c r="D78" s="28"/>
      <c r="E78" s="28"/>
      <c r="F78" s="28"/>
      <c r="G78" s="28"/>
      <c r="H78" s="28"/>
      <c r="I78" s="28"/>
      <c r="J78" s="28"/>
      <c r="K78" s="410"/>
    </row>
    <row r="79" spans="1:27">
      <c r="A79" s="317"/>
      <c r="B79" s="28" t="s">
        <v>998</v>
      </c>
      <c r="C79" s="28" t="s">
        <v>1115</v>
      </c>
      <c r="D79" s="28"/>
      <c r="E79" s="28"/>
      <c r="F79" s="28"/>
      <c r="G79" s="28"/>
      <c r="H79" s="28"/>
      <c r="I79" s="28"/>
      <c r="J79" s="28"/>
      <c r="K79" s="410"/>
    </row>
    <row r="80" spans="1:27">
      <c r="A80" s="340"/>
      <c r="B80" s="459" t="s">
        <v>1067</v>
      </c>
      <c r="C80" s="337"/>
      <c r="D80" s="337" t="s">
        <v>1001</v>
      </c>
      <c r="E80" s="337"/>
      <c r="F80" s="337"/>
      <c r="G80" s="337"/>
      <c r="H80" s="337"/>
      <c r="I80" s="337"/>
      <c r="J80" s="337"/>
      <c r="K80" s="460"/>
      <c r="L80" s="13"/>
      <c r="M80" s="13"/>
      <c r="N80" s="13"/>
      <c r="O80" s="13"/>
      <c r="P80" s="13"/>
      <c r="Q80" s="13"/>
      <c r="R80" s="13"/>
      <c r="S80" s="13"/>
      <c r="T80" s="13"/>
      <c r="U80" s="13"/>
      <c r="V80" s="13"/>
      <c r="W80" s="13"/>
      <c r="X80" s="13"/>
      <c r="Y80" s="13"/>
      <c r="Z80" s="13"/>
      <c r="AA80" s="13"/>
    </row>
    <row r="81" spans="1:27" ht="15.75">
      <c r="A81" s="340"/>
      <c r="B81" s="347" t="s">
        <v>1002</v>
      </c>
      <c r="C81" s="347" t="s">
        <v>1003</v>
      </c>
      <c r="D81" s="347" t="s">
        <v>1004</v>
      </c>
      <c r="E81" s="347" t="s">
        <v>1569</v>
      </c>
      <c r="F81" s="448" t="s">
        <v>1006</v>
      </c>
      <c r="G81" s="449"/>
      <c r="H81" s="390"/>
      <c r="I81" s="482"/>
      <c r="J81" s="482"/>
      <c r="K81" s="390"/>
      <c r="L81" s="13"/>
      <c r="M81" s="13"/>
      <c r="N81" s="13"/>
      <c r="O81" s="13"/>
      <c r="P81" s="13"/>
      <c r="Q81" s="13"/>
      <c r="R81" s="13"/>
      <c r="S81" s="13"/>
      <c r="T81" s="13"/>
      <c r="U81" s="13"/>
      <c r="V81" s="13"/>
      <c r="W81" s="13"/>
      <c r="X81" s="13"/>
      <c r="Y81" s="13"/>
      <c r="Z81" s="13"/>
      <c r="AA81" s="13"/>
    </row>
    <row r="82" spans="1:27" ht="15">
      <c r="A82" s="340"/>
      <c r="B82" s="349">
        <v>0.99447300000000005</v>
      </c>
      <c r="C82" s="349">
        <v>0.99545300000000003</v>
      </c>
      <c r="D82" s="349">
        <v>0.99447300000000005</v>
      </c>
      <c r="E82" s="349">
        <v>0.99545300000000003</v>
      </c>
      <c r="F82" s="349">
        <v>0.99447300000000005</v>
      </c>
      <c r="G82" s="623"/>
      <c r="H82" s="624"/>
      <c r="I82" s="624"/>
      <c r="J82" s="624"/>
      <c r="K82" s="624"/>
      <c r="L82" s="13"/>
      <c r="M82" s="13"/>
      <c r="N82" s="13"/>
      <c r="O82" s="13"/>
      <c r="P82" s="13"/>
      <c r="Q82" s="13"/>
      <c r="R82" s="13"/>
      <c r="S82" s="13"/>
      <c r="T82" s="13"/>
      <c r="U82" s="13"/>
      <c r="V82" s="13"/>
      <c r="W82" s="13"/>
      <c r="X82" s="13"/>
      <c r="Y82" s="13"/>
      <c r="Z82" s="13"/>
      <c r="AA82" s="13"/>
    </row>
    <row r="83" spans="1:27" ht="18.75">
      <c r="A83" s="340"/>
      <c r="B83" s="394" t="s">
        <v>1572</v>
      </c>
      <c r="C83" s="2119">
        <f>STDEV(C82:K82)</f>
        <v>5.6580326380582216E-4</v>
      </c>
      <c r="D83" s="2120"/>
      <c r="E83" s="2120"/>
      <c r="F83" s="2120"/>
      <c r="G83" s="2121"/>
      <c r="H83" s="2121"/>
      <c r="I83" s="2121"/>
      <c r="J83" s="2121"/>
      <c r="K83" s="2122"/>
      <c r="L83" s="13"/>
      <c r="M83" s="13"/>
      <c r="N83" s="13"/>
      <c r="O83" s="13"/>
      <c r="P83" s="13"/>
      <c r="Q83" s="13"/>
      <c r="R83" s="13"/>
      <c r="S83" s="13"/>
      <c r="T83" s="13"/>
      <c r="U83" s="13"/>
      <c r="V83" s="13"/>
      <c r="W83" s="13"/>
      <c r="X83" s="13"/>
      <c r="Y83" s="13"/>
      <c r="Z83" s="13"/>
      <c r="AA83" s="13"/>
    </row>
    <row r="84" spans="1:27">
      <c r="A84" s="340"/>
      <c r="B84" s="463"/>
      <c r="C84" s="463"/>
      <c r="D84" s="463"/>
      <c r="E84" s="463"/>
      <c r="F84" s="463"/>
      <c r="G84" s="463"/>
      <c r="H84" s="463"/>
      <c r="I84" s="463"/>
      <c r="J84" s="463"/>
      <c r="K84" s="464"/>
      <c r="L84" s="13"/>
      <c r="M84" s="13"/>
      <c r="N84" s="13"/>
      <c r="O84" s="13"/>
      <c r="P84" s="13"/>
      <c r="Q84" s="13"/>
      <c r="R84" s="13"/>
      <c r="S84" s="13"/>
      <c r="T84" s="13"/>
      <c r="U84" s="13"/>
      <c r="V84" s="13"/>
      <c r="W84" s="13"/>
      <c r="X84" s="13"/>
      <c r="Y84" s="13"/>
      <c r="Z84" s="13"/>
      <c r="AA84" s="13"/>
    </row>
    <row r="85" spans="1:27" ht="15.75" customHeight="1">
      <c r="A85" s="465" t="s">
        <v>1007</v>
      </c>
      <c r="B85" s="466" t="s">
        <v>1008</v>
      </c>
      <c r="C85" s="28"/>
      <c r="D85" s="28"/>
      <c r="E85" s="28"/>
      <c r="F85" s="28"/>
      <c r="G85" s="28"/>
      <c r="H85" s="28"/>
      <c r="I85" s="28"/>
      <c r="J85" s="28"/>
      <c r="K85" s="410"/>
      <c r="V85" s="13"/>
      <c r="W85" s="13"/>
      <c r="X85" s="13"/>
      <c r="Y85" s="13"/>
      <c r="Z85" s="13"/>
      <c r="AA85" s="13"/>
    </row>
    <row r="86" spans="1:27" ht="15.75" customHeight="1">
      <c r="A86" s="465"/>
      <c r="B86" s="467" t="s">
        <v>1049</v>
      </c>
      <c r="C86" s="467" t="s">
        <v>1010</v>
      </c>
      <c r="D86" s="467" t="s">
        <v>1050</v>
      </c>
      <c r="E86" s="467" t="s">
        <v>1051</v>
      </c>
      <c r="F86" s="467" t="s">
        <v>1052</v>
      </c>
      <c r="G86" s="467" t="s">
        <v>1014</v>
      </c>
      <c r="H86" s="28"/>
      <c r="I86" s="28"/>
      <c r="J86" s="28"/>
      <c r="K86" s="410"/>
      <c r="V86" s="13"/>
      <c r="W86" s="13"/>
      <c r="X86" s="13"/>
      <c r="Y86" s="13"/>
      <c r="Z86" s="13"/>
      <c r="AA86" s="13"/>
    </row>
    <row r="87" spans="1:27" ht="36" customHeight="1">
      <c r="A87" s="465"/>
      <c r="B87" s="7">
        <v>1</v>
      </c>
      <c r="C87" s="468" t="s">
        <v>1053</v>
      </c>
      <c r="D87" s="469">
        <v>0.05</v>
      </c>
      <c r="E87" s="467" t="s">
        <v>1054</v>
      </c>
      <c r="F87" s="6">
        <v>3</v>
      </c>
      <c r="G87" s="443">
        <f>D87/F87</f>
        <v>1.6666666666666666E-2</v>
      </c>
      <c r="H87" s="28"/>
      <c r="I87" s="28"/>
      <c r="J87" s="28"/>
      <c r="K87" s="410"/>
      <c r="V87" s="13"/>
      <c r="W87" s="13"/>
      <c r="X87" s="13"/>
      <c r="Y87" s="13"/>
      <c r="Z87" s="13"/>
      <c r="AA87" s="13"/>
    </row>
    <row r="88" spans="1:27" ht="48" customHeight="1">
      <c r="A88" s="465"/>
      <c r="B88" s="7">
        <v>2</v>
      </c>
      <c r="C88" s="468" t="s">
        <v>1055</v>
      </c>
      <c r="D88" s="442">
        <v>1E-3</v>
      </c>
      <c r="E88" s="467" t="s">
        <v>1056</v>
      </c>
      <c r="F88" s="6">
        <v>2</v>
      </c>
      <c r="G88" s="443">
        <f>D88/F88</f>
        <v>5.0000000000000001E-4</v>
      </c>
      <c r="H88" s="28"/>
      <c r="I88" s="28"/>
      <c r="J88" s="28"/>
      <c r="K88" s="410"/>
      <c r="V88" s="13"/>
      <c r="W88" s="13"/>
      <c r="X88" s="13"/>
      <c r="Y88" s="13"/>
      <c r="Z88" s="13"/>
      <c r="AA88" s="13"/>
    </row>
    <row r="89" spans="1:27" ht="33.75" customHeight="1">
      <c r="A89" s="465"/>
      <c r="B89" s="7">
        <v>3</v>
      </c>
      <c r="C89" s="468" t="s">
        <v>1057</v>
      </c>
      <c r="D89" s="442">
        <v>5.0000000000000001E-4</v>
      </c>
      <c r="E89" s="467" t="s">
        <v>1054</v>
      </c>
      <c r="F89" s="6"/>
      <c r="G89" s="443">
        <f>D89/SQRT(3)</f>
        <v>2.886751345948129E-4</v>
      </c>
      <c r="H89" s="28"/>
      <c r="I89" s="28"/>
      <c r="J89" s="28"/>
      <c r="K89" s="410"/>
      <c r="V89" s="13"/>
      <c r="W89" s="13"/>
      <c r="X89" s="13"/>
      <c r="Y89" s="13"/>
      <c r="Z89" s="13"/>
      <c r="AA89" s="13"/>
    </row>
    <row r="90" spans="1:27" ht="15.75" customHeight="1">
      <c r="A90" s="465"/>
      <c r="B90" s="467" t="s">
        <v>1058</v>
      </c>
      <c r="C90" s="1969"/>
      <c r="D90" s="1970"/>
      <c r="E90" s="1970"/>
      <c r="F90" s="1970"/>
      <c r="G90" s="1832"/>
      <c r="H90" s="28"/>
      <c r="I90" s="28"/>
      <c r="J90" s="28"/>
      <c r="K90" s="410"/>
      <c r="V90" s="13"/>
      <c r="W90" s="13"/>
      <c r="X90" s="13"/>
      <c r="Y90" s="13"/>
      <c r="Z90" s="13"/>
      <c r="AA90" s="13"/>
    </row>
    <row r="91" spans="1:27">
      <c r="A91" s="340"/>
      <c r="B91" s="470" t="s">
        <v>1059</v>
      </c>
      <c r="C91" s="28"/>
      <c r="D91" s="28"/>
      <c r="E91" s="28"/>
      <c r="F91" s="28"/>
      <c r="G91" s="28"/>
      <c r="H91" s="28"/>
      <c r="I91" s="28"/>
      <c r="J91" s="28"/>
      <c r="K91" s="410"/>
      <c r="V91" s="13"/>
      <c r="W91" s="13"/>
      <c r="X91" s="13"/>
      <c r="Y91" s="13"/>
      <c r="Z91" s="13"/>
      <c r="AA91" s="13"/>
    </row>
    <row r="92" spans="1:27" ht="18.75" customHeight="1">
      <c r="A92" s="340"/>
      <c r="B92" s="471" t="s">
        <v>1060</v>
      </c>
      <c r="C92" s="470"/>
      <c r="D92" s="28"/>
      <c r="E92" s="28"/>
      <c r="F92" s="28"/>
      <c r="G92" s="28"/>
      <c r="H92" s="28"/>
      <c r="I92" s="28"/>
      <c r="J92" s="28"/>
      <c r="K92" s="410"/>
      <c r="V92" s="13"/>
      <c r="W92" s="13"/>
      <c r="X92" s="13"/>
      <c r="Y92" s="13"/>
      <c r="Z92" s="13"/>
      <c r="AA92" s="13"/>
    </row>
    <row r="93" spans="1:27">
      <c r="A93" s="317"/>
      <c r="B93" s="470" t="s">
        <v>1061</v>
      </c>
      <c r="C93" s="28"/>
      <c r="D93" s="28"/>
      <c r="E93" s="28"/>
      <c r="F93" s="28"/>
      <c r="G93" s="28"/>
      <c r="H93" s="28"/>
      <c r="I93" s="28"/>
      <c r="J93" s="28"/>
      <c r="K93" s="410"/>
    </row>
    <row r="94" spans="1:27" ht="15.75" customHeight="1">
      <c r="A94" s="317"/>
      <c r="B94" s="472" t="s">
        <v>1062</v>
      </c>
      <c r="C94" s="392"/>
      <c r="D94" s="391"/>
      <c r="E94" s="392"/>
      <c r="F94" s="391"/>
      <c r="G94" s="393"/>
      <c r="H94" s="390"/>
      <c r="I94" s="390"/>
      <c r="J94" s="390"/>
      <c r="K94" s="473"/>
    </row>
    <row r="95" spans="1:27" ht="15.75" customHeight="1">
      <c r="A95" s="317"/>
      <c r="B95" s="577" t="s">
        <v>1561</v>
      </c>
      <c r="C95" s="392"/>
      <c r="D95" s="391"/>
      <c r="E95" s="392"/>
      <c r="F95" s="391"/>
      <c r="G95" s="393"/>
      <c r="H95" s="390"/>
      <c r="I95" s="390"/>
      <c r="J95" s="390"/>
      <c r="K95" s="473"/>
    </row>
    <row r="96" spans="1:27" ht="15.75" customHeight="1">
      <c r="A96" s="317"/>
      <c r="B96" s="28" t="s">
        <v>1562</v>
      </c>
      <c r="C96" s="392"/>
      <c r="D96" s="391"/>
      <c r="E96" s="392"/>
      <c r="F96" s="391"/>
      <c r="G96" s="393"/>
      <c r="H96" s="390"/>
      <c r="I96" s="390"/>
      <c r="J96" s="390"/>
      <c r="K96" s="473"/>
    </row>
    <row r="97" spans="1:27" ht="18" customHeight="1">
      <c r="A97" s="479" t="s">
        <v>1063</v>
      </c>
      <c r="B97" s="455" t="s">
        <v>1064</v>
      </c>
      <c r="C97" s="455" t="s">
        <v>1065</v>
      </c>
      <c r="D97" s="456"/>
      <c r="E97" s="2118"/>
      <c r="F97" s="2118"/>
      <c r="G97" s="2118"/>
      <c r="H97" s="2118"/>
      <c r="I97" s="315"/>
      <c r="J97" s="315"/>
      <c r="K97" s="315"/>
      <c r="L97" s="457"/>
      <c r="M97" s="457"/>
      <c r="N97" s="457"/>
      <c r="O97" s="457"/>
      <c r="P97" s="457"/>
      <c r="Q97" s="457"/>
      <c r="R97" s="457"/>
      <c r="S97" s="457"/>
      <c r="T97" s="457"/>
      <c r="U97" s="457"/>
      <c r="V97" s="457"/>
      <c r="W97" s="457"/>
      <c r="X97" s="457"/>
      <c r="Y97" s="457"/>
      <c r="Z97" s="457"/>
      <c r="AA97" s="457"/>
    </row>
    <row r="98" spans="1:27">
      <c r="A98" s="165"/>
      <c r="B98" s="398" t="s">
        <v>998</v>
      </c>
      <c r="C98" s="398" t="s">
        <v>1066</v>
      </c>
      <c r="D98" s="398"/>
      <c r="E98" s="398"/>
      <c r="F98" s="398"/>
      <c r="G98" s="398"/>
      <c r="H98" s="398"/>
      <c r="I98" s="398"/>
      <c r="J98" s="398"/>
      <c r="K98" s="411"/>
    </row>
    <row r="99" spans="1:27">
      <c r="A99" s="340"/>
      <c r="B99" s="459" t="s">
        <v>1067</v>
      </c>
      <c r="C99" s="337"/>
      <c r="D99" s="337" t="s">
        <v>1001</v>
      </c>
      <c r="E99" s="337"/>
      <c r="F99" s="337"/>
      <c r="G99" s="337"/>
      <c r="H99" s="337"/>
      <c r="I99" s="337"/>
      <c r="J99" s="337"/>
      <c r="K99" s="460"/>
      <c r="L99" s="13"/>
      <c r="M99" s="13"/>
      <c r="N99" s="13"/>
      <c r="O99" s="13"/>
      <c r="P99" s="13"/>
      <c r="Q99" s="13"/>
      <c r="R99" s="13"/>
      <c r="S99" s="13"/>
      <c r="T99" s="13"/>
      <c r="U99" s="13"/>
      <c r="V99" s="13"/>
      <c r="W99" s="13"/>
      <c r="X99" s="13"/>
      <c r="Y99" s="13"/>
      <c r="Z99" s="13"/>
      <c r="AA99" s="13"/>
    </row>
    <row r="100" spans="1:27" ht="15.75">
      <c r="A100" s="340"/>
      <c r="B100" s="347" t="s">
        <v>1002</v>
      </c>
      <c r="C100" s="347" t="s">
        <v>1003</v>
      </c>
      <c r="D100" s="347" t="s">
        <v>1004</v>
      </c>
      <c r="E100" s="347" t="s">
        <v>1569</v>
      </c>
      <c r="F100" s="448" t="s">
        <v>1006</v>
      </c>
      <c r="G100" s="449"/>
      <c r="H100" s="390"/>
      <c r="I100" s="482"/>
      <c r="J100" s="482"/>
      <c r="K100" s="390"/>
      <c r="L100" s="13"/>
      <c r="M100" s="13"/>
      <c r="N100" s="13"/>
      <c r="O100" s="13"/>
      <c r="P100" s="13"/>
      <c r="Q100" s="13"/>
      <c r="R100" s="13"/>
      <c r="S100" s="13"/>
      <c r="T100" s="13"/>
      <c r="U100" s="13"/>
      <c r="V100" s="13"/>
      <c r="W100" s="13"/>
      <c r="X100" s="13"/>
      <c r="Y100" s="13"/>
      <c r="Z100" s="13"/>
      <c r="AA100" s="13"/>
    </row>
    <row r="101" spans="1:27" ht="15">
      <c r="A101" s="340"/>
      <c r="B101" s="349">
        <v>0.99447300000000005</v>
      </c>
      <c r="C101" s="349">
        <v>0.99545300000000003</v>
      </c>
      <c r="D101" s="349">
        <v>0.99447300000000005</v>
      </c>
      <c r="E101" s="349">
        <v>0.99545300000000003</v>
      </c>
      <c r="F101" s="349">
        <v>0.99447300000000005</v>
      </c>
      <c r="G101" s="623"/>
      <c r="H101" s="624"/>
      <c r="I101" s="624"/>
      <c r="J101" s="624"/>
      <c r="K101" s="624"/>
      <c r="L101" s="13"/>
      <c r="M101" s="13"/>
      <c r="N101" s="13"/>
      <c r="O101" s="13"/>
      <c r="P101" s="13"/>
      <c r="Q101" s="13"/>
      <c r="R101" s="13"/>
      <c r="S101" s="13"/>
      <c r="T101" s="13"/>
      <c r="U101" s="13"/>
      <c r="V101" s="13"/>
      <c r="W101" s="13"/>
      <c r="X101" s="13"/>
      <c r="Y101" s="13"/>
      <c r="Z101" s="13"/>
      <c r="AA101" s="13"/>
    </row>
    <row r="102" spans="1:27" ht="18.75">
      <c r="A102" s="340"/>
      <c r="B102" s="394" t="s">
        <v>1572</v>
      </c>
      <c r="C102" s="2119">
        <f>STDEV(C101:K101)</f>
        <v>5.6580326380582216E-4</v>
      </c>
      <c r="D102" s="2120"/>
      <c r="E102" s="2120"/>
      <c r="F102" s="2120"/>
      <c r="G102" s="2121"/>
      <c r="H102" s="2121"/>
      <c r="I102" s="2121"/>
      <c r="J102" s="2121"/>
      <c r="K102" s="2122"/>
      <c r="L102" s="13"/>
      <c r="M102" s="13"/>
      <c r="N102" s="13"/>
      <c r="O102" s="13"/>
      <c r="P102" s="13"/>
      <c r="Q102" s="13"/>
      <c r="R102" s="13"/>
      <c r="S102" s="13"/>
      <c r="T102" s="13"/>
      <c r="U102" s="13"/>
      <c r="V102" s="13"/>
      <c r="W102" s="13"/>
      <c r="X102" s="13"/>
      <c r="Y102" s="13"/>
      <c r="Z102" s="13"/>
      <c r="AA102" s="13"/>
    </row>
    <row r="103" spans="1:27">
      <c r="A103" s="340"/>
      <c r="B103" s="463"/>
      <c r="C103" s="463"/>
      <c r="D103" s="463"/>
      <c r="E103" s="463"/>
      <c r="F103" s="463"/>
      <c r="G103" s="463"/>
      <c r="H103" s="463"/>
      <c r="I103" s="463"/>
      <c r="J103" s="463"/>
      <c r="K103" s="464"/>
      <c r="L103" s="13"/>
      <c r="M103" s="13"/>
      <c r="N103" s="13"/>
      <c r="O103" s="13"/>
      <c r="P103" s="13"/>
      <c r="Q103" s="13"/>
      <c r="R103" s="13"/>
      <c r="S103" s="13"/>
      <c r="T103" s="13"/>
      <c r="U103" s="13"/>
      <c r="V103" s="13"/>
      <c r="W103" s="13"/>
      <c r="X103" s="13"/>
      <c r="Y103" s="13"/>
      <c r="Z103" s="13"/>
      <c r="AA103" s="13"/>
    </row>
    <row r="104" spans="1:27" ht="15.75" customHeight="1">
      <c r="A104" s="465" t="s">
        <v>1007</v>
      </c>
      <c r="B104" s="466" t="s">
        <v>1008</v>
      </c>
      <c r="C104" s="28"/>
      <c r="D104" s="28"/>
      <c r="E104" s="28"/>
      <c r="F104" s="28"/>
      <c r="G104" s="28"/>
      <c r="H104" s="28"/>
      <c r="I104" s="28"/>
      <c r="J104" s="28"/>
      <c r="K104" s="410"/>
      <c r="V104" s="13"/>
      <c r="W104" s="13"/>
      <c r="X104" s="13"/>
      <c r="Y104" s="13"/>
      <c r="Z104" s="13"/>
      <c r="AA104" s="13"/>
    </row>
    <row r="105" spans="1:27" ht="15.75" customHeight="1">
      <c r="A105" s="465"/>
      <c r="B105" s="467" t="s">
        <v>1049</v>
      </c>
      <c r="C105" s="467" t="s">
        <v>1010</v>
      </c>
      <c r="D105" s="467" t="s">
        <v>1050</v>
      </c>
      <c r="E105" s="467" t="s">
        <v>1051</v>
      </c>
      <c r="F105" s="467" t="s">
        <v>1052</v>
      </c>
      <c r="G105" s="467" t="s">
        <v>1014</v>
      </c>
      <c r="H105" s="28"/>
      <c r="I105" s="28"/>
      <c r="J105" s="28"/>
      <c r="K105" s="410"/>
      <c r="V105" s="13"/>
      <c r="W105" s="13"/>
      <c r="X105" s="13"/>
      <c r="Y105" s="13"/>
      <c r="Z105" s="13"/>
      <c r="AA105" s="13"/>
    </row>
    <row r="106" spans="1:27" ht="36" customHeight="1">
      <c r="A106" s="465"/>
      <c r="B106" s="7">
        <v>1</v>
      </c>
      <c r="C106" s="468" t="s">
        <v>1053</v>
      </c>
      <c r="D106" s="469">
        <v>5.0000000000000001E-3</v>
      </c>
      <c r="E106" s="467" t="s">
        <v>1054</v>
      </c>
      <c r="F106" s="6">
        <v>3</v>
      </c>
      <c r="G106" s="443">
        <f>D106/F106</f>
        <v>1.6666666666666668E-3</v>
      </c>
      <c r="H106" s="28"/>
      <c r="I106" s="28"/>
      <c r="J106" s="28"/>
      <c r="K106" s="410"/>
      <c r="V106" s="13"/>
      <c r="W106" s="13"/>
      <c r="X106" s="13"/>
      <c r="Y106" s="13"/>
      <c r="Z106" s="13"/>
      <c r="AA106" s="13"/>
    </row>
    <row r="107" spans="1:27" ht="48" customHeight="1">
      <c r="A107" s="465"/>
      <c r="B107" s="7">
        <v>2</v>
      </c>
      <c r="C107" s="468" t="s">
        <v>1055</v>
      </c>
      <c r="D107" s="442">
        <v>5.0000000000000001E-4</v>
      </c>
      <c r="E107" s="467" t="s">
        <v>1056</v>
      </c>
      <c r="F107" s="6">
        <v>2</v>
      </c>
      <c r="G107" s="443">
        <f>D107/F107</f>
        <v>2.5000000000000001E-4</v>
      </c>
      <c r="H107" s="28"/>
      <c r="I107" s="28"/>
      <c r="J107" s="28"/>
      <c r="K107" s="410"/>
      <c r="V107" s="13"/>
      <c r="W107" s="13"/>
      <c r="X107" s="13"/>
      <c r="Y107" s="13"/>
      <c r="Z107" s="13"/>
      <c r="AA107" s="13"/>
    </row>
    <row r="108" spans="1:27" ht="33.75" customHeight="1">
      <c r="A108" s="465"/>
      <c r="B108" s="7">
        <v>3</v>
      </c>
      <c r="C108" s="468" t="s">
        <v>1079</v>
      </c>
      <c r="D108" s="442">
        <v>5.0000000000000001E-4</v>
      </c>
      <c r="E108" s="467" t="s">
        <v>1054</v>
      </c>
      <c r="F108" s="6"/>
      <c r="G108" s="443">
        <f>D108/SQRT(3)</f>
        <v>2.886751345948129E-4</v>
      </c>
      <c r="H108" s="28"/>
      <c r="I108" s="28"/>
      <c r="J108" s="28"/>
      <c r="K108" s="410"/>
      <c r="V108" s="13"/>
      <c r="W108" s="13"/>
      <c r="X108" s="13"/>
      <c r="Y108" s="13"/>
      <c r="Z108" s="13"/>
      <c r="AA108" s="13"/>
    </row>
    <row r="109" spans="1:27" ht="15.75" customHeight="1">
      <c r="A109" s="465"/>
      <c r="B109" s="467" t="s">
        <v>1058</v>
      </c>
      <c r="C109" s="1969"/>
      <c r="D109" s="1970"/>
      <c r="E109" s="1970"/>
      <c r="F109" s="1970"/>
      <c r="G109" s="1832"/>
      <c r="H109" s="28"/>
      <c r="I109" s="28"/>
      <c r="J109" s="28"/>
      <c r="K109" s="410"/>
      <c r="V109" s="13"/>
      <c r="W109" s="13"/>
      <c r="X109" s="13"/>
      <c r="Y109" s="13"/>
      <c r="Z109" s="13"/>
      <c r="AA109" s="13"/>
    </row>
    <row r="110" spans="1:27">
      <c r="A110" s="340"/>
      <c r="B110" s="470" t="s">
        <v>1059</v>
      </c>
      <c r="C110" s="28"/>
      <c r="D110" s="28"/>
      <c r="E110" s="28"/>
      <c r="F110" s="28"/>
      <c r="G110" s="28"/>
      <c r="H110" s="28"/>
      <c r="I110" s="28"/>
      <c r="J110" s="28"/>
      <c r="K110" s="410"/>
      <c r="V110" s="13"/>
      <c r="W110" s="13"/>
      <c r="X110" s="13"/>
      <c r="Y110" s="13"/>
      <c r="Z110" s="13"/>
      <c r="AA110" s="13"/>
    </row>
    <row r="111" spans="1:27" ht="18.75" customHeight="1">
      <c r="A111" s="340"/>
      <c r="B111" s="471" t="s">
        <v>1060</v>
      </c>
      <c r="C111" s="470"/>
      <c r="D111" s="28"/>
      <c r="E111" s="28"/>
      <c r="F111" s="28"/>
      <c r="G111" s="28"/>
      <c r="H111" s="28"/>
      <c r="I111" s="28"/>
      <c r="J111" s="28"/>
      <c r="K111" s="410"/>
      <c r="V111" s="13"/>
      <c r="W111" s="13"/>
      <c r="X111" s="13"/>
      <c r="Y111" s="13"/>
      <c r="Z111" s="13"/>
      <c r="AA111" s="13"/>
    </row>
    <row r="112" spans="1:27">
      <c r="A112" s="317"/>
      <c r="B112" s="470" t="s">
        <v>1061</v>
      </c>
      <c r="C112" s="28"/>
      <c r="D112" s="28"/>
      <c r="E112" s="28"/>
      <c r="F112" s="28"/>
      <c r="G112" s="28"/>
      <c r="H112" s="28"/>
      <c r="I112" s="28"/>
      <c r="J112" s="28"/>
      <c r="K112" s="410"/>
    </row>
    <row r="113" spans="1:11" ht="15.75" customHeight="1">
      <c r="A113" s="317"/>
      <c r="B113" s="472" t="s">
        <v>1062</v>
      </c>
      <c r="C113" s="392"/>
      <c r="D113" s="391"/>
      <c r="E113" s="392"/>
      <c r="F113" s="391"/>
      <c r="G113" s="393"/>
      <c r="H113" s="390"/>
      <c r="I113" s="390"/>
      <c r="J113" s="390"/>
      <c r="K113" s="473"/>
    </row>
    <row r="114" spans="1:11" ht="15.75" customHeight="1">
      <c r="A114" s="317"/>
      <c r="B114" s="577" t="s">
        <v>1561</v>
      </c>
      <c r="C114" s="392"/>
      <c r="D114" s="391"/>
      <c r="E114" s="392"/>
      <c r="F114" s="391"/>
      <c r="G114" s="393"/>
      <c r="H114" s="390"/>
      <c r="I114" s="390"/>
      <c r="J114" s="390"/>
      <c r="K114" s="473"/>
    </row>
    <row r="115" spans="1:11" ht="15.75" customHeight="1">
      <c r="A115" s="317"/>
      <c r="B115" s="28" t="s">
        <v>1562</v>
      </c>
      <c r="C115" s="392"/>
      <c r="D115" s="391"/>
      <c r="E115" s="392"/>
      <c r="F115" s="391"/>
      <c r="G115" s="393"/>
      <c r="H115" s="390"/>
      <c r="I115" s="390"/>
      <c r="J115" s="390"/>
      <c r="K115" s="473"/>
    </row>
    <row r="116" spans="1:11" ht="15.75" customHeight="1">
      <c r="A116" s="28"/>
      <c r="B116" s="472"/>
      <c r="C116" s="392"/>
      <c r="D116" s="391"/>
      <c r="E116" s="392"/>
      <c r="F116" s="391"/>
      <c r="G116" s="393"/>
      <c r="H116" s="390"/>
      <c r="I116" s="390"/>
      <c r="J116" s="390"/>
      <c r="K116" s="473"/>
    </row>
    <row r="117" spans="1:11">
      <c r="A117" s="317"/>
      <c r="B117" s="28" t="s">
        <v>998</v>
      </c>
      <c r="C117" s="28" t="s">
        <v>1080</v>
      </c>
      <c r="D117" s="28"/>
      <c r="E117" s="28"/>
      <c r="F117" s="28"/>
      <c r="G117" s="28"/>
      <c r="H117" s="28"/>
      <c r="I117" s="28"/>
      <c r="J117" s="28"/>
      <c r="K117" s="410"/>
    </row>
    <row r="118" spans="1:11">
      <c r="A118" s="340"/>
      <c r="B118" s="459" t="s">
        <v>1067</v>
      </c>
      <c r="C118" s="337"/>
      <c r="D118" s="337" t="s">
        <v>1001</v>
      </c>
      <c r="E118" s="337"/>
      <c r="F118" s="337"/>
      <c r="G118" s="337"/>
      <c r="H118" s="337"/>
      <c r="I118" s="337"/>
      <c r="J118" s="337"/>
      <c r="K118" s="460"/>
    </row>
    <row r="119" spans="1:11" ht="15.75">
      <c r="A119" s="340"/>
      <c r="B119" s="347" t="s">
        <v>1002</v>
      </c>
      <c r="C119" s="347" t="s">
        <v>1003</v>
      </c>
      <c r="D119" s="347" t="s">
        <v>1004</v>
      </c>
      <c r="E119" s="347" t="s">
        <v>1569</v>
      </c>
      <c r="F119" s="448" t="s">
        <v>1006</v>
      </c>
      <c r="G119" s="449"/>
      <c r="H119" s="390"/>
      <c r="I119" s="482"/>
      <c r="J119" s="482"/>
      <c r="K119" s="390"/>
    </row>
    <row r="120" spans="1:11" ht="15">
      <c r="A120" s="340"/>
      <c r="B120" s="349">
        <v>0.99447300000000005</v>
      </c>
      <c r="C120" s="349">
        <v>0.99545300000000003</v>
      </c>
      <c r="D120" s="349">
        <v>0.99447300000000005</v>
      </c>
      <c r="E120" s="349">
        <v>0.99545300000000003</v>
      </c>
      <c r="F120" s="349">
        <v>0.99447300000000005</v>
      </c>
      <c r="G120" s="623"/>
      <c r="H120" s="624"/>
      <c r="I120" s="624"/>
      <c r="J120" s="624"/>
      <c r="K120" s="624"/>
    </row>
    <row r="121" spans="1:11" ht="18.75">
      <c r="A121" s="340"/>
      <c r="B121" s="394" t="s">
        <v>1572</v>
      </c>
      <c r="C121" s="2119">
        <f>STDEV(C120:K120)</f>
        <v>5.6580326380582216E-4</v>
      </c>
      <c r="D121" s="2120"/>
      <c r="E121" s="2120"/>
      <c r="F121" s="2120"/>
      <c r="G121" s="2121"/>
      <c r="H121" s="2121"/>
      <c r="I121" s="2121"/>
      <c r="J121" s="2121"/>
      <c r="K121" s="2122"/>
    </row>
    <row r="122" spans="1:11">
      <c r="A122" s="340"/>
      <c r="B122" s="463"/>
      <c r="C122" s="463"/>
      <c r="D122" s="463"/>
      <c r="E122" s="463"/>
      <c r="F122" s="463"/>
      <c r="G122" s="463"/>
      <c r="H122" s="463"/>
      <c r="I122" s="463"/>
      <c r="J122" s="463"/>
      <c r="K122" s="464"/>
    </row>
    <row r="123" spans="1:11">
      <c r="A123" s="465" t="s">
        <v>1007</v>
      </c>
      <c r="B123" s="466" t="s">
        <v>1008</v>
      </c>
      <c r="C123" s="28"/>
      <c r="D123" s="28"/>
      <c r="E123" s="28"/>
      <c r="F123" s="28"/>
      <c r="G123" s="28"/>
      <c r="H123" s="28"/>
      <c r="I123" s="28"/>
      <c r="J123" s="28"/>
      <c r="K123" s="410"/>
    </row>
    <row r="124" spans="1:11">
      <c r="A124" s="465"/>
      <c r="B124" s="467" t="s">
        <v>1049</v>
      </c>
      <c r="C124" s="467" t="s">
        <v>1010</v>
      </c>
      <c r="D124" s="467" t="s">
        <v>1050</v>
      </c>
      <c r="E124" s="467" t="s">
        <v>1051</v>
      </c>
      <c r="F124" s="467" t="s">
        <v>1052</v>
      </c>
      <c r="G124" s="467" t="s">
        <v>1014</v>
      </c>
      <c r="H124" s="28"/>
      <c r="I124" s="28"/>
      <c r="J124" s="28"/>
      <c r="K124" s="410"/>
    </row>
    <row r="125" spans="1:11" ht="28.5">
      <c r="A125" s="465"/>
      <c r="B125" s="7">
        <v>1</v>
      </c>
      <c r="C125" s="468" t="s">
        <v>1053</v>
      </c>
      <c r="D125" s="469">
        <v>0.01</v>
      </c>
      <c r="E125" s="467" t="s">
        <v>1054</v>
      </c>
      <c r="F125" s="6">
        <v>3</v>
      </c>
      <c r="G125" s="443">
        <f>D125/F125</f>
        <v>3.3333333333333335E-3</v>
      </c>
      <c r="H125" s="28"/>
      <c r="I125" s="28"/>
      <c r="J125" s="28"/>
      <c r="K125" s="410"/>
    </row>
    <row r="126" spans="1:11">
      <c r="A126" s="465"/>
      <c r="B126" s="7">
        <v>2</v>
      </c>
      <c r="C126" s="468" t="s">
        <v>1116</v>
      </c>
      <c r="D126" s="442">
        <v>8.0000000000000004E-4</v>
      </c>
      <c r="E126" s="467" t="s">
        <v>1117</v>
      </c>
      <c r="F126" s="6">
        <v>2</v>
      </c>
      <c r="G126" s="443">
        <f>D126/F126</f>
        <v>4.0000000000000002E-4</v>
      </c>
      <c r="H126" s="28"/>
      <c r="I126" s="28"/>
      <c r="J126" s="28"/>
      <c r="K126" s="410"/>
    </row>
    <row r="127" spans="1:11">
      <c r="A127" s="465"/>
      <c r="B127" s="7">
        <v>3</v>
      </c>
      <c r="C127" s="468" t="s">
        <v>1118</v>
      </c>
      <c r="D127" s="442">
        <v>2.0000000000000001E-4</v>
      </c>
      <c r="E127" s="467" t="s">
        <v>1119</v>
      </c>
      <c r="F127" s="6"/>
      <c r="G127" s="443">
        <f>D127/SQRT(3)</f>
        <v>1.1547005383792517E-4</v>
      </c>
      <c r="H127" s="28"/>
      <c r="I127" s="28"/>
      <c r="J127" s="28"/>
      <c r="K127" s="410"/>
    </row>
    <row r="128" spans="1:11" ht="18.75">
      <c r="A128" s="465"/>
      <c r="B128" s="467" t="s">
        <v>1120</v>
      </c>
      <c r="C128" s="1969"/>
      <c r="D128" s="1970"/>
      <c r="E128" s="1970"/>
      <c r="F128" s="1970"/>
      <c r="G128" s="1832"/>
      <c r="H128" s="28"/>
      <c r="I128" s="28"/>
      <c r="J128" s="28"/>
      <c r="K128" s="410"/>
    </row>
    <row r="129" spans="1:11">
      <c r="A129" s="340"/>
      <c r="B129" s="470" t="s">
        <v>1121</v>
      </c>
      <c r="C129" s="28"/>
      <c r="D129" s="28"/>
      <c r="E129" s="28"/>
      <c r="F129" s="28"/>
      <c r="G129" s="28"/>
      <c r="H129" s="28"/>
      <c r="I129" s="28"/>
      <c r="J129" s="28"/>
      <c r="K129" s="410"/>
    </row>
    <row r="130" spans="1:11" ht="18.75">
      <c r="A130" s="340"/>
      <c r="B130" s="471" t="s">
        <v>1122</v>
      </c>
      <c r="C130" s="470"/>
      <c r="D130" s="28"/>
      <c r="E130" s="28"/>
      <c r="F130" s="28"/>
      <c r="G130" s="28"/>
      <c r="H130" s="28"/>
      <c r="I130" s="28"/>
      <c r="J130" s="28"/>
      <c r="K130" s="410"/>
    </row>
    <row r="131" spans="1:11">
      <c r="A131" s="317"/>
      <c r="B131" s="470" t="s">
        <v>1123</v>
      </c>
      <c r="C131" s="28"/>
      <c r="D131" s="28"/>
      <c r="E131" s="28"/>
      <c r="F131" s="28"/>
      <c r="G131" s="28"/>
      <c r="H131" s="28"/>
      <c r="I131" s="28"/>
      <c r="J131" s="28"/>
      <c r="K131" s="410"/>
    </row>
    <row r="132" spans="1:11" ht="15.75">
      <c r="A132" s="317"/>
      <c r="B132" s="472" t="s">
        <v>1124</v>
      </c>
      <c r="C132" s="392"/>
      <c r="D132" s="391"/>
      <c r="E132" s="392"/>
      <c r="F132" s="391"/>
      <c r="G132" s="393"/>
      <c r="H132" s="390"/>
      <c r="I132" s="390"/>
      <c r="J132" s="390"/>
      <c r="K132" s="473"/>
    </row>
    <row r="133" spans="1:11" s="28" customFormat="1" ht="15.75" customHeight="1">
      <c r="A133" s="317"/>
      <c r="B133" s="577" t="s">
        <v>1561</v>
      </c>
      <c r="C133" s="392"/>
      <c r="D133" s="391"/>
      <c r="E133" s="392"/>
      <c r="F133" s="391"/>
      <c r="G133" s="393"/>
      <c r="H133" s="390"/>
      <c r="I133" s="390"/>
      <c r="J133" s="390"/>
      <c r="K133" s="473"/>
    </row>
    <row r="134" spans="1:11" ht="15.75" customHeight="1">
      <c r="A134" s="317"/>
      <c r="B134" s="28" t="s">
        <v>1562</v>
      </c>
      <c r="C134" s="392"/>
      <c r="D134" s="391"/>
      <c r="E134" s="392"/>
      <c r="F134" s="391"/>
      <c r="G134" s="393"/>
      <c r="H134" s="390"/>
      <c r="I134" s="390"/>
      <c r="J134" s="390"/>
      <c r="K134" s="473"/>
    </row>
    <row r="135" spans="1:11">
      <c r="A135" s="28"/>
      <c r="B135" s="28"/>
      <c r="C135" s="28"/>
      <c r="D135" s="28"/>
      <c r="E135" s="28"/>
      <c r="F135" s="28"/>
      <c r="G135" s="28"/>
      <c r="H135" s="28"/>
      <c r="I135" s="28"/>
      <c r="J135" s="28"/>
      <c r="K135" s="28"/>
    </row>
    <row r="136" spans="1:11">
      <c r="A136" s="28"/>
      <c r="B136" s="28"/>
      <c r="C136" s="28"/>
      <c r="D136" s="28"/>
      <c r="E136" s="28"/>
      <c r="F136" s="28"/>
      <c r="G136" s="28"/>
      <c r="H136" s="28"/>
      <c r="I136" s="28"/>
      <c r="J136" s="28"/>
      <c r="K136" s="28"/>
    </row>
    <row r="137" spans="1:11">
      <c r="A137" s="28"/>
      <c r="B137" s="28"/>
      <c r="C137" s="28"/>
      <c r="D137" s="28"/>
      <c r="E137" s="28"/>
      <c r="F137" s="28"/>
      <c r="G137" s="28"/>
      <c r="H137" s="28"/>
      <c r="I137" s="28"/>
      <c r="J137" s="28"/>
      <c r="K137" s="28"/>
    </row>
    <row r="138" spans="1:11">
      <c r="A138" s="28"/>
      <c r="B138" s="28"/>
      <c r="C138" s="28"/>
      <c r="D138" s="28"/>
      <c r="E138" s="28"/>
      <c r="F138" s="28"/>
      <c r="G138" s="28"/>
      <c r="H138" s="28"/>
      <c r="I138" s="28"/>
      <c r="J138" s="28"/>
      <c r="K138" s="28"/>
    </row>
    <row r="139" spans="1:11">
      <c r="A139" s="28"/>
      <c r="B139" s="28"/>
      <c r="C139" s="28"/>
      <c r="D139" s="28"/>
      <c r="E139" s="28"/>
      <c r="F139" s="28"/>
      <c r="G139" s="28"/>
      <c r="H139" s="28"/>
      <c r="I139" s="28"/>
      <c r="J139" s="28"/>
      <c r="K139" s="28"/>
    </row>
    <row r="140" spans="1:11">
      <c r="A140" s="28"/>
      <c r="B140" s="28"/>
      <c r="C140" s="28"/>
      <c r="D140" s="28"/>
      <c r="E140" s="28"/>
      <c r="F140" s="28"/>
      <c r="G140" s="28"/>
      <c r="H140" s="28"/>
      <c r="I140" s="28"/>
      <c r="J140" s="28"/>
      <c r="K140" s="28"/>
    </row>
  </sheetData>
  <mergeCells count="16">
    <mergeCell ref="C45:K45"/>
    <mergeCell ref="E1:H1"/>
    <mergeCell ref="C7:K7"/>
    <mergeCell ref="C14:G14"/>
    <mergeCell ref="C26:K26"/>
    <mergeCell ref="C33:G33"/>
    <mergeCell ref="C102:K102"/>
    <mergeCell ref="C109:G109"/>
    <mergeCell ref="C121:K121"/>
    <mergeCell ref="C128:G128"/>
    <mergeCell ref="C52:G52"/>
    <mergeCell ref="C64:K64"/>
    <mergeCell ref="C71:G71"/>
    <mergeCell ref="C83:K83"/>
    <mergeCell ref="C90:G90"/>
    <mergeCell ref="E97:H97"/>
  </mergeCells>
  <phoneticPr fontId="99" type="noConversion"/>
  <pageMargins left="0.75" right="0.75" top="1" bottom="1" header="0.5" footer="0.5"/>
  <drawing r:id="rId1"/>
  <legacyDrawing r:id="rId2"/>
  <oleObjects>
    <oleObject progId="Equation.3" shapeId="109569" r:id="rId3"/>
    <oleObject progId="Equation.3" shapeId="109570" r:id="rId4"/>
    <oleObject progId="Equation.3" shapeId="109571" r:id="rId5"/>
    <oleObject progId="Equation.3" shapeId="109572" r:id="rId6"/>
    <oleObject progId="Equation.3" shapeId="109573" r:id="rId7"/>
    <oleObject progId="Equation.3" shapeId="109574" r:id="rId8"/>
    <oleObject progId="Equation.3" shapeId="109575" r:id="rId9"/>
    <oleObject progId="Equation.3" shapeId="109576" r:id="rId10"/>
    <oleObject progId="Equation.3" shapeId="109577" r:id="rId11"/>
    <oleObject progId="Equation.3" shapeId="109578" r:id="rId12"/>
    <oleObject progId="Equation.3" shapeId="109579" r:id="rId13"/>
    <oleObject progId="Equation.3" shapeId="109580" r:id="rId14"/>
    <oleObject progId="Equation.3" shapeId="109581" r:id="rId15"/>
    <oleObject progId="Equation.3" shapeId="109582" r:id="rId16"/>
    <oleObject progId="Equation.3" shapeId="109583" r:id="rId17"/>
    <oleObject progId="Equation.3" shapeId="109584" r:id="rId18"/>
    <oleObject progId="Equation.3" shapeId="109585" r:id="rId19"/>
    <oleObject progId="Equation.3" shapeId="109586" r:id="rId20"/>
  </oleObjects>
</worksheet>
</file>

<file path=xl/worksheets/sheet13.xml><?xml version="1.0" encoding="utf-8"?>
<worksheet xmlns="http://schemas.openxmlformats.org/spreadsheetml/2006/main" xmlns:r="http://schemas.openxmlformats.org/officeDocument/2006/relationships">
  <dimension ref="A1:BA77"/>
  <sheetViews>
    <sheetView topLeftCell="A7" workbookViewId="0">
      <selection activeCell="D22" sqref="D22:G22"/>
    </sheetView>
  </sheetViews>
  <sheetFormatPr defaultRowHeight="14.25" outlineLevelRow="1"/>
  <cols>
    <col min="1" max="1" width="25" customWidth="1"/>
    <col min="4" max="4" width="39.5" customWidth="1"/>
    <col min="5" max="5" width="9" hidden="1" customWidth="1"/>
    <col min="6" max="6" width="18.75" customWidth="1"/>
    <col min="7" max="7" width="15.625" customWidth="1"/>
    <col min="8" max="8" width="6.5" customWidth="1"/>
    <col min="9" max="9" width="14.875" customWidth="1"/>
    <col min="10" max="10" width="16.5" customWidth="1"/>
    <col min="11" max="11" width="16.75" customWidth="1"/>
    <col min="12" max="12" width="11" customWidth="1"/>
    <col min="13" max="13" width="18.375" customWidth="1"/>
    <col min="14" max="14" width="12.125" customWidth="1"/>
    <col min="15" max="15" width="10" customWidth="1"/>
    <col min="16" max="16" width="2.875" customWidth="1"/>
    <col min="18" max="18" width="6.25" customWidth="1"/>
    <col min="24" max="24" width="22" style="28" customWidth="1"/>
    <col min="25" max="26" width="9" style="28"/>
    <col min="27" max="27" width="14" style="28" customWidth="1"/>
    <col min="28" max="28" width="15.75" style="28" customWidth="1"/>
    <col min="29" max="31" width="9" style="28"/>
    <col min="40" max="40" width="17.75" customWidth="1"/>
    <col min="51" max="51" width="25" customWidth="1"/>
  </cols>
  <sheetData>
    <row r="1" spans="1:39">
      <c r="A1" s="1561" t="s">
        <v>51</v>
      </c>
      <c r="B1" s="1596" t="s">
        <v>3806</v>
      </c>
      <c r="C1" s="1561"/>
      <c r="D1" s="1462"/>
      <c r="E1" s="1462"/>
      <c r="F1" s="1462"/>
      <c r="G1" s="1462"/>
      <c r="H1" s="1462"/>
      <c r="I1" s="1462"/>
      <c r="J1" s="1462"/>
      <c r="K1" s="1462"/>
      <c r="L1" s="1462"/>
      <c r="M1" s="1462"/>
      <c r="N1" s="1462"/>
      <c r="O1" s="1462"/>
      <c r="P1" s="1462"/>
      <c r="Q1" s="1462"/>
      <c r="R1" s="1462"/>
      <c r="S1" s="1462"/>
      <c r="T1" s="1462"/>
      <c r="U1" s="1462"/>
      <c r="V1" s="1462"/>
      <c r="W1" s="1462"/>
      <c r="X1" s="1462"/>
      <c r="Y1" s="1462"/>
      <c r="Z1" s="1462"/>
      <c r="AA1" s="1462"/>
      <c r="AB1" s="1462"/>
      <c r="AC1" s="1462"/>
      <c r="AD1" s="1462"/>
      <c r="AE1" s="1462"/>
      <c r="AF1" s="1462"/>
      <c r="AG1" s="1462"/>
      <c r="AH1" s="1462"/>
      <c r="AI1" s="1462"/>
      <c r="AJ1" s="1462"/>
      <c r="AK1" s="1462"/>
      <c r="AL1" s="1462"/>
      <c r="AM1" s="1462"/>
    </row>
    <row r="3" spans="1:39" outlineLevel="1">
      <c r="A3" s="2018" t="s">
        <v>32</v>
      </c>
      <c r="B3" s="2019"/>
      <c r="C3" s="2019"/>
      <c r="D3" s="2082"/>
      <c r="E3" s="1462"/>
      <c r="F3" s="1466" t="s">
        <v>3707</v>
      </c>
      <c r="G3" s="1466" t="s">
        <v>3708</v>
      </c>
      <c r="H3" s="1462"/>
      <c r="I3" s="1462"/>
      <c r="J3" s="1462"/>
      <c r="K3" s="1462"/>
      <c r="L3" s="1462"/>
      <c r="M3" s="1462"/>
      <c r="N3" s="1462"/>
      <c r="O3" s="1462"/>
      <c r="P3" s="1462"/>
      <c r="Q3" s="1462"/>
      <c r="R3" s="1462"/>
      <c r="S3" s="1462"/>
      <c r="T3" s="1462"/>
      <c r="U3" s="1462"/>
      <c r="V3" s="1462"/>
      <c r="W3" s="1462"/>
      <c r="X3" s="1462"/>
      <c r="Y3" s="1462"/>
      <c r="Z3" s="1462"/>
      <c r="AA3" s="1462"/>
      <c r="AB3" s="1462"/>
      <c r="AC3" s="1462"/>
      <c r="AD3" s="1462"/>
      <c r="AE3" s="1462"/>
      <c r="AF3" s="1462"/>
      <c r="AG3" s="1462"/>
      <c r="AH3" s="1462"/>
      <c r="AI3" s="1462"/>
      <c r="AJ3" s="1462"/>
      <c r="AK3" s="1462"/>
      <c r="AL3" s="1462"/>
      <c r="AM3" s="1462"/>
    </row>
    <row r="4" spans="1:39" ht="18.75" customHeight="1" outlineLevel="1">
      <c r="A4" s="1465" t="s">
        <v>3514</v>
      </c>
      <c r="B4" s="1749" t="s">
        <v>581</v>
      </c>
      <c r="C4" s="1749"/>
      <c r="D4" s="1749"/>
      <c r="E4" s="1462"/>
      <c r="F4" s="1749" t="s">
        <v>3709</v>
      </c>
      <c r="G4" s="1749" t="s">
        <v>3710</v>
      </c>
      <c r="H4" s="1462"/>
      <c r="I4" s="1462"/>
      <c r="J4" s="1462"/>
      <c r="K4" s="1462"/>
      <c r="L4" s="1462"/>
      <c r="M4" s="1462"/>
      <c r="N4" s="1462"/>
      <c r="O4" s="1462"/>
      <c r="P4" s="1462"/>
      <c r="Q4" s="1462"/>
      <c r="R4" s="1462"/>
      <c r="S4" s="1462"/>
      <c r="T4" s="1462"/>
      <c r="U4" s="1462"/>
      <c r="V4" s="1462"/>
      <c r="W4" s="1462"/>
      <c r="X4" s="1462"/>
      <c r="Y4" s="1462"/>
      <c r="Z4" s="1462"/>
      <c r="AA4" s="1462"/>
      <c r="AB4" s="1462"/>
      <c r="AC4" s="1462"/>
      <c r="AD4" s="1462"/>
      <c r="AE4" s="1462"/>
      <c r="AF4" s="1462"/>
      <c r="AG4" s="1462"/>
      <c r="AH4" s="1462"/>
      <c r="AI4" s="1462"/>
      <c r="AJ4" s="1462"/>
      <c r="AK4" s="1462"/>
      <c r="AL4" s="1462"/>
      <c r="AM4" s="1462"/>
    </row>
    <row r="5" spans="1:39" outlineLevel="1">
      <c r="A5" s="1466" t="s">
        <v>35</v>
      </c>
      <c r="B5" s="1749" t="s">
        <v>3515</v>
      </c>
      <c r="C5" s="1749"/>
      <c r="D5" s="1749"/>
      <c r="E5" s="1462"/>
      <c r="F5" s="1749"/>
      <c r="G5" s="1749"/>
      <c r="H5" s="1462"/>
      <c r="I5" s="1462"/>
      <c r="J5" s="1462"/>
      <c r="K5" s="1462"/>
      <c r="L5" s="1462"/>
      <c r="M5" s="1462"/>
      <c r="N5" s="1462"/>
      <c r="O5" s="1462"/>
      <c r="P5" s="1462"/>
      <c r="Q5" s="1462"/>
      <c r="R5" s="1462"/>
      <c r="S5" s="1462"/>
      <c r="T5" s="1462"/>
      <c r="U5" s="1462"/>
      <c r="V5" s="1462"/>
      <c r="W5" s="1462"/>
      <c r="X5" s="1462"/>
      <c r="Y5" s="1462"/>
      <c r="Z5" s="1462"/>
      <c r="AA5" s="1462"/>
      <c r="AB5" s="1462"/>
      <c r="AC5" s="1462"/>
      <c r="AD5" s="1462"/>
      <c r="AE5" s="1462"/>
      <c r="AF5" s="1462"/>
      <c r="AG5" s="1462"/>
      <c r="AH5" s="1462"/>
      <c r="AI5" s="1462"/>
      <c r="AJ5" s="1462"/>
      <c r="AK5" s="1462"/>
      <c r="AL5" s="1462"/>
      <c r="AM5" s="1462"/>
    </row>
    <row r="6" spans="1:39" ht="16.5" outlineLevel="1">
      <c r="A6" s="1466" t="s">
        <v>3711</v>
      </c>
      <c r="B6" s="1749" t="s">
        <v>3515</v>
      </c>
      <c r="C6" s="1749"/>
      <c r="D6" s="1749"/>
      <c r="E6" s="1462"/>
      <c r="F6" s="1749"/>
      <c r="G6" s="1749"/>
      <c r="H6" s="1462"/>
      <c r="I6" s="1462"/>
      <c r="J6" s="1462"/>
      <c r="K6" s="1462"/>
      <c r="L6" s="1462"/>
      <c r="M6" s="1462"/>
      <c r="N6" s="1462"/>
      <c r="O6" s="1462"/>
      <c r="P6" s="1462"/>
      <c r="Q6" s="1462"/>
      <c r="R6" s="1462"/>
      <c r="S6" s="1462"/>
      <c r="T6" s="1462"/>
      <c r="U6" s="1462"/>
      <c r="V6" s="1462"/>
      <c r="W6" s="1462"/>
      <c r="X6" s="1462"/>
      <c r="Y6" s="1462"/>
      <c r="Z6" s="1462"/>
      <c r="AA6" s="1462"/>
      <c r="AB6" s="1462"/>
      <c r="AC6" s="1462"/>
      <c r="AD6" s="1462"/>
      <c r="AE6" s="1462"/>
      <c r="AF6" s="1462"/>
      <c r="AG6" s="1462"/>
      <c r="AH6" s="1462"/>
      <c r="AI6" s="1462"/>
      <c r="AJ6" s="1462"/>
      <c r="AK6" s="1462"/>
      <c r="AL6" s="1462"/>
      <c r="AM6" s="1462"/>
    </row>
    <row r="7" spans="1:39" outlineLevel="1">
      <c r="A7" s="1466" t="s">
        <v>64</v>
      </c>
      <c r="B7" s="1749" t="s">
        <v>3515</v>
      </c>
      <c r="C7" s="1749"/>
      <c r="D7" s="1749"/>
      <c r="E7" s="1462"/>
      <c r="F7" s="1749"/>
      <c r="G7" s="1749"/>
      <c r="H7" s="1462"/>
      <c r="I7" s="1462"/>
      <c r="J7" s="1462"/>
      <c r="K7" s="1462"/>
      <c r="L7" s="1462"/>
      <c r="M7" s="1462"/>
      <c r="N7" s="1462"/>
      <c r="O7" s="1462"/>
      <c r="P7" s="1462"/>
      <c r="Q7" s="1462"/>
      <c r="R7" s="1462"/>
      <c r="S7" s="1462"/>
      <c r="T7" s="1462"/>
      <c r="U7" s="1462"/>
      <c r="V7" s="1462"/>
      <c r="W7" s="1462"/>
      <c r="X7" s="1462"/>
      <c r="Y7" s="1462"/>
      <c r="Z7" s="1462"/>
      <c r="AA7" s="1462"/>
      <c r="AB7" s="1462"/>
      <c r="AC7" s="1462"/>
      <c r="AD7" s="1462"/>
      <c r="AE7" s="1462"/>
      <c r="AF7" s="1462"/>
      <c r="AG7" s="1462"/>
      <c r="AH7" s="1462"/>
      <c r="AI7" s="1462"/>
      <c r="AJ7" s="1462"/>
      <c r="AK7" s="1462"/>
      <c r="AL7" s="1462"/>
      <c r="AM7" s="1462"/>
    </row>
    <row r="8" spans="1:39" outlineLevel="1">
      <c r="A8" s="1470" t="s">
        <v>67</v>
      </c>
      <c r="B8" s="1749" t="s">
        <v>3561</v>
      </c>
      <c r="C8" s="1749"/>
      <c r="D8" s="1749"/>
      <c r="E8" s="1462"/>
      <c r="F8" s="1749"/>
      <c r="G8" s="1749"/>
      <c r="H8" s="1462"/>
      <c r="I8" s="1462"/>
      <c r="J8" s="1462"/>
      <c r="K8" s="1462"/>
      <c r="L8" s="1462"/>
      <c r="M8" s="1462"/>
      <c r="N8" s="1462"/>
      <c r="O8" s="1462"/>
      <c r="P8" s="1462"/>
      <c r="Q8" s="1462"/>
      <c r="R8" s="1462"/>
      <c r="S8" s="1462"/>
      <c r="T8" s="1462"/>
      <c r="U8" s="1462"/>
      <c r="V8" s="1462"/>
      <c r="W8" s="1462"/>
      <c r="X8" s="1462"/>
      <c r="Y8" s="1462"/>
      <c r="Z8" s="1462"/>
      <c r="AA8" s="1462"/>
      <c r="AB8" s="1462"/>
      <c r="AC8" s="1462"/>
      <c r="AD8" s="1462"/>
      <c r="AE8" s="1462"/>
      <c r="AF8" s="1462"/>
      <c r="AG8" s="1462"/>
      <c r="AH8" s="1462"/>
      <c r="AI8" s="1462"/>
      <c r="AJ8" s="1462"/>
      <c r="AK8" s="1462"/>
      <c r="AL8" s="1462"/>
      <c r="AM8" s="1462"/>
    </row>
    <row r="9" spans="1:39" outlineLevel="1">
      <c r="A9" s="1466" t="s">
        <v>68</v>
      </c>
      <c r="B9" s="1749" t="s">
        <v>3712</v>
      </c>
      <c r="C9" s="1749"/>
      <c r="D9" s="1749"/>
      <c r="E9" s="1462"/>
      <c r="F9" s="1749"/>
      <c r="G9" s="1749"/>
      <c r="H9" s="1462"/>
      <c r="I9" s="1462"/>
      <c r="J9" s="1462"/>
      <c r="K9" s="1462"/>
      <c r="L9" s="1462"/>
      <c r="M9" s="1462"/>
      <c r="N9" s="1462"/>
      <c r="O9" s="1462"/>
      <c r="P9" s="1462"/>
      <c r="Q9" s="1462"/>
      <c r="R9" s="1462"/>
      <c r="S9" s="1462"/>
      <c r="T9" s="1462"/>
      <c r="U9" s="1462"/>
      <c r="V9" s="1462"/>
      <c r="W9" s="1462"/>
      <c r="X9" s="1462"/>
      <c r="Y9" s="1462"/>
      <c r="Z9" s="1462"/>
      <c r="AA9" s="1462"/>
      <c r="AB9" s="1462"/>
      <c r="AC9" s="1462"/>
      <c r="AD9" s="1462"/>
      <c r="AE9" s="1462"/>
      <c r="AF9" s="1462"/>
      <c r="AG9" s="1462"/>
      <c r="AH9" s="1462"/>
      <c r="AI9" s="1462"/>
      <c r="AJ9" s="1462"/>
      <c r="AK9" s="1462"/>
      <c r="AL9" s="1462"/>
      <c r="AM9" s="1462"/>
    </row>
    <row r="10" spans="1:39" outlineLevel="1">
      <c r="A10" s="1466" t="s">
        <v>37</v>
      </c>
      <c r="B10" s="1749" t="s">
        <v>3713</v>
      </c>
      <c r="C10" s="1749"/>
      <c r="D10" s="1749"/>
      <c r="E10" s="1462"/>
      <c r="F10" s="1749"/>
      <c r="G10" s="1749"/>
      <c r="H10" s="1462"/>
      <c r="I10" s="1462"/>
      <c r="J10" s="1462"/>
      <c r="K10" s="1462"/>
      <c r="L10" s="1462"/>
      <c r="M10" s="1462"/>
      <c r="N10" s="1462"/>
      <c r="O10" s="1462"/>
      <c r="P10" s="1462"/>
      <c r="Q10" s="1462"/>
      <c r="R10" s="1462"/>
      <c r="S10" s="1462"/>
      <c r="T10" s="1462"/>
      <c r="U10" s="1462"/>
      <c r="V10" s="1462"/>
      <c r="W10" s="1462"/>
      <c r="X10" s="1462"/>
      <c r="Y10" s="1462"/>
      <c r="Z10" s="1462"/>
      <c r="AA10" s="1462"/>
      <c r="AB10" s="1462"/>
      <c r="AC10" s="1462"/>
      <c r="AD10" s="1462"/>
      <c r="AE10" s="1462"/>
      <c r="AF10" s="1462"/>
      <c r="AG10" s="1462"/>
      <c r="AH10" s="1462"/>
      <c r="AI10" s="1462"/>
      <c r="AJ10" s="1462"/>
      <c r="AK10" s="1462"/>
      <c r="AL10" s="1462"/>
      <c r="AM10" s="1462"/>
    </row>
    <row r="11" spans="1:39" ht="16.5" outlineLevel="1">
      <c r="A11" s="1466" t="s">
        <v>3714</v>
      </c>
      <c r="B11" s="1749" t="s">
        <v>3715</v>
      </c>
      <c r="C11" s="1749"/>
      <c r="D11" s="1749"/>
      <c r="E11" s="1462"/>
      <c r="F11" s="1749"/>
      <c r="G11" s="1749"/>
      <c r="H11" s="1462"/>
      <c r="I11" s="1462"/>
      <c r="J11" s="1462"/>
      <c r="K11" s="1462"/>
      <c r="L11" s="1462"/>
      <c r="M11" s="1462"/>
      <c r="N11" s="1462"/>
      <c r="O11" s="1462"/>
      <c r="P11" s="1462"/>
      <c r="Q11" s="1462"/>
      <c r="R11" s="1462"/>
      <c r="S11" s="1462"/>
      <c r="T11" s="1462"/>
      <c r="U11" s="1462"/>
      <c r="V11" s="1462"/>
      <c r="W11" s="1462"/>
      <c r="X11" s="1462"/>
      <c r="Y11" s="1462"/>
      <c r="Z11" s="1462"/>
      <c r="AA11" s="1462"/>
      <c r="AB11" s="1462"/>
      <c r="AC11" s="1462"/>
      <c r="AD11" s="1462"/>
      <c r="AE11" s="1462"/>
      <c r="AF11" s="1462"/>
      <c r="AG11" s="1462"/>
      <c r="AH11" s="1462"/>
      <c r="AI11" s="1462"/>
      <c r="AJ11" s="1462"/>
      <c r="AK11" s="1462"/>
      <c r="AL11" s="1462"/>
      <c r="AM11" s="1462"/>
    </row>
    <row r="12" spans="1:39" ht="16.5" outlineLevel="1">
      <c r="A12" s="1470" t="s">
        <v>3716</v>
      </c>
      <c r="B12" s="1749" t="s">
        <v>3561</v>
      </c>
      <c r="C12" s="1749"/>
      <c r="D12" s="1749"/>
      <c r="E12" s="1462"/>
      <c r="F12" s="1749"/>
      <c r="G12" s="1749"/>
      <c r="H12" s="1462"/>
      <c r="I12" s="1462"/>
      <c r="J12" s="1462"/>
      <c r="K12" s="1462"/>
      <c r="L12" s="1462"/>
      <c r="M12" s="1462"/>
      <c r="N12" s="1462"/>
      <c r="O12" s="1462"/>
      <c r="P12" s="1462"/>
      <c r="Q12" s="1462"/>
      <c r="R12" s="1462"/>
      <c r="S12" s="1462"/>
      <c r="T12" s="1462"/>
      <c r="U12" s="1462"/>
      <c r="V12" s="1462"/>
      <c r="W12" s="1462"/>
      <c r="X12" s="1462"/>
      <c r="Y12" s="1462"/>
      <c r="Z12" s="1462"/>
      <c r="AA12" s="1462"/>
      <c r="AB12" s="1462"/>
      <c r="AC12" s="1462"/>
      <c r="AD12" s="1462"/>
      <c r="AE12" s="1462"/>
      <c r="AF12" s="1462"/>
      <c r="AG12" s="1462"/>
      <c r="AH12" s="1462"/>
      <c r="AI12" s="1462"/>
      <c r="AJ12" s="1462"/>
      <c r="AK12" s="1462"/>
      <c r="AL12" s="1462"/>
      <c r="AM12" s="1462"/>
    </row>
    <row r="13" spans="1:39">
      <c r="A13" s="1559"/>
      <c r="B13" s="1560"/>
      <c r="C13" s="1462"/>
      <c r="D13" s="1462"/>
      <c r="E13" s="1462"/>
      <c r="F13" s="1462"/>
      <c r="G13" s="1462"/>
      <c r="H13" s="1462"/>
      <c r="I13" s="1462"/>
      <c r="J13" s="1462"/>
      <c r="K13" s="1462"/>
      <c r="L13" s="1462"/>
      <c r="M13" s="1462"/>
      <c r="N13" s="1462"/>
      <c r="O13" s="1462"/>
      <c r="P13" s="1462"/>
      <c r="Q13" s="1462"/>
      <c r="R13" s="1462"/>
      <c r="S13" s="1462"/>
      <c r="T13" s="1462"/>
      <c r="U13" s="1462"/>
      <c r="V13" s="1462"/>
      <c r="W13" s="1462"/>
      <c r="X13" s="1462"/>
      <c r="Y13" s="1462"/>
      <c r="Z13" s="1462"/>
      <c r="AA13" s="1462"/>
      <c r="AB13" s="1462"/>
      <c r="AC13" s="1462"/>
      <c r="AD13" s="1462"/>
      <c r="AE13" s="1462"/>
      <c r="AF13" s="1462"/>
      <c r="AG13" s="1462"/>
      <c r="AH13" s="1462"/>
      <c r="AI13" s="1462"/>
      <c r="AJ13" s="1462"/>
      <c r="AK13" s="1462"/>
      <c r="AL13" s="1462"/>
      <c r="AM13" s="1462"/>
    </row>
    <row r="14" spans="1:39">
      <c r="A14" s="1559"/>
      <c r="B14" s="1560"/>
      <c r="C14" s="1462" t="s">
        <v>604</v>
      </c>
      <c r="D14" s="1462" t="s">
        <v>3651</v>
      </c>
      <c r="E14" s="1462"/>
      <c r="F14" s="1462"/>
      <c r="G14" s="1462"/>
      <c r="H14" s="1462"/>
      <c r="I14" s="1462"/>
      <c r="J14" s="1462"/>
      <c r="K14" s="1462"/>
      <c r="L14" s="1462"/>
      <c r="M14" s="1462"/>
      <c r="N14" s="1462"/>
      <c r="O14" s="1462"/>
      <c r="P14" s="1462"/>
      <c r="Q14" s="1462"/>
      <c r="R14" s="1462"/>
      <c r="S14" s="1462"/>
      <c r="T14" s="1462"/>
      <c r="U14" s="1462"/>
      <c r="V14" s="1462"/>
      <c r="W14" s="1462"/>
      <c r="X14" s="1462"/>
      <c r="Y14" s="1462"/>
      <c r="Z14" s="1462"/>
      <c r="AA14" s="1462"/>
      <c r="AB14" s="1462"/>
      <c r="AC14" s="1462"/>
      <c r="AD14" s="1462"/>
      <c r="AE14" s="1462"/>
      <c r="AF14" s="1462"/>
      <c r="AG14" s="1462"/>
      <c r="AH14" s="1462"/>
      <c r="AI14" s="1462"/>
      <c r="AJ14" s="1462"/>
      <c r="AK14" s="1462"/>
      <c r="AL14" s="1462"/>
      <c r="AM14" s="1462"/>
    </row>
    <row r="15" spans="1:39">
      <c r="A15" s="1563" t="s">
        <v>3717</v>
      </c>
      <c r="B15" s="1560"/>
      <c r="C15" s="1532"/>
      <c r="D15" s="1462"/>
      <c r="E15" s="1462"/>
      <c r="F15" s="1462"/>
      <c r="G15" s="1462"/>
      <c r="H15" s="1462"/>
      <c r="I15" s="1462"/>
      <c r="J15" s="1462"/>
      <c r="K15" s="1462"/>
      <c r="L15" s="1462"/>
      <c r="M15" s="1462"/>
      <c r="N15" s="1462"/>
      <c r="O15" s="1532" t="s">
        <v>3718</v>
      </c>
      <c r="P15" s="1462"/>
      <c r="Q15" s="1462"/>
      <c r="R15" s="1462"/>
      <c r="S15" s="1462"/>
      <c r="T15" s="1462"/>
      <c r="U15" s="1462"/>
      <c r="V15" s="1462"/>
      <c r="W15" s="1462"/>
      <c r="X15" s="1570"/>
      <c r="Y15" s="1462"/>
      <c r="Z15" s="1462"/>
      <c r="AA15" s="1462"/>
      <c r="AB15" s="1462"/>
      <c r="AC15" s="1462"/>
      <c r="AD15" s="1462"/>
      <c r="AE15" s="1462"/>
      <c r="AF15" s="1462"/>
      <c r="AG15" s="1462"/>
      <c r="AH15" s="1462"/>
      <c r="AI15" s="1462"/>
      <c r="AJ15" s="1462"/>
      <c r="AK15" s="1462"/>
      <c r="AL15" s="1462"/>
      <c r="AM15" s="1462"/>
    </row>
    <row r="16" spans="1:39">
      <c r="A16" s="1563" t="s">
        <v>3719</v>
      </c>
      <c r="B16" s="1570"/>
      <c r="C16" s="1532"/>
      <c r="D16" s="1462"/>
      <c r="E16" s="1462"/>
      <c r="F16" s="1462"/>
      <c r="G16" s="1462"/>
      <c r="H16" s="1462"/>
      <c r="I16" s="1462"/>
      <c r="J16" s="1462"/>
      <c r="K16" s="1462"/>
      <c r="L16" s="1462"/>
      <c r="M16" s="1462"/>
      <c r="N16" s="1462"/>
      <c r="O16" s="1532"/>
      <c r="P16" s="1462"/>
      <c r="Q16" s="1462"/>
      <c r="R16" s="1462"/>
      <c r="S16" s="1462"/>
      <c r="T16" s="1462"/>
      <c r="U16" s="1462"/>
      <c r="V16" s="1462"/>
      <c r="W16" s="1462"/>
      <c r="X16" s="1570" t="s">
        <v>3526</v>
      </c>
      <c r="Y16" s="1462"/>
      <c r="Z16" s="1462"/>
      <c r="AA16" s="1462"/>
      <c r="AB16" s="1462"/>
      <c r="AC16" s="1462"/>
      <c r="AD16" s="1462"/>
      <c r="AE16" s="1462"/>
      <c r="AF16" s="1462"/>
      <c r="AG16" s="1462"/>
      <c r="AH16" s="1462"/>
      <c r="AI16" s="1462"/>
      <c r="AJ16" s="1462"/>
      <c r="AK16" s="1462"/>
      <c r="AL16" s="1462"/>
      <c r="AM16" s="1532" t="s">
        <v>3527</v>
      </c>
    </row>
    <row r="17" spans="1:53" s="244" customFormat="1" ht="18.75" customHeight="1" outlineLevel="1">
      <c r="A17" s="2011" t="s">
        <v>3720</v>
      </c>
      <c r="B17" s="2013"/>
      <c r="C17" s="1547" t="s">
        <v>3528</v>
      </c>
      <c r="D17" s="2139" t="s">
        <v>3721</v>
      </c>
      <c r="E17" s="2140"/>
      <c r="F17" s="2140"/>
      <c r="G17" s="2140"/>
      <c r="H17" s="2135" t="s">
        <v>3722</v>
      </c>
      <c r="I17" s="2150"/>
      <c r="J17" s="2136"/>
      <c r="K17" s="2135" t="s">
        <v>100</v>
      </c>
      <c r="L17" s="1749"/>
      <c r="M17" s="1749"/>
      <c r="N17" s="1749"/>
      <c r="O17" s="2011" t="s">
        <v>3723</v>
      </c>
      <c r="P17" s="2012"/>
      <c r="Q17" s="2012"/>
      <c r="R17" s="2013"/>
      <c r="S17" s="1508" t="s">
        <v>3724</v>
      </c>
      <c r="T17" s="1508" t="s">
        <v>3569</v>
      </c>
      <c r="U17" s="1508" t="s">
        <v>3570</v>
      </c>
      <c r="V17" s="1539"/>
      <c r="W17" s="1539"/>
      <c r="X17" s="2011" t="s">
        <v>3720</v>
      </c>
      <c r="Y17" s="2013"/>
      <c r="Z17" s="1526" t="s">
        <v>3528</v>
      </c>
      <c r="AA17" s="2139" t="s">
        <v>3721</v>
      </c>
      <c r="AB17" s="2140"/>
      <c r="AC17" s="2140"/>
      <c r="AD17" s="2140"/>
      <c r="AE17" s="2135" t="s">
        <v>3722</v>
      </c>
      <c r="AF17" s="2150"/>
      <c r="AG17" s="2136"/>
      <c r="AH17" s="2135" t="s">
        <v>100</v>
      </c>
      <c r="AI17" s="1749"/>
      <c r="AJ17" s="1749"/>
      <c r="AK17" s="1749"/>
      <c r="AL17" s="1539"/>
      <c r="AM17" s="2011" t="s">
        <v>3720</v>
      </c>
      <c r="AN17" s="2013"/>
      <c r="AO17" s="1526" t="s">
        <v>3528</v>
      </c>
      <c r="AP17" s="2139" t="s">
        <v>3721</v>
      </c>
      <c r="AQ17" s="2140"/>
      <c r="AR17" s="2140"/>
      <c r="AS17" s="2140"/>
      <c r="AT17" s="2135" t="s">
        <v>3722</v>
      </c>
      <c r="AU17" s="2150"/>
      <c r="AV17" s="2136"/>
      <c r="AW17" s="2135" t="s">
        <v>100</v>
      </c>
      <c r="AX17" s="1749"/>
      <c r="AY17" s="1749"/>
      <c r="AZ17" s="1749"/>
      <c r="BA17" s="1464" t="s">
        <v>3725</v>
      </c>
    </row>
    <row r="18" spans="1:53" ht="15" outlineLevel="1">
      <c r="A18" s="1749">
        <v>200</v>
      </c>
      <c r="B18" s="1749"/>
      <c r="C18" s="1749">
        <v>3</v>
      </c>
      <c r="D18" s="1749" t="s">
        <v>3726</v>
      </c>
      <c r="E18" s="1749"/>
      <c r="F18" s="1749"/>
      <c r="G18" s="2132"/>
      <c r="H18" s="2176" t="s">
        <v>3727</v>
      </c>
      <c r="I18" s="2177"/>
      <c r="J18" s="1562" t="s">
        <v>91</v>
      </c>
      <c r="K18" s="2128">
        <v>2</v>
      </c>
      <c r="L18" s="2129"/>
      <c r="M18" s="2129"/>
      <c r="N18" s="2130"/>
      <c r="O18" s="1578">
        <v>0</v>
      </c>
      <c r="P18" s="1579"/>
      <c r="Q18" s="1579"/>
      <c r="R18" s="1580"/>
      <c r="S18" s="1749">
        <v>0</v>
      </c>
      <c r="T18" s="1749">
        <v>0</v>
      </c>
      <c r="U18" s="1749">
        <v>0</v>
      </c>
      <c r="V18" s="1462"/>
      <c r="W18" s="1462"/>
      <c r="X18" s="1749">
        <v>200</v>
      </c>
      <c r="Y18" s="1749"/>
      <c r="Z18" s="1552"/>
      <c r="AA18" s="2189" t="s">
        <v>3726</v>
      </c>
      <c r="AB18" s="1749"/>
      <c r="AC18" s="1749"/>
      <c r="AD18" s="2190"/>
      <c r="AE18" s="2186" t="s">
        <v>3727</v>
      </c>
      <c r="AF18" s="2187"/>
      <c r="AG18" s="1587" t="s">
        <v>91</v>
      </c>
      <c r="AH18" s="2200">
        <v>2</v>
      </c>
      <c r="AI18" s="2201"/>
      <c r="AJ18" s="2201"/>
      <c r="AK18" s="2202"/>
      <c r="AL18" s="1462"/>
      <c r="AM18" s="1749">
        <v>200</v>
      </c>
      <c r="AN18" s="1749"/>
      <c r="AO18" s="1552"/>
      <c r="AP18" s="2189" t="s">
        <v>3726</v>
      </c>
      <c r="AQ18" s="1749"/>
      <c r="AR18" s="1749"/>
      <c r="AS18" s="2190"/>
      <c r="AT18" s="2186" t="s">
        <v>3727</v>
      </c>
      <c r="AU18" s="2187"/>
      <c r="AV18" s="1587" t="s">
        <v>91</v>
      </c>
      <c r="AW18" s="2200">
        <v>2</v>
      </c>
      <c r="AX18" s="2201"/>
      <c r="AY18" s="2201"/>
      <c r="AZ18" s="2202"/>
      <c r="BA18" s="1530"/>
    </row>
    <row r="19" spans="1:53" ht="15" outlineLevel="1">
      <c r="A19" s="1749"/>
      <c r="B19" s="1749"/>
      <c r="C19" s="1749"/>
      <c r="D19" s="1749" t="s">
        <v>3728</v>
      </c>
      <c r="E19" s="1749"/>
      <c r="F19" s="1749"/>
      <c r="G19" s="2132"/>
      <c r="H19" s="2176" t="s">
        <v>3729</v>
      </c>
      <c r="I19" s="2177"/>
      <c r="J19" s="1562" t="s">
        <v>91</v>
      </c>
      <c r="K19" s="2128">
        <v>1</v>
      </c>
      <c r="L19" s="2129"/>
      <c r="M19" s="2129"/>
      <c r="N19" s="2130"/>
      <c r="O19" s="1581"/>
      <c r="P19" s="1582"/>
      <c r="Q19" s="1582"/>
      <c r="R19" s="1583"/>
      <c r="S19" s="1749"/>
      <c r="T19" s="1749"/>
      <c r="U19" s="1749"/>
      <c r="V19" s="1462"/>
      <c r="W19" s="1462"/>
      <c r="X19" s="1749"/>
      <c r="Y19" s="1749"/>
      <c r="Z19" s="1552"/>
      <c r="AA19" s="2189" t="s">
        <v>3728</v>
      </c>
      <c r="AB19" s="1749"/>
      <c r="AC19" s="1749"/>
      <c r="AD19" s="2190"/>
      <c r="AE19" s="2186" t="s">
        <v>3729</v>
      </c>
      <c r="AF19" s="2187"/>
      <c r="AG19" s="1587" t="s">
        <v>91</v>
      </c>
      <c r="AH19" s="2200">
        <v>1</v>
      </c>
      <c r="AI19" s="2201"/>
      <c r="AJ19" s="2201"/>
      <c r="AK19" s="2202"/>
      <c r="AL19" s="1462"/>
      <c r="AM19" s="1749"/>
      <c r="AN19" s="1749"/>
      <c r="AO19" s="1552"/>
      <c r="AP19" s="2189" t="s">
        <v>3728</v>
      </c>
      <c r="AQ19" s="1749"/>
      <c r="AR19" s="1749"/>
      <c r="AS19" s="2190"/>
      <c r="AT19" s="2186" t="s">
        <v>3729</v>
      </c>
      <c r="AU19" s="2187"/>
      <c r="AV19" s="1587" t="s">
        <v>91</v>
      </c>
      <c r="AW19" s="2200">
        <v>1</v>
      </c>
      <c r="AX19" s="2201"/>
      <c r="AY19" s="2201"/>
      <c r="AZ19" s="2202"/>
      <c r="BA19" s="1530"/>
    </row>
    <row r="20" spans="1:53" ht="15" outlineLevel="1">
      <c r="A20" s="1749"/>
      <c r="B20" s="1749"/>
      <c r="C20" s="1749"/>
      <c r="D20" s="1749" t="s">
        <v>3574</v>
      </c>
      <c r="E20" s="1749"/>
      <c r="F20" s="1749"/>
      <c r="G20" s="2132"/>
      <c r="H20" s="2176" t="s">
        <v>3730</v>
      </c>
      <c r="I20" s="2177"/>
      <c r="J20" s="1562" t="s">
        <v>91</v>
      </c>
      <c r="K20" s="2128">
        <v>0.4</v>
      </c>
      <c r="L20" s="2129"/>
      <c r="M20" s="2129"/>
      <c r="N20" s="2130"/>
      <c r="O20" s="1581"/>
      <c r="P20" s="1582"/>
      <c r="Q20" s="1582"/>
      <c r="R20" s="1583"/>
      <c r="S20" s="1749"/>
      <c r="T20" s="1749"/>
      <c r="U20" s="1749"/>
      <c r="V20" s="1462"/>
      <c r="W20" s="1462"/>
      <c r="X20" s="1749"/>
      <c r="Y20" s="1749"/>
      <c r="Z20" s="1552"/>
      <c r="AA20" s="2189" t="s">
        <v>3574</v>
      </c>
      <c r="AB20" s="1749"/>
      <c r="AC20" s="1749"/>
      <c r="AD20" s="2190"/>
      <c r="AE20" s="2186" t="s">
        <v>3730</v>
      </c>
      <c r="AF20" s="2187"/>
      <c r="AG20" s="1587" t="s">
        <v>91</v>
      </c>
      <c r="AH20" s="2200">
        <v>0.4</v>
      </c>
      <c r="AI20" s="2201"/>
      <c r="AJ20" s="2201"/>
      <c r="AK20" s="2202"/>
      <c r="AL20" s="1462"/>
      <c r="AM20" s="1749"/>
      <c r="AN20" s="1749"/>
      <c r="AO20" s="1552"/>
      <c r="AP20" s="2189" t="s">
        <v>3574</v>
      </c>
      <c r="AQ20" s="1749"/>
      <c r="AR20" s="1749"/>
      <c r="AS20" s="2190"/>
      <c r="AT20" s="2186" t="s">
        <v>3730</v>
      </c>
      <c r="AU20" s="2187"/>
      <c r="AV20" s="1587" t="s">
        <v>91</v>
      </c>
      <c r="AW20" s="2200">
        <v>0.4</v>
      </c>
      <c r="AX20" s="2201"/>
      <c r="AY20" s="2201"/>
      <c r="AZ20" s="2202"/>
      <c r="BA20" s="1530"/>
    </row>
    <row r="21" spans="1:53" ht="15" outlineLevel="1">
      <c r="A21" s="1749"/>
      <c r="B21" s="1749"/>
      <c r="C21" s="1749"/>
      <c r="D21" s="1749" t="s">
        <v>3576</v>
      </c>
      <c r="E21" s="1749"/>
      <c r="F21" s="1749"/>
      <c r="G21" s="2132"/>
      <c r="H21" s="2176" t="s">
        <v>3731</v>
      </c>
      <c r="I21" s="2177"/>
      <c r="J21" s="1562" t="s">
        <v>91</v>
      </c>
      <c r="K21" s="2128">
        <v>0.2</v>
      </c>
      <c r="L21" s="2129"/>
      <c r="M21" s="2129"/>
      <c r="N21" s="2130"/>
      <c r="O21" s="1581"/>
      <c r="P21" s="1582"/>
      <c r="Q21" s="1582"/>
      <c r="R21" s="1583"/>
      <c r="S21" s="1749"/>
      <c r="T21" s="1749"/>
      <c r="U21" s="1749"/>
      <c r="V21" s="1462"/>
      <c r="W21" s="1462"/>
      <c r="X21" s="1749"/>
      <c r="Y21" s="1749"/>
      <c r="Z21" s="1552"/>
      <c r="AA21" s="2189" t="s">
        <v>3576</v>
      </c>
      <c r="AB21" s="1749"/>
      <c r="AC21" s="1749"/>
      <c r="AD21" s="2190"/>
      <c r="AE21" s="2186" t="s">
        <v>3731</v>
      </c>
      <c r="AF21" s="2187"/>
      <c r="AG21" s="1587" t="s">
        <v>91</v>
      </c>
      <c r="AH21" s="2200">
        <v>0.2</v>
      </c>
      <c r="AI21" s="2201"/>
      <c r="AJ21" s="2201"/>
      <c r="AK21" s="2202"/>
      <c r="AL21" s="1462"/>
      <c r="AM21" s="1749"/>
      <c r="AN21" s="1749"/>
      <c r="AO21" s="1552"/>
      <c r="AP21" s="2189" t="s">
        <v>3576</v>
      </c>
      <c r="AQ21" s="1749"/>
      <c r="AR21" s="1749"/>
      <c r="AS21" s="2190"/>
      <c r="AT21" s="2186" t="s">
        <v>3731</v>
      </c>
      <c r="AU21" s="2187"/>
      <c r="AV21" s="1587" t="s">
        <v>91</v>
      </c>
      <c r="AW21" s="2200">
        <v>0.2</v>
      </c>
      <c r="AX21" s="2201"/>
      <c r="AY21" s="2201"/>
      <c r="AZ21" s="2202"/>
      <c r="BA21" s="1530"/>
    </row>
    <row r="22" spans="1:53" ht="15" outlineLevel="1">
      <c r="A22" s="1749"/>
      <c r="B22" s="1749"/>
      <c r="C22" s="1749"/>
      <c r="D22" s="1749" t="s">
        <v>3578</v>
      </c>
      <c r="E22" s="1749"/>
      <c r="F22" s="1749"/>
      <c r="G22" s="2132"/>
      <c r="H22" s="2176" t="s">
        <v>3732</v>
      </c>
      <c r="I22" s="2177"/>
      <c r="J22" s="1562" t="s">
        <v>91</v>
      </c>
      <c r="K22" s="2128">
        <v>1</v>
      </c>
      <c r="L22" s="2129"/>
      <c r="M22" s="2129"/>
      <c r="N22" s="2130"/>
      <c r="O22" s="1581"/>
      <c r="P22" s="1582"/>
      <c r="Q22" s="1582"/>
      <c r="R22" s="1583"/>
      <c r="S22" s="1749"/>
      <c r="T22" s="1749"/>
      <c r="U22" s="1749"/>
      <c r="V22" s="1462"/>
      <c r="W22" s="1462"/>
      <c r="X22" s="1749"/>
      <c r="Y22" s="1749"/>
      <c r="Z22" s="1552">
        <v>3</v>
      </c>
      <c r="AA22" s="2189" t="s">
        <v>3578</v>
      </c>
      <c r="AB22" s="1749"/>
      <c r="AC22" s="1749"/>
      <c r="AD22" s="2190"/>
      <c r="AE22" s="2186" t="s">
        <v>3732</v>
      </c>
      <c r="AF22" s="2187"/>
      <c r="AG22" s="1587" t="s">
        <v>91</v>
      </c>
      <c r="AH22" s="2200">
        <v>1</v>
      </c>
      <c r="AI22" s="2201"/>
      <c r="AJ22" s="2201"/>
      <c r="AK22" s="2202"/>
      <c r="AL22" s="1462"/>
      <c r="AM22" s="1749"/>
      <c r="AN22" s="1749"/>
      <c r="AO22" s="1552">
        <v>3</v>
      </c>
      <c r="AP22" s="2189" t="s">
        <v>3578</v>
      </c>
      <c r="AQ22" s="1749"/>
      <c r="AR22" s="1749"/>
      <c r="AS22" s="2190"/>
      <c r="AT22" s="2186" t="s">
        <v>3732</v>
      </c>
      <c r="AU22" s="2187"/>
      <c r="AV22" s="1587" t="s">
        <v>91</v>
      </c>
      <c r="AW22" s="2200">
        <v>1</v>
      </c>
      <c r="AX22" s="2201"/>
      <c r="AY22" s="2201"/>
      <c r="AZ22" s="2202"/>
      <c r="BA22" s="1530"/>
    </row>
    <row r="23" spans="1:53" ht="15" outlineLevel="1">
      <c r="A23" s="1749"/>
      <c r="B23" s="1749"/>
      <c r="C23" s="1749"/>
      <c r="D23" s="1749" t="s">
        <v>3733</v>
      </c>
      <c r="E23" s="1749"/>
      <c r="F23" s="1749"/>
      <c r="G23" s="2132"/>
      <c r="H23" s="2176" t="s">
        <v>3734</v>
      </c>
      <c r="I23" s="2177"/>
      <c r="J23" s="1562" t="s">
        <v>91</v>
      </c>
      <c r="K23" s="2128">
        <v>1.6</v>
      </c>
      <c r="L23" s="2129"/>
      <c r="M23" s="2129"/>
      <c r="N23" s="2130"/>
      <c r="O23" s="1581"/>
      <c r="P23" s="1582"/>
      <c r="Q23" s="1582"/>
      <c r="R23" s="1583"/>
      <c r="S23" s="1749"/>
      <c r="T23" s="1749"/>
      <c r="U23" s="1749"/>
      <c r="V23" s="1462"/>
      <c r="W23" s="1462"/>
      <c r="X23" s="1749"/>
      <c r="Y23" s="1749"/>
      <c r="Z23" s="1552"/>
      <c r="AA23" s="2189" t="s">
        <v>3733</v>
      </c>
      <c r="AB23" s="1749"/>
      <c r="AC23" s="1749"/>
      <c r="AD23" s="2190"/>
      <c r="AE23" s="2186" t="s">
        <v>3734</v>
      </c>
      <c r="AF23" s="2187"/>
      <c r="AG23" s="1587" t="s">
        <v>91</v>
      </c>
      <c r="AH23" s="2200">
        <v>1.6</v>
      </c>
      <c r="AI23" s="2201"/>
      <c r="AJ23" s="2201"/>
      <c r="AK23" s="2202"/>
      <c r="AL23" s="1462"/>
      <c r="AM23" s="1749"/>
      <c r="AN23" s="1749"/>
      <c r="AO23" s="1552"/>
      <c r="AP23" s="2189" t="s">
        <v>3733</v>
      </c>
      <c r="AQ23" s="1749"/>
      <c r="AR23" s="1749"/>
      <c r="AS23" s="2190"/>
      <c r="AT23" s="2186" t="s">
        <v>3734</v>
      </c>
      <c r="AU23" s="2187"/>
      <c r="AV23" s="1587" t="s">
        <v>91</v>
      </c>
      <c r="AW23" s="2200">
        <v>1.6</v>
      </c>
      <c r="AX23" s="2201"/>
      <c r="AY23" s="2201"/>
      <c r="AZ23" s="2202"/>
      <c r="BA23" s="1530"/>
    </row>
    <row r="24" spans="1:53" ht="15" outlineLevel="1">
      <c r="A24" s="1749"/>
      <c r="B24" s="1749"/>
      <c r="C24" s="1749"/>
      <c r="D24" s="1749" t="s">
        <v>3582</v>
      </c>
      <c r="E24" s="1749"/>
      <c r="F24" s="1749"/>
      <c r="G24" s="2132"/>
      <c r="H24" s="2176" t="s">
        <v>3735</v>
      </c>
      <c r="I24" s="2177"/>
      <c r="J24" s="1562" t="s">
        <v>91</v>
      </c>
      <c r="K24" s="2128">
        <v>0.9</v>
      </c>
      <c r="L24" s="2129"/>
      <c r="M24" s="2129"/>
      <c r="N24" s="2130"/>
      <c r="O24" s="1581"/>
      <c r="P24" s="1582"/>
      <c r="Q24" s="1582"/>
      <c r="R24" s="1583"/>
      <c r="S24" s="1749"/>
      <c r="T24" s="1749"/>
      <c r="U24" s="1749"/>
      <c r="V24" s="1462"/>
      <c r="W24" s="1462"/>
      <c r="X24" s="1749"/>
      <c r="Y24" s="1749"/>
      <c r="Z24" s="1552"/>
      <c r="AA24" s="2189" t="s">
        <v>3582</v>
      </c>
      <c r="AB24" s="1749"/>
      <c r="AC24" s="1749"/>
      <c r="AD24" s="2190"/>
      <c r="AE24" s="2186" t="s">
        <v>3735</v>
      </c>
      <c r="AF24" s="2187"/>
      <c r="AG24" s="1587" t="s">
        <v>91</v>
      </c>
      <c r="AH24" s="2200">
        <v>0.9</v>
      </c>
      <c r="AI24" s="2201"/>
      <c r="AJ24" s="2201"/>
      <c r="AK24" s="2202"/>
      <c r="AL24" s="1462"/>
      <c r="AM24" s="1749"/>
      <c r="AN24" s="1749"/>
      <c r="AO24" s="1552"/>
      <c r="AP24" s="2189" t="s">
        <v>3582</v>
      </c>
      <c r="AQ24" s="1749"/>
      <c r="AR24" s="1749"/>
      <c r="AS24" s="2190"/>
      <c r="AT24" s="2186" t="s">
        <v>3735</v>
      </c>
      <c r="AU24" s="2187"/>
      <c r="AV24" s="1587" t="s">
        <v>91</v>
      </c>
      <c r="AW24" s="2200">
        <v>0.9</v>
      </c>
      <c r="AX24" s="2201"/>
      <c r="AY24" s="2201"/>
      <c r="AZ24" s="2202"/>
      <c r="BA24" s="1530"/>
    </row>
    <row r="25" spans="1:53" ht="15" outlineLevel="1">
      <c r="A25" s="1749"/>
      <c r="B25" s="1749"/>
      <c r="C25" s="1749"/>
      <c r="D25" s="1749" t="s">
        <v>3736</v>
      </c>
      <c r="E25" s="1749"/>
      <c r="F25" s="1749"/>
      <c r="G25" s="2132"/>
      <c r="H25" s="2176" t="s">
        <v>3584</v>
      </c>
      <c r="I25" s="2177"/>
      <c r="J25" s="1562" t="s">
        <v>91</v>
      </c>
      <c r="K25" s="2128">
        <v>0.5</v>
      </c>
      <c r="L25" s="2129"/>
      <c r="M25" s="2129"/>
      <c r="N25" s="2130"/>
      <c r="O25" s="1581"/>
      <c r="P25" s="1582"/>
      <c r="Q25" s="1582"/>
      <c r="R25" s="1583"/>
      <c r="S25" s="1749"/>
      <c r="T25" s="1749"/>
      <c r="U25" s="1749"/>
      <c r="V25" s="1462"/>
      <c r="W25" s="1462"/>
      <c r="X25" s="1749"/>
      <c r="Y25" s="1749"/>
      <c r="Z25" s="1552"/>
      <c r="AA25" s="2189" t="s">
        <v>3736</v>
      </c>
      <c r="AB25" s="1749"/>
      <c r="AC25" s="1749"/>
      <c r="AD25" s="2190"/>
      <c r="AE25" s="2186" t="s">
        <v>3584</v>
      </c>
      <c r="AF25" s="2187"/>
      <c r="AG25" s="1587" t="s">
        <v>91</v>
      </c>
      <c r="AH25" s="2200">
        <v>0.5</v>
      </c>
      <c r="AI25" s="2201"/>
      <c r="AJ25" s="2201"/>
      <c r="AK25" s="2202"/>
      <c r="AL25" s="1462"/>
      <c r="AM25" s="1749"/>
      <c r="AN25" s="1749"/>
      <c r="AO25" s="1552"/>
      <c r="AP25" s="2189" t="s">
        <v>3736</v>
      </c>
      <c r="AQ25" s="1749"/>
      <c r="AR25" s="1749"/>
      <c r="AS25" s="2190"/>
      <c r="AT25" s="2186" t="s">
        <v>3584</v>
      </c>
      <c r="AU25" s="2187"/>
      <c r="AV25" s="1587" t="s">
        <v>91</v>
      </c>
      <c r="AW25" s="2200">
        <v>0.5</v>
      </c>
      <c r="AX25" s="2201"/>
      <c r="AY25" s="2201"/>
      <c r="AZ25" s="2202"/>
      <c r="BA25" s="1530"/>
    </row>
    <row r="26" spans="1:53" ht="15" outlineLevel="1">
      <c r="A26" s="1749"/>
      <c r="B26" s="1749"/>
      <c r="C26" s="1749"/>
      <c r="D26" s="1749">
        <v>50</v>
      </c>
      <c r="E26" s="1749"/>
      <c r="F26" s="1749"/>
      <c r="G26" s="1749"/>
      <c r="H26" s="2176" t="s">
        <v>3737</v>
      </c>
      <c r="I26" s="2177"/>
      <c r="J26" s="1562" t="s">
        <v>91</v>
      </c>
      <c r="K26" s="2128">
        <v>0.2</v>
      </c>
      <c r="L26" s="2129"/>
      <c r="M26" s="2129"/>
      <c r="N26" s="2130"/>
      <c r="O26" s="1581"/>
      <c r="P26" s="1582"/>
      <c r="Q26" s="1582"/>
      <c r="R26" s="1583"/>
      <c r="S26" s="1749"/>
      <c r="T26" s="1749"/>
      <c r="U26" s="1749"/>
      <c r="V26" s="1462"/>
      <c r="W26" s="1462"/>
      <c r="X26" s="1749"/>
      <c r="Y26" s="1749"/>
      <c r="Z26" s="1593"/>
      <c r="AA26" s="2204">
        <v>50</v>
      </c>
      <c r="AB26" s="2204"/>
      <c r="AC26" s="2204"/>
      <c r="AD26" s="2204"/>
      <c r="AE26" s="2186" t="s">
        <v>3737</v>
      </c>
      <c r="AF26" s="2187"/>
      <c r="AG26" s="1587" t="s">
        <v>91</v>
      </c>
      <c r="AH26" s="2200">
        <v>0.2</v>
      </c>
      <c r="AI26" s="2201"/>
      <c r="AJ26" s="2201"/>
      <c r="AK26" s="2202"/>
      <c r="AL26" s="1462"/>
      <c r="AM26" s="1749"/>
      <c r="AN26" s="1749"/>
      <c r="AO26" s="1593"/>
      <c r="AP26" s="2204">
        <v>50</v>
      </c>
      <c r="AQ26" s="2204"/>
      <c r="AR26" s="2204"/>
      <c r="AS26" s="2204"/>
      <c r="AT26" s="2186" t="s">
        <v>3737</v>
      </c>
      <c r="AU26" s="2187"/>
      <c r="AV26" s="1587" t="s">
        <v>91</v>
      </c>
      <c r="AW26" s="2200">
        <v>0.2</v>
      </c>
      <c r="AX26" s="2201"/>
      <c r="AY26" s="2201"/>
      <c r="AZ26" s="2202"/>
      <c r="BA26" s="1530"/>
    </row>
    <row r="27" spans="1:53" ht="15" outlineLevel="1">
      <c r="A27" s="1749"/>
      <c r="B27" s="1749"/>
      <c r="C27" s="1749"/>
      <c r="D27" s="2124">
        <v>100</v>
      </c>
      <c r="E27" s="2144"/>
      <c r="F27" s="2144"/>
      <c r="G27" s="2144"/>
      <c r="H27" s="2176" t="s">
        <v>3738</v>
      </c>
      <c r="I27" s="2177"/>
      <c r="J27" s="1562" t="s">
        <v>91</v>
      </c>
      <c r="K27" s="2128">
        <v>0.1</v>
      </c>
      <c r="L27" s="2129"/>
      <c r="M27" s="2129"/>
      <c r="N27" s="2130"/>
      <c r="O27" s="1581"/>
      <c r="P27" s="1582"/>
      <c r="Q27" s="1582"/>
      <c r="R27" s="1583"/>
      <c r="S27" s="1749"/>
      <c r="T27" s="1749"/>
      <c r="U27" s="1749"/>
      <c r="V27" s="1462"/>
      <c r="W27" s="1462"/>
      <c r="X27" s="1749"/>
      <c r="Y27" s="1749"/>
      <c r="Z27" s="1593"/>
      <c r="AA27" s="2203">
        <v>100</v>
      </c>
      <c r="AB27" s="2203"/>
      <c r="AC27" s="2203"/>
      <c r="AD27" s="2203"/>
      <c r="AE27" s="2186" t="s">
        <v>3738</v>
      </c>
      <c r="AF27" s="2187"/>
      <c r="AG27" s="1587" t="s">
        <v>91</v>
      </c>
      <c r="AH27" s="2200">
        <v>0.1</v>
      </c>
      <c r="AI27" s="2201"/>
      <c r="AJ27" s="2201"/>
      <c r="AK27" s="2202"/>
      <c r="AL27" s="1462"/>
      <c r="AM27" s="1749"/>
      <c r="AN27" s="1749"/>
      <c r="AO27" s="1593"/>
      <c r="AP27" s="2203">
        <v>100</v>
      </c>
      <c r="AQ27" s="2203"/>
      <c r="AR27" s="2203"/>
      <c r="AS27" s="2203"/>
      <c r="AT27" s="2186" t="s">
        <v>3738</v>
      </c>
      <c r="AU27" s="2187"/>
      <c r="AV27" s="1587" t="s">
        <v>91</v>
      </c>
      <c r="AW27" s="2200">
        <v>0.1</v>
      </c>
      <c r="AX27" s="2201"/>
      <c r="AY27" s="2201"/>
      <c r="AZ27" s="2202"/>
      <c r="BA27" s="1530"/>
    </row>
    <row r="28" spans="1:53" ht="15" outlineLevel="1">
      <c r="A28" s="1749"/>
      <c r="B28" s="1749"/>
      <c r="C28" s="1749"/>
      <c r="D28" s="2124">
        <v>200</v>
      </c>
      <c r="E28" s="2144"/>
      <c r="F28" s="2144"/>
      <c r="G28" s="2144"/>
      <c r="H28" s="2176" t="s">
        <v>3739</v>
      </c>
      <c r="I28" s="2177"/>
      <c r="J28" s="1562" t="s">
        <v>91</v>
      </c>
      <c r="K28" s="2128">
        <v>0.1</v>
      </c>
      <c r="L28" s="2129"/>
      <c r="M28" s="2129"/>
      <c r="N28" s="2130"/>
      <c r="O28" s="1584"/>
      <c r="P28" s="1585"/>
      <c r="Q28" s="1585"/>
      <c r="R28" s="1586"/>
      <c r="S28" s="1749"/>
      <c r="T28" s="1749"/>
      <c r="U28" s="1749"/>
      <c r="V28" s="1462"/>
      <c r="W28" s="1462"/>
      <c r="X28" s="2237"/>
      <c r="Y28" s="2238"/>
      <c r="Z28" s="1592"/>
      <c r="AA28" s="2203">
        <v>200</v>
      </c>
      <c r="AB28" s="2203"/>
      <c r="AC28" s="2203"/>
      <c r="AD28" s="2203"/>
      <c r="AE28" s="2186" t="s">
        <v>3739</v>
      </c>
      <c r="AF28" s="2187"/>
      <c r="AG28" s="1587" t="s">
        <v>91</v>
      </c>
      <c r="AH28" s="2200">
        <v>0.1</v>
      </c>
      <c r="AI28" s="2201"/>
      <c r="AJ28" s="2201"/>
      <c r="AK28" s="2202"/>
      <c r="AL28" s="1462"/>
      <c r="AM28" s="2237"/>
      <c r="AN28" s="2238"/>
      <c r="AO28" s="1592"/>
      <c r="AP28" s="2203">
        <v>200</v>
      </c>
      <c r="AQ28" s="2203"/>
      <c r="AR28" s="2203"/>
      <c r="AS28" s="2203"/>
      <c r="AT28" s="2186" t="s">
        <v>3739</v>
      </c>
      <c r="AU28" s="2187"/>
      <c r="AV28" s="1587" t="s">
        <v>91</v>
      </c>
      <c r="AW28" s="2200">
        <v>0.1</v>
      </c>
      <c r="AX28" s="2201"/>
      <c r="AY28" s="2201"/>
      <c r="AZ28" s="2202"/>
      <c r="BA28" s="1530"/>
    </row>
    <row r="29" spans="1:53" outlineLevel="1">
      <c r="A29" s="1532" t="s">
        <v>593</v>
      </c>
      <c r="B29" s="1532" t="s">
        <v>3740</v>
      </c>
      <c r="C29" s="1462"/>
      <c r="D29" s="1462"/>
      <c r="E29" s="1462"/>
      <c r="F29" s="1462"/>
      <c r="G29" s="1462"/>
      <c r="H29" s="1462"/>
      <c r="I29" s="1462"/>
      <c r="J29" s="1462"/>
      <c r="K29" s="1462"/>
      <c r="L29" s="1462"/>
      <c r="M29" s="1462"/>
      <c r="N29" s="1462"/>
      <c r="O29" s="1462"/>
      <c r="P29" s="1462"/>
      <c r="Q29" s="1462"/>
      <c r="R29" s="1462"/>
      <c r="S29" s="1462"/>
      <c r="T29" s="1462"/>
      <c r="U29" s="1462"/>
      <c r="V29" s="1462"/>
      <c r="W29" s="1462"/>
      <c r="X29" s="1573"/>
      <c r="Y29" s="1573"/>
      <c r="Z29" s="1573"/>
      <c r="AA29" s="1573"/>
      <c r="AB29" s="1573"/>
      <c r="AC29" s="1576"/>
      <c r="AD29" s="1576"/>
      <c r="AE29" s="1573"/>
      <c r="AF29" s="1462"/>
      <c r="AG29" s="1462"/>
      <c r="AH29" s="1462"/>
      <c r="AI29" s="1462"/>
      <c r="AJ29" s="1462"/>
      <c r="AK29" s="1462"/>
      <c r="AL29" s="1462"/>
      <c r="AM29" s="1462"/>
      <c r="AN29" s="1462"/>
      <c r="AO29" s="1462"/>
      <c r="AP29" s="1462"/>
      <c r="AQ29" s="1462"/>
      <c r="AR29" s="1462"/>
      <c r="AS29" s="1462"/>
      <c r="AT29" s="1462"/>
      <c r="AU29" s="1462"/>
      <c r="AV29" s="1462"/>
      <c r="AW29" s="1462"/>
      <c r="AX29" s="1462"/>
      <c r="AY29" s="1462"/>
      <c r="AZ29" s="1462"/>
      <c r="BA29" s="1462"/>
    </row>
    <row r="30" spans="1:53">
      <c r="A30" s="1462"/>
      <c r="B30" s="1462"/>
      <c r="C30" s="1462"/>
      <c r="D30" s="1462"/>
      <c r="E30" s="1462"/>
      <c r="F30" s="1462"/>
      <c r="G30" s="1462"/>
      <c r="H30" s="1462"/>
      <c r="I30" s="1462"/>
      <c r="J30" s="1462"/>
      <c r="K30" s="1462"/>
      <c r="L30" s="1462"/>
      <c r="M30" s="1462"/>
      <c r="N30" s="1462"/>
      <c r="O30" s="1462"/>
      <c r="P30" s="1462"/>
      <c r="Q30" s="1462"/>
      <c r="R30" s="1462"/>
      <c r="S30" s="1462"/>
      <c r="T30" s="1462"/>
      <c r="U30" s="1462"/>
      <c r="V30" s="1462"/>
      <c r="W30" s="1462"/>
      <c r="X30" s="1573"/>
      <c r="Y30" s="1573"/>
      <c r="Z30" s="1573"/>
      <c r="AA30" s="1573"/>
      <c r="AB30" s="1573"/>
      <c r="AC30" s="1573"/>
      <c r="AD30" s="1573"/>
      <c r="AE30" s="1573"/>
      <c r="AF30" s="1462"/>
      <c r="AG30" s="1462"/>
      <c r="AH30" s="1462"/>
      <c r="AI30" s="1462"/>
      <c r="AJ30" s="1462"/>
      <c r="AK30" s="1462"/>
      <c r="AL30" s="1462"/>
      <c r="AM30" s="1462"/>
      <c r="AN30" s="1462"/>
      <c r="AO30" s="1462"/>
      <c r="AP30" s="1462"/>
      <c r="AQ30" s="1462"/>
      <c r="AR30" s="1462"/>
      <c r="AS30" s="1462"/>
      <c r="AT30" s="1462"/>
      <c r="AU30" s="1462"/>
      <c r="AV30" s="1462"/>
      <c r="AW30" s="1462"/>
      <c r="AX30" s="1462"/>
      <c r="AY30" s="1462"/>
      <c r="AZ30" s="1462"/>
      <c r="BA30" s="1462"/>
    </row>
    <row r="31" spans="1:53" ht="15.75">
      <c r="A31" s="1532" t="s">
        <v>3741</v>
      </c>
      <c r="B31" s="1462"/>
      <c r="C31" s="1532"/>
      <c r="D31" s="1462"/>
      <c r="E31" s="1462"/>
      <c r="F31" s="1462"/>
      <c r="G31" s="1462"/>
      <c r="H31" s="1462"/>
      <c r="I31" s="1462"/>
      <c r="J31" s="1462"/>
      <c r="K31" s="1462"/>
      <c r="L31" s="1462"/>
      <c r="M31" s="1462"/>
      <c r="N31" s="1462"/>
      <c r="O31" s="1462"/>
      <c r="P31" s="1462"/>
      <c r="Q31" s="1462"/>
      <c r="R31" s="1462"/>
      <c r="S31" s="1462"/>
      <c r="T31" s="1462"/>
      <c r="U31" s="1462"/>
      <c r="V31" s="1462"/>
      <c r="W31" s="1462"/>
      <c r="X31" s="1574"/>
      <c r="Y31" s="1577"/>
      <c r="Z31" s="1577"/>
      <c r="AA31" s="1574"/>
      <c r="AB31" s="1573"/>
      <c r="AC31" s="1573"/>
      <c r="AD31" s="1573"/>
      <c r="AE31" s="1573"/>
      <c r="AF31" s="1462"/>
      <c r="AG31" s="1462"/>
      <c r="AH31" s="1462"/>
      <c r="AI31" s="1462"/>
      <c r="AJ31" s="1462"/>
      <c r="AK31" s="1462"/>
      <c r="AL31" s="1462"/>
      <c r="AM31" s="1462"/>
      <c r="AN31" s="1462"/>
      <c r="AO31" s="1462"/>
      <c r="AP31" s="1462"/>
      <c r="AQ31" s="1462"/>
      <c r="AR31" s="1462"/>
      <c r="AS31" s="1462"/>
      <c r="AT31" s="1462"/>
      <c r="AU31" s="1462"/>
      <c r="AV31" s="1462"/>
      <c r="AW31" s="1462"/>
      <c r="AX31" s="1462"/>
      <c r="AY31" s="1462"/>
      <c r="AZ31" s="1462"/>
      <c r="BA31" s="1462"/>
    </row>
    <row r="32" spans="1:53" ht="15.75">
      <c r="A32" s="1532" t="s">
        <v>3742</v>
      </c>
      <c r="B32" s="1462"/>
      <c r="C32" s="1532"/>
      <c r="D32" s="1462"/>
      <c r="E32" s="1462"/>
      <c r="F32" s="1462"/>
      <c r="G32" s="1462"/>
      <c r="H32" s="1462"/>
      <c r="I32" s="1462"/>
      <c r="J32" s="1462"/>
      <c r="K32" s="1462"/>
      <c r="L32" s="1462"/>
      <c r="M32" s="1462"/>
      <c r="N32" s="1462"/>
      <c r="O32" s="1462"/>
      <c r="P32" s="1462"/>
      <c r="Q32" s="1462"/>
      <c r="R32" s="1462"/>
      <c r="S32" s="1462"/>
      <c r="T32" s="1462"/>
      <c r="U32" s="1462"/>
      <c r="V32" s="1462"/>
      <c r="W32" s="1462"/>
      <c r="X32" s="1462"/>
      <c r="Y32" s="1571" t="s">
        <v>3743</v>
      </c>
      <c r="Z32" s="1577"/>
      <c r="AA32" s="1574"/>
      <c r="AB32" s="1573"/>
      <c r="AC32" s="1573"/>
      <c r="AD32" s="1571" t="s">
        <v>3744</v>
      </c>
      <c r="AE32" s="1573"/>
      <c r="AF32" s="1462"/>
      <c r="AG32" s="1462"/>
      <c r="AH32" s="1462"/>
      <c r="AI32" s="1462"/>
      <c r="AJ32" s="1462"/>
      <c r="AK32" s="1462"/>
      <c r="AL32" s="1462"/>
      <c r="AM32" s="1462"/>
      <c r="AN32" s="1462"/>
      <c r="AO32" s="1462"/>
      <c r="AP32" s="1462"/>
      <c r="AQ32" s="1462"/>
      <c r="AR32" s="1462"/>
      <c r="AS32" s="1462"/>
      <c r="AT32" s="1462"/>
      <c r="AU32" s="1462"/>
      <c r="AV32" s="1462"/>
      <c r="AW32" s="1462"/>
      <c r="AX32" s="1462"/>
      <c r="AY32" s="1462"/>
      <c r="AZ32" s="1462"/>
      <c r="BA32" s="1462"/>
    </row>
    <row r="33" spans="1:40" s="244" customFormat="1" ht="18.75" customHeight="1" outlineLevel="1">
      <c r="A33" s="2234" t="s">
        <v>604</v>
      </c>
      <c r="B33" s="2234"/>
      <c r="C33" s="2234"/>
      <c r="D33" s="1540" t="s">
        <v>3565</v>
      </c>
      <c r="E33" s="2234" t="s">
        <v>3566</v>
      </c>
      <c r="F33" s="2234"/>
      <c r="G33" s="2234"/>
      <c r="H33" s="2234"/>
      <c r="I33" s="2234" t="s">
        <v>101</v>
      </c>
      <c r="J33" s="2234"/>
      <c r="K33" s="2234"/>
      <c r="L33" s="2234" t="s">
        <v>100</v>
      </c>
      <c r="M33" s="2234"/>
      <c r="N33" s="2234"/>
      <c r="O33" s="2234"/>
      <c r="P33" s="2234"/>
      <c r="Q33" s="2234"/>
      <c r="R33" s="2234" t="s">
        <v>3725</v>
      </c>
      <c r="S33" s="2234"/>
      <c r="T33" s="2234"/>
      <c r="U33" s="1508" t="s">
        <v>3724</v>
      </c>
      <c r="V33" s="1508" t="s">
        <v>3569</v>
      </c>
      <c r="W33" s="1508" t="s">
        <v>3570</v>
      </c>
      <c r="X33" s="1575"/>
      <c r="Y33" s="1591" t="s">
        <v>604</v>
      </c>
      <c r="Z33" s="1591" t="s">
        <v>3566</v>
      </c>
      <c r="AA33" s="1591" t="s">
        <v>101</v>
      </c>
      <c r="AB33" s="1591" t="s">
        <v>100</v>
      </c>
      <c r="AC33" s="1575"/>
      <c r="AD33" s="2140" t="s">
        <v>3720</v>
      </c>
      <c r="AE33" s="2140"/>
      <c r="AF33" s="2139" t="s">
        <v>3566</v>
      </c>
      <c r="AG33" s="2140"/>
      <c r="AH33" s="2140" t="s">
        <v>3745</v>
      </c>
      <c r="AI33" s="2140"/>
      <c r="AJ33" s="2140"/>
      <c r="AK33" s="2140" t="s">
        <v>100</v>
      </c>
      <c r="AL33" s="2140"/>
      <c r="AM33" s="1749" t="s">
        <v>3725</v>
      </c>
      <c r="AN33" s="1749"/>
    </row>
    <row r="34" spans="1:40" ht="14.25" customHeight="1" outlineLevel="1">
      <c r="A34" s="1749" t="s">
        <v>3746</v>
      </c>
      <c r="B34" s="1749"/>
      <c r="C34" s="1749"/>
      <c r="D34" s="1749">
        <v>3</v>
      </c>
      <c r="E34" s="1749" t="s">
        <v>3577</v>
      </c>
      <c r="F34" s="1749"/>
      <c r="G34" s="1749"/>
      <c r="H34" s="1749"/>
      <c r="I34" s="2234" t="s">
        <v>3747</v>
      </c>
      <c r="J34" s="2234"/>
      <c r="K34" s="1749"/>
      <c r="L34" s="2234">
        <v>0.5</v>
      </c>
      <c r="M34" s="2234"/>
      <c r="N34" s="2234"/>
      <c r="O34" s="2234"/>
      <c r="P34" s="2234"/>
      <c r="Q34" s="2234"/>
      <c r="R34" s="2234"/>
      <c r="S34" s="2234"/>
      <c r="T34" s="2234"/>
      <c r="U34" s="1530"/>
      <c r="V34" s="1530"/>
      <c r="W34" s="1530"/>
      <c r="X34" s="1573"/>
      <c r="Y34" s="1573"/>
      <c r="Z34" s="1573"/>
      <c r="AA34" s="1573"/>
      <c r="AB34" s="1573"/>
      <c r="AC34" s="1576"/>
      <c r="AD34" s="1576"/>
      <c r="AE34" s="1573"/>
      <c r="AF34" s="1462"/>
      <c r="AG34" s="1462"/>
      <c r="AH34" s="1462"/>
      <c r="AI34" s="1462"/>
      <c r="AJ34" s="1462"/>
      <c r="AK34" s="1462"/>
      <c r="AL34" s="1462"/>
      <c r="AM34" s="1462"/>
      <c r="AN34" s="1462"/>
    </row>
    <row r="35" spans="1:40" ht="14.25" customHeight="1" outlineLevel="1">
      <c r="A35" s="1749"/>
      <c r="B35" s="1749"/>
      <c r="C35" s="1749"/>
      <c r="D35" s="1749"/>
      <c r="E35" s="1749"/>
      <c r="F35" s="1749"/>
      <c r="G35" s="1749"/>
      <c r="H35" s="1749"/>
      <c r="I35" s="1749"/>
      <c r="J35" s="2234"/>
      <c r="K35" s="1749"/>
      <c r="L35" s="2234"/>
      <c r="M35" s="2234"/>
      <c r="N35" s="2234"/>
      <c r="O35" s="2234"/>
      <c r="P35" s="2234"/>
      <c r="Q35" s="2234"/>
      <c r="R35" s="2234"/>
      <c r="S35" s="2234"/>
      <c r="T35" s="2234"/>
      <c r="U35" s="1530"/>
      <c r="V35" s="1530"/>
      <c r="W35" s="1530"/>
      <c r="X35" s="1573"/>
      <c r="Y35" s="1573"/>
      <c r="Z35" s="1573"/>
      <c r="AA35" s="1573"/>
      <c r="AB35" s="1573"/>
      <c r="AC35" s="1573"/>
      <c r="AD35" s="1573"/>
      <c r="AE35" s="1573"/>
      <c r="AF35" s="1462"/>
      <c r="AG35" s="1462"/>
      <c r="AH35" s="1462"/>
      <c r="AI35" s="1462"/>
      <c r="AJ35" s="1462"/>
      <c r="AK35" s="1462"/>
      <c r="AL35" s="1462"/>
      <c r="AM35" s="1462"/>
      <c r="AN35" s="1462"/>
    </row>
    <row r="36" spans="1:40" ht="15.75" outlineLevel="1">
      <c r="A36" s="1749"/>
      <c r="B36" s="1749"/>
      <c r="C36" s="1749"/>
      <c r="D36" s="1749"/>
      <c r="E36" s="1749" t="s">
        <v>3748</v>
      </c>
      <c r="F36" s="1749"/>
      <c r="G36" s="1749"/>
      <c r="H36" s="1749"/>
      <c r="I36" s="2234" t="s">
        <v>3749</v>
      </c>
      <c r="J36" s="2234"/>
      <c r="K36" s="2234"/>
      <c r="L36" s="1749">
        <v>26.9</v>
      </c>
      <c r="M36" s="1749"/>
      <c r="N36" s="1749"/>
      <c r="O36" s="1749"/>
      <c r="P36" s="1749"/>
      <c r="Q36" s="1749"/>
      <c r="R36" s="2234"/>
      <c r="S36" s="2234"/>
      <c r="T36" s="2234"/>
      <c r="U36" s="1530"/>
      <c r="V36" s="1530"/>
      <c r="W36" s="1530"/>
      <c r="X36" s="1574"/>
      <c r="Y36" s="1577"/>
      <c r="Z36" s="1577"/>
      <c r="AA36" s="1574"/>
      <c r="AB36" s="1573"/>
      <c r="AC36" s="1573"/>
      <c r="AD36" s="1573"/>
      <c r="AE36" s="1573"/>
      <c r="AF36" s="1462"/>
      <c r="AG36" s="1462"/>
      <c r="AH36" s="1462"/>
      <c r="AI36" s="1462"/>
      <c r="AJ36" s="1462"/>
      <c r="AK36" s="1462"/>
      <c r="AL36" s="1462"/>
      <c r="AM36" s="1462"/>
      <c r="AN36" s="1462"/>
    </row>
    <row r="37" spans="1:40" outlineLevel="1">
      <c r="A37" s="1749"/>
      <c r="B37" s="1749"/>
      <c r="C37" s="1749"/>
      <c r="D37" s="1749"/>
      <c r="E37" s="1749" t="s">
        <v>3750</v>
      </c>
      <c r="F37" s="1749"/>
      <c r="G37" s="1749"/>
      <c r="H37" s="1749"/>
      <c r="I37" s="2234" t="s">
        <v>3751</v>
      </c>
      <c r="J37" s="2234"/>
      <c r="K37" s="2234"/>
      <c r="L37" s="1749">
        <v>0.9</v>
      </c>
      <c r="M37" s="1749"/>
      <c r="N37" s="1749"/>
      <c r="O37" s="1749"/>
      <c r="P37" s="1749"/>
      <c r="Q37" s="1749"/>
      <c r="R37" s="2234"/>
      <c r="S37" s="2234"/>
      <c r="T37" s="2234"/>
      <c r="U37" s="1530"/>
      <c r="V37" s="1530"/>
      <c r="W37" s="1530"/>
      <c r="X37" s="1749"/>
      <c r="Y37" s="1749"/>
      <c r="Z37" s="1749"/>
      <c r="AA37" s="1749"/>
      <c r="AB37" s="1749"/>
      <c r="AC37" s="1749"/>
      <c r="AD37" s="1749"/>
      <c r="AE37" s="1749"/>
      <c r="AF37" s="1462"/>
      <c r="AG37" s="1462"/>
      <c r="AH37" s="1462"/>
      <c r="AI37" s="1462"/>
      <c r="AJ37" s="1462"/>
      <c r="AK37" s="1462"/>
      <c r="AL37" s="1462"/>
      <c r="AM37" s="1462"/>
      <c r="AN37" s="1462"/>
    </row>
    <row r="38" spans="1:40" outlineLevel="1">
      <c r="A38" s="1749"/>
      <c r="B38" s="1749"/>
      <c r="C38" s="1749"/>
      <c r="D38" s="1749"/>
      <c r="E38" s="1749" t="s">
        <v>3579</v>
      </c>
      <c r="F38" s="1749"/>
      <c r="G38" s="1749"/>
      <c r="H38" s="1749"/>
      <c r="I38" s="2234" t="s">
        <v>3752</v>
      </c>
      <c r="J38" s="2234"/>
      <c r="K38" s="2234"/>
      <c r="L38" s="1749">
        <v>44.9</v>
      </c>
      <c r="M38" s="1749"/>
      <c r="N38" s="1749"/>
      <c r="O38" s="1749"/>
      <c r="P38" s="1749"/>
      <c r="Q38" s="1749"/>
      <c r="R38" s="2234"/>
      <c r="S38" s="2234"/>
      <c r="T38" s="2234"/>
      <c r="U38" s="1530"/>
      <c r="V38" s="1530"/>
      <c r="W38" s="1530"/>
      <c r="X38" s="1573"/>
      <c r="Y38" s="1573"/>
      <c r="Z38" s="1573"/>
      <c r="AA38" s="1573"/>
      <c r="AB38" s="1573"/>
      <c r="AC38" s="1576"/>
      <c r="AD38" s="1576"/>
      <c r="AE38" s="1573"/>
      <c r="AF38" s="1462"/>
      <c r="AG38" s="1462"/>
      <c r="AH38" s="1462"/>
      <c r="AI38" s="1462"/>
      <c r="AJ38" s="1462"/>
      <c r="AK38" s="1462"/>
      <c r="AL38" s="1462"/>
      <c r="AM38" s="1462"/>
      <c r="AN38" s="1462"/>
    </row>
    <row r="39" spans="1:40" outlineLevel="1">
      <c r="A39" s="1749"/>
      <c r="B39" s="1749"/>
      <c r="C39" s="1749"/>
      <c r="D39" s="1749"/>
      <c r="E39" s="1749" t="s">
        <v>3753</v>
      </c>
      <c r="F39" s="1749"/>
      <c r="G39" s="1749"/>
      <c r="H39" s="1749"/>
      <c r="I39" s="2234" t="s">
        <v>3754</v>
      </c>
      <c r="J39" s="2234"/>
      <c r="K39" s="2234"/>
      <c r="L39" s="1749">
        <v>0.1</v>
      </c>
      <c r="M39" s="1749"/>
      <c r="N39" s="1749"/>
      <c r="O39" s="1749"/>
      <c r="P39" s="1749"/>
      <c r="Q39" s="1749"/>
      <c r="R39" s="2234"/>
      <c r="S39" s="2234"/>
      <c r="T39" s="2234"/>
      <c r="U39" s="1530"/>
      <c r="V39" s="1530"/>
      <c r="W39" s="1530"/>
      <c r="X39" s="1573"/>
      <c r="Y39" s="1573"/>
      <c r="Z39" s="1573"/>
      <c r="AA39" s="1573"/>
      <c r="AB39" s="1573"/>
      <c r="AC39" s="1573"/>
      <c r="AD39" s="1573"/>
      <c r="AE39" s="1573"/>
      <c r="AF39" s="1462"/>
      <c r="AG39" s="1462"/>
      <c r="AH39" s="1462"/>
      <c r="AI39" s="1462"/>
      <c r="AJ39" s="1462"/>
      <c r="AK39" s="1462"/>
      <c r="AL39" s="1462"/>
      <c r="AM39" s="1462"/>
      <c r="AN39" s="1462"/>
    </row>
    <row r="40" spans="1:40" ht="15.75" outlineLevel="1">
      <c r="A40" s="1749"/>
      <c r="B40" s="1749"/>
      <c r="C40" s="1749"/>
      <c r="D40" s="1749"/>
      <c r="E40" s="1749" t="s">
        <v>3755</v>
      </c>
      <c r="F40" s="1749"/>
      <c r="G40" s="1749"/>
      <c r="H40" s="1749"/>
      <c r="I40" s="2234" t="s">
        <v>3756</v>
      </c>
      <c r="J40" s="2234"/>
      <c r="K40" s="2234"/>
      <c r="L40" s="1749">
        <v>62.9</v>
      </c>
      <c r="M40" s="1749"/>
      <c r="N40" s="1749"/>
      <c r="O40" s="1749"/>
      <c r="P40" s="1749"/>
      <c r="Q40" s="1749"/>
      <c r="R40" s="2234"/>
      <c r="S40" s="2234"/>
      <c r="T40" s="2234"/>
      <c r="U40" s="1530"/>
      <c r="V40" s="1530"/>
      <c r="W40" s="1530"/>
      <c r="X40" s="1574"/>
      <c r="Y40" s="1577"/>
      <c r="Z40" s="1577"/>
      <c r="AA40" s="1574"/>
      <c r="AB40" s="1573"/>
      <c r="AC40" s="1573"/>
      <c r="AD40" s="1573"/>
      <c r="AE40" s="1573"/>
      <c r="AF40" s="1462"/>
      <c r="AG40" s="1462"/>
      <c r="AH40" s="1462"/>
      <c r="AI40" s="1462"/>
      <c r="AJ40" s="1462"/>
      <c r="AK40" s="1462"/>
      <c r="AL40" s="1462"/>
      <c r="AM40" s="1462"/>
      <c r="AN40" s="1462"/>
    </row>
    <row r="41" spans="1:40" outlineLevel="1">
      <c r="A41" s="1749"/>
      <c r="B41" s="1749"/>
      <c r="C41" s="1749"/>
      <c r="D41" s="1749"/>
      <c r="E41" s="1749" t="s">
        <v>3757</v>
      </c>
      <c r="F41" s="1749"/>
      <c r="G41" s="1749"/>
      <c r="H41" s="1749"/>
      <c r="I41" s="2234" t="s">
        <v>3758</v>
      </c>
      <c r="J41" s="2234"/>
      <c r="K41" s="2234"/>
      <c r="L41" s="1749">
        <v>1.2</v>
      </c>
      <c r="M41" s="1749"/>
      <c r="N41" s="1749"/>
      <c r="O41" s="1749"/>
      <c r="P41" s="1749"/>
      <c r="Q41" s="1749"/>
      <c r="R41" s="2234"/>
      <c r="S41" s="2234"/>
      <c r="T41" s="2234"/>
      <c r="U41" s="1530"/>
      <c r="V41" s="1530"/>
      <c r="W41" s="1530"/>
      <c r="X41" s="1572"/>
      <c r="Y41" s="1572"/>
      <c r="Z41" s="1572"/>
      <c r="AA41" s="1572"/>
      <c r="AB41" s="1572"/>
      <c r="AC41" s="1572"/>
      <c r="AD41" s="1572"/>
      <c r="AE41" s="1572"/>
      <c r="AF41" s="1462"/>
      <c r="AG41" s="1462"/>
      <c r="AH41" s="1462"/>
      <c r="AI41" s="1462"/>
      <c r="AJ41" s="1462"/>
      <c r="AK41" s="1462"/>
      <c r="AL41" s="1462"/>
      <c r="AM41" s="1462"/>
      <c r="AN41" s="1462"/>
    </row>
    <row r="42" spans="1:40" outlineLevel="1">
      <c r="A42" s="1749"/>
      <c r="B42" s="1749"/>
      <c r="C42" s="1749"/>
      <c r="D42" s="1749"/>
      <c r="E42" s="1749" t="s">
        <v>3759</v>
      </c>
      <c r="F42" s="1749"/>
      <c r="G42" s="1749"/>
      <c r="H42" s="1749"/>
      <c r="I42" s="2234" t="s">
        <v>3760</v>
      </c>
      <c r="J42" s="2234"/>
      <c r="K42" s="2234"/>
      <c r="L42" s="1749">
        <v>80.8</v>
      </c>
      <c r="M42" s="1749"/>
      <c r="N42" s="1749"/>
      <c r="O42" s="1749"/>
      <c r="P42" s="1749"/>
      <c r="Q42" s="1749"/>
      <c r="R42" s="2234"/>
      <c r="S42" s="2234"/>
      <c r="T42" s="2234"/>
      <c r="U42" s="1530"/>
      <c r="V42" s="1530"/>
      <c r="W42" s="1530"/>
      <c r="X42" s="1462"/>
      <c r="Y42" s="1462"/>
      <c r="Z42" s="1462"/>
      <c r="AA42" s="1462"/>
      <c r="AB42" s="1462"/>
      <c r="AC42" s="1462"/>
      <c r="AD42" s="1462"/>
      <c r="AE42" s="1462"/>
      <c r="AF42" s="1462"/>
      <c r="AG42" s="1462"/>
      <c r="AH42" s="1462"/>
      <c r="AI42" s="1462"/>
      <c r="AJ42" s="1462"/>
      <c r="AK42" s="1462"/>
      <c r="AL42" s="1462"/>
      <c r="AM42" s="1462"/>
      <c r="AN42" s="1462"/>
    </row>
    <row r="43" spans="1:40" outlineLevel="1">
      <c r="A43" s="1749"/>
      <c r="B43" s="1749"/>
      <c r="C43" s="1749"/>
      <c r="D43" s="1749"/>
      <c r="E43" s="1749" t="s">
        <v>3581</v>
      </c>
      <c r="F43" s="1749"/>
      <c r="G43" s="1749"/>
      <c r="H43" s="1749"/>
      <c r="I43" s="2234" t="s">
        <v>3761</v>
      </c>
      <c r="J43" s="2234"/>
      <c r="K43" s="2234"/>
      <c r="L43" s="1749">
        <v>1.4</v>
      </c>
      <c r="M43" s="1749"/>
      <c r="N43" s="1749"/>
      <c r="O43" s="1749"/>
      <c r="P43" s="1749"/>
      <c r="Q43" s="1749"/>
      <c r="R43" s="2234"/>
      <c r="S43" s="2234"/>
      <c r="T43" s="2234"/>
      <c r="U43" s="1530"/>
      <c r="V43" s="1530"/>
      <c r="W43" s="1530"/>
      <c r="X43" s="1462"/>
      <c r="Y43" s="1462"/>
      <c r="Z43" s="1462"/>
      <c r="AA43" s="1462"/>
      <c r="AB43" s="1462"/>
      <c r="AC43" s="1462"/>
      <c r="AD43" s="1462"/>
      <c r="AE43" s="1462"/>
      <c r="AF43" s="1462"/>
      <c r="AG43" s="1462"/>
      <c r="AH43" s="1462"/>
      <c r="AI43" s="1462"/>
      <c r="AJ43" s="1462"/>
      <c r="AK43" s="1462"/>
      <c r="AL43" s="1462"/>
      <c r="AM43" s="1462"/>
      <c r="AN43" s="1462"/>
    </row>
    <row r="44" spans="1:40" outlineLevel="1">
      <c r="A44" s="1749" t="s">
        <v>3762</v>
      </c>
      <c r="B44" s="1749"/>
      <c r="C44" s="1749"/>
      <c r="D44" s="1749">
        <v>3</v>
      </c>
      <c r="E44" s="1749" t="s">
        <v>3581</v>
      </c>
      <c r="F44" s="1749"/>
      <c r="G44" s="1749"/>
      <c r="H44" s="1749"/>
      <c r="I44" s="2234" t="s">
        <v>3763</v>
      </c>
      <c r="J44" s="2234"/>
      <c r="K44" s="2234"/>
      <c r="L44" s="1749">
        <v>-0.4</v>
      </c>
      <c r="M44" s="1749"/>
      <c r="N44" s="1749"/>
      <c r="O44" s="1749"/>
      <c r="P44" s="1749"/>
      <c r="Q44" s="1749"/>
      <c r="R44" s="2234"/>
      <c r="S44" s="2234"/>
      <c r="T44" s="2234"/>
      <c r="U44" s="1530"/>
      <c r="V44" s="1530"/>
      <c r="W44" s="1530"/>
      <c r="X44" s="1462"/>
      <c r="Y44" s="1462"/>
      <c r="Z44" s="1462"/>
      <c r="AA44" s="1462"/>
      <c r="AB44" s="1462"/>
      <c r="AC44" s="1462"/>
      <c r="AD44" s="1462"/>
      <c r="AE44" s="1462"/>
      <c r="AF44" s="1462"/>
      <c r="AG44" s="1462"/>
      <c r="AH44" s="1462"/>
      <c r="AI44" s="1462"/>
      <c r="AJ44" s="1462"/>
      <c r="AK44" s="1462"/>
      <c r="AL44" s="1462"/>
      <c r="AM44" s="1462"/>
      <c r="AN44" s="1462"/>
    </row>
    <row r="45" spans="1:40" outlineLevel="1">
      <c r="A45" s="1749"/>
      <c r="B45" s="1749"/>
      <c r="C45" s="1749"/>
      <c r="D45" s="1749"/>
      <c r="E45" s="1749" t="s">
        <v>3757</v>
      </c>
      <c r="F45" s="1749"/>
      <c r="G45" s="1749"/>
      <c r="H45" s="1749"/>
      <c r="I45" s="2234" t="s">
        <v>3764</v>
      </c>
      <c r="J45" s="2234"/>
      <c r="K45" s="2234"/>
      <c r="L45" s="1749">
        <v>0.1</v>
      </c>
      <c r="M45" s="1749"/>
      <c r="N45" s="1749"/>
      <c r="O45" s="1749"/>
      <c r="P45" s="1749"/>
      <c r="Q45" s="1749"/>
      <c r="R45" s="2234"/>
      <c r="S45" s="2234"/>
      <c r="T45" s="2234"/>
      <c r="U45" s="1530"/>
      <c r="V45" s="1530"/>
      <c r="W45" s="1530"/>
      <c r="X45" s="1462"/>
      <c r="Y45" s="1462"/>
      <c r="Z45" s="1462"/>
      <c r="AA45" s="1462"/>
      <c r="AB45" s="1462"/>
      <c r="AC45" s="1462"/>
      <c r="AD45" s="1462"/>
      <c r="AE45" s="1462"/>
      <c r="AF45" s="1462"/>
      <c r="AG45" s="1462"/>
      <c r="AH45" s="1462"/>
      <c r="AI45" s="1462"/>
      <c r="AJ45" s="1462"/>
      <c r="AK45" s="1462"/>
      <c r="AL45" s="1462"/>
      <c r="AM45" s="1462"/>
      <c r="AN45" s="1462"/>
    </row>
    <row r="46" spans="1:40" outlineLevel="1">
      <c r="A46" s="1749"/>
      <c r="B46" s="1749"/>
      <c r="C46" s="1749"/>
      <c r="D46" s="1749"/>
      <c r="E46" s="1749" t="s">
        <v>3750</v>
      </c>
      <c r="F46" s="1749"/>
      <c r="G46" s="1749"/>
      <c r="H46" s="1749"/>
      <c r="I46" s="2234" t="s">
        <v>3765</v>
      </c>
      <c r="J46" s="2234"/>
      <c r="K46" s="2234"/>
      <c r="L46" s="1749">
        <v>-1.6</v>
      </c>
      <c r="M46" s="1749"/>
      <c r="N46" s="1749"/>
      <c r="O46" s="1749"/>
      <c r="P46" s="1749"/>
      <c r="Q46" s="1749"/>
      <c r="R46" s="2234"/>
      <c r="S46" s="2234"/>
      <c r="T46" s="2234"/>
      <c r="U46" s="1530"/>
      <c r="V46" s="1530"/>
      <c r="W46" s="1530"/>
      <c r="X46" s="1462"/>
      <c r="Y46" s="1462"/>
      <c r="Z46" s="1462"/>
      <c r="AA46" s="1462"/>
      <c r="AB46" s="1462"/>
      <c r="AC46" s="1462"/>
      <c r="AD46" s="1462"/>
      <c r="AE46" s="1462"/>
      <c r="AF46" s="1462"/>
      <c r="AG46" s="1462"/>
      <c r="AH46" s="1462"/>
      <c r="AI46" s="1462"/>
      <c r="AJ46" s="1462"/>
      <c r="AK46" s="1462"/>
      <c r="AL46" s="1462"/>
      <c r="AM46" s="1462"/>
      <c r="AN46" s="1462"/>
    </row>
    <row r="47" spans="1:40" outlineLevel="1">
      <c r="A47" s="1749" t="s">
        <v>3766</v>
      </c>
      <c r="B47" s="1749"/>
      <c r="C47" s="1749"/>
      <c r="D47" s="1749">
        <v>3</v>
      </c>
      <c r="E47" s="1749" t="s">
        <v>3581</v>
      </c>
      <c r="F47" s="1749"/>
      <c r="G47" s="1749"/>
      <c r="H47" s="1749"/>
      <c r="I47" s="2234" t="s">
        <v>3767</v>
      </c>
      <c r="J47" s="2234"/>
      <c r="K47" s="2234"/>
      <c r="L47" s="1749">
        <v>1.8</v>
      </c>
      <c r="M47" s="1749"/>
      <c r="N47" s="1749"/>
      <c r="O47" s="1749"/>
      <c r="P47" s="1749"/>
      <c r="Q47" s="1749"/>
      <c r="R47" s="2234"/>
      <c r="S47" s="2234"/>
      <c r="T47" s="2234"/>
      <c r="U47" s="1530"/>
      <c r="V47" s="1530"/>
      <c r="W47" s="1530"/>
      <c r="X47" s="1462"/>
      <c r="Y47" s="1462"/>
      <c r="Z47" s="1462"/>
      <c r="AA47" s="1462"/>
      <c r="AB47" s="1462"/>
      <c r="AC47" s="1462"/>
      <c r="AD47" s="1462"/>
      <c r="AE47" s="1462"/>
      <c r="AF47" s="1462"/>
      <c r="AG47" s="1462"/>
      <c r="AH47" s="1462"/>
      <c r="AI47" s="1462"/>
      <c r="AJ47" s="1462"/>
      <c r="AK47" s="1462"/>
      <c r="AL47" s="1462"/>
      <c r="AM47" s="1462"/>
      <c r="AN47" s="1462"/>
    </row>
    <row r="48" spans="1:40" outlineLevel="1">
      <c r="A48" s="1749"/>
      <c r="B48" s="1749"/>
      <c r="C48" s="1749"/>
      <c r="D48" s="1749"/>
      <c r="E48" s="1749" t="s">
        <v>3757</v>
      </c>
      <c r="F48" s="1749"/>
      <c r="G48" s="1749"/>
      <c r="H48" s="1749"/>
      <c r="I48" s="2234" t="s">
        <v>3768</v>
      </c>
      <c r="J48" s="2234"/>
      <c r="K48" s="2234"/>
      <c r="L48" s="1749">
        <v>1.6</v>
      </c>
      <c r="M48" s="1749"/>
      <c r="N48" s="1749"/>
      <c r="O48" s="1749"/>
      <c r="P48" s="1749"/>
      <c r="Q48" s="1749"/>
      <c r="R48" s="2234"/>
      <c r="S48" s="2234"/>
      <c r="T48" s="2234"/>
      <c r="U48" s="1530"/>
      <c r="V48" s="1530"/>
      <c r="W48" s="1530"/>
      <c r="X48" s="1462"/>
      <c r="Y48" s="1462"/>
      <c r="Z48" s="1462"/>
      <c r="AA48" s="1462"/>
      <c r="AB48" s="1462"/>
      <c r="AC48" s="1462"/>
      <c r="AD48" s="1462"/>
      <c r="AE48" s="1462"/>
      <c r="AF48" s="1462"/>
      <c r="AG48" s="1462"/>
      <c r="AH48" s="1462"/>
      <c r="AI48" s="1462"/>
      <c r="AJ48" s="1462"/>
      <c r="AK48" s="1462"/>
      <c r="AL48" s="1462"/>
      <c r="AM48" s="1462"/>
      <c r="AN48" s="1462"/>
    </row>
    <row r="49" spans="1:41" outlineLevel="1">
      <c r="A49" s="1749"/>
      <c r="B49" s="1749"/>
      <c r="C49" s="1749"/>
      <c r="D49" s="1749"/>
      <c r="E49" s="1749" t="s">
        <v>3750</v>
      </c>
      <c r="F49" s="1749"/>
      <c r="G49" s="1749"/>
      <c r="H49" s="1749"/>
      <c r="I49" s="2234" t="s">
        <v>3769</v>
      </c>
      <c r="J49" s="2234"/>
      <c r="K49" s="2234"/>
      <c r="L49" s="1749">
        <v>0.9</v>
      </c>
      <c r="M49" s="1749"/>
      <c r="N49" s="1749"/>
      <c r="O49" s="1749"/>
      <c r="P49" s="1749"/>
      <c r="Q49" s="1749"/>
      <c r="R49" s="2234"/>
      <c r="S49" s="2234"/>
      <c r="T49" s="2234"/>
      <c r="U49" s="1530"/>
      <c r="V49" s="1530"/>
      <c r="W49" s="1530"/>
      <c r="X49" s="1462"/>
      <c r="Y49" s="1462"/>
      <c r="Z49" s="1462"/>
      <c r="AA49" s="1462"/>
      <c r="AB49" s="1462"/>
      <c r="AC49" s="1462"/>
      <c r="AD49" s="1462"/>
      <c r="AE49" s="1462"/>
      <c r="AF49" s="1462"/>
      <c r="AG49" s="1462"/>
      <c r="AH49" s="1462"/>
      <c r="AI49" s="1462"/>
      <c r="AJ49" s="1462"/>
      <c r="AK49" s="1462"/>
      <c r="AL49" s="1462"/>
      <c r="AM49" s="1462"/>
      <c r="AN49" s="1462"/>
      <c r="AO49" s="1462"/>
    </row>
    <row r="50" spans="1:41" outlineLevel="1">
      <c r="A50" s="1462"/>
      <c r="B50" s="1462"/>
      <c r="C50" s="1462"/>
      <c r="D50" s="1462"/>
      <c r="E50" s="1462"/>
      <c r="F50" s="1462"/>
      <c r="G50" s="1462"/>
      <c r="H50" s="1462"/>
      <c r="I50" s="1462"/>
      <c r="J50" s="1462"/>
      <c r="K50" s="1462"/>
      <c r="L50" s="1462"/>
      <c r="M50" s="1462"/>
      <c r="N50" s="1462"/>
      <c r="O50" s="1462"/>
      <c r="P50" s="1462"/>
      <c r="Q50" s="1462"/>
      <c r="R50" s="1462"/>
      <c r="S50" s="1462"/>
      <c r="T50" s="1462"/>
      <c r="U50" s="1462"/>
      <c r="V50" s="1462"/>
      <c r="W50" s="1462"/>
      <c r="X50" s="1462"/>
      <c r="Y50" s="1462"/>
      <c r="Z50" s="1462"/>
      <c r="AA50" s="1462"/>
      <c r="AB50" s="1462"/>
      <c r="AC50" s="1462"/>
      <c r="AD50" s="1462"/>
      <c r="AE50" s="1462"/>
      <c r="AF50" s="1462"/>
      <c r="AG50" s="1462"/>
      <c r="AH50" s="1462"/>
      <c r="AI50" s="1462"/>
      <c r="AJ50" s="1462"/>
      <c r="AK50" s="1462"/>
      <c r="AL50" s="1462"/>
      <c r="AM50" s="1462"/>
      <c r="AN50" s="1462"/>
      <c r="AO50" s="1462"/>
    </row>
    <row r="51" spans="1:41" outlineLevel="1">
      <c r="A51" s="1532"/>
      <c r="B51" s="1532"/>
      <c r="C51" s="1462"/>
      <c r="D51" s="1462"/>
      <c r="E51" s="1462"/>
      <c r="F51" s="1462"/>
      <c r="G51" s="1462"/>
      <c r="H51" s="1462"/>
      <c r="I51" s="1462"/>
      <c r="J51" s="1462"/>
      <c r="K51" s="1462"/>
      <c r="L51" s="1462"/>
      <c r="M51" s="1462"/>
      <c r="N51" s="1462"/>
      <c r="O51" s="1462"/>
      <c r="P51" s="1462"/>
      <c r="Q51" s="1462"/>
      <c r="R51" s="1462"/>
      <c r="S51" s="1462"/>
      <c r="T51" s="1462"/>
      <c r="U51" s="1462"/>
      <c r="V51" s="1462"/>
      <c r="W51" s="1462"/>
      <c r="X51" s="1462"/>
      <c r="Y51" s="1462"/>
      <c r="Z51" s="1462"/>
      <c r="AA51" s="1462"/>
      <c r="AB51" s="1462"/>
      <c r="AC51" s="1462"/>
      <c r="AD51" s="1462"/>
      <c r="AE51" s="1462"/>
      <c r="AF51" s="1462"/>
      <c r="AG51" s="1462"/>
      <c r="AH51" s="1462"/>
      <c r="AI51" s="1462"/>
      <c r="AJ51" s="1462"/>
      <c r="AK51" s="1462"/>
      <c r="AL51" s="1462"/>
      <c r="AM51" s="1462"/>
      <c r="AN51" s="1462"/>
      <c r="AO51" s="1462"/>
    </row>
    <row r="53" spans="1:41">
      <c r="A53" s="1532" t="s">
        <v>3770</v>
      </c>
      <c r="B53" s="1462"/>
      <c r="C53" s="1532" t="s">
        <v>3771</v>
      </c>
      <c r="D53" s="1462"/>
      <c r="E53" s="1462"/>
      <c r="F53" s="1462"/>
      <c r="G53" s="1462"/>
      <c r="H53" s="1462"/>
      <c r="I53" s="1462"/>
      <c r="J53" s="1462"/>
      <c r="K53" s="1462"/>
      <c r="L53" s="1462"/>
      <c r="M53" s="1462"/>
      <c r="N53" s="1462"/>
      <c r="O53" s="1462"/>
      <c r="P53" s="1462"/>
      <c r="Q53" s="1462"/>
      <c r="R53" s="1462"/>
      <c r="S53" s="1462"/>
      <c r="T53" s="1462"/>
      <c r="U53" s="1462"/>
      <c r="V53" s="1462"/>
      <c r="W53" s="1462"/>
      <c r="X53" s="1462"/>
      <c r="Y53" s="1462"/>
      <c r="Z53" s="1462"/>
      <c r="AA53" s="1462"/>
      <c r="AB53" s="1462"/>
      <c r="AC53" s="1462"/>
      <c r="AD53" s="1462"/>
      <c r="AE53" s="1462"/>
      <c r="AF53" s="1462"/>
      <c r="AG53" s="1462"/>
      <c r="AH53" s="1462"/>
      <c r="AI53" s="1462"/>
      <c r="AJ53" s="1462"/>
      <c r="AK53" s="1462"/>
      <c r="AL53" s="1462"/>
      <c r="AM53" s="1462"/>
      <c r="AN53" s="1462"/>
      <c r="AO53" s="1462"/>
    </row>
    <row r="54" spans="1:41">
      <c r="A54" s="1532" t="s">
        <v>3742</v>
      </c>
      <c r="B54" s="1462"/>
      <c r="C54" s="1532"/>
      <c r="D54" s="1462"/>
      <c r="E54" s="1462"/>
      <c r="F54" s="1462"/>
      <c r="G54" s="1462"/>
      <c r="H54" s="1462"/>
      <c r="I54" s="1462"/>
      <c r="J54" s="1462"/>
      <c r="K54" s="1462"/>
      <c r="L54" s="1462"/>
      <c r="M54" s="1462"/>
      <c r="N54" s="1462"/>
      <c r="O54" s="1462"/>
      <c r="P54" s="1462"/>
      <c r="Q54" s="1462"/>
      <c r="R54" s="1462"/>
      <c r="S54" s="1462"/>
      <c r="T54" s="1462"/>
      <c r="U54" s="1462"/>
      <c r="V54" s="1532" t="s">
        <v>3772</v>
      </c>
      <c r="W54" s="1462"/>
      <c r="X54" s="1462"/>
      <c r="Y54" s="1462"/>
      <c r="Z54" s="1462"/>
      <c r="AA54" s="1462"/>
      <c r="AB54" s="1462"/>
      <c r="AC54" s="1462"/>
      <c r="AD54" s="1462"/>
      <c r="AE54" s="1462"/>
      <c r="AF54" s="1462"/>
      <c r="AG54" s="1462"/>
      <c r="AH54" s="1462"/>
      <c r="AI54" s="1462"/>
      <c r="AJ54" s="1462"/>
      <c r="AK54" s="1462"/>
      <c r="AL54" s="1462"/>
      <c r="AM54" s="1462"/>
      <c r="AN54" s="1462"/>
      <c r="AO54" s="1462"/>
    </row>
    <row r="55" spans="1:41" outlineLevel="1">
      <c r="A55" s="2234" t="s">
        <v>604</v>
      </c>
      <c r="B55" s="2234"/>
      <c r="C55" s="2234"/>
      <c r="D55" s="2234" t="s">
        <v>3773</v>
      </c>
      <c r="E55" s="2234" t="s">
        <v>3774</v>
      </c>
      <c r="F55" s="1749"/>
      <c r="G55" s="2234" t="s">
        <v>3775</v>
      </c>
      <c r="H55" s="1749"/>
      <c r="I55" s="2234" t="s">
        <v>3776</v>
      </c>
      <c r="J55" s="1749" t="s">
        <v>3777</v>
      </c>
      <c r="K55" s="2247" t="s">
        <v>3778</v>
      </c>
      <c r="L55" s="2257" t="s">
        <v>3779</v>
      </c>
      <c r="M55" s="2247" t="s">
        <v>3780</v>
      </c>
      <c r="N55" s="1749" t="s">
        <v>3781</v>
      </c>
      <c r="O55" s="2239" t="s">
        <v>3782</v>
      </c>
      <c r="P55" s="2240"/>
      <c r="Q55" s="2239" t="s">
        <v>3783</v>
      </c>
      <c r="R55" s="2240"/>
      <c r="S55" s="2239" t="s">
        <v>3784</v>
      </c>
      <c r="T55" s="2240"/>
      <c r="U55" s="1462"/>
      <c r="V55" s="1749" t="s">
        <v>604</v>
      </c>
      <c r="W55" s="1749"/>
      <c r="X55" s="1749"/>
      <c r="Y55" s="1749" t="s">
        <v>3773</v>
      </c>
      <c r="Z55" s="1749" t="s">
        <v>3774</v>
      </c>
      <c r="AA55" s="1749"/>
      <c r="AB55" s="1749" t="s">
        <v>3775</v>
      </c>
      <c r="AC55" s="1749"/>
      <c r="AD55" s="1749" t="s">
        <v>3776</v>
      </c>
      <c r="AE55" s="2247" t="s">
        <v>3777</v>
      </c>
      <c r="AF55" s="2247" t="s">
        <v>3778</v>
      </c>
      <c r="AG55" s="1749" t="s">
        <v>3779</v>
      </c>
      <c r="AH55" s="2247" t="s">
        <v>3780</v>
      </c>
      <c r="AI55" s="2247" t="s">
        <v>3781</v>
      </c>
      <c r="AJ55" s="2239" t="s">
        <v>3782</v>
      </c>
      <c r="AK55" s="2240"/>
      <c r="AL55" s="2239" t="s">
        <v>3783</v>
      </c>
      <c r="AM55" s="2240"/>
      <c r="AN55" s="2239" t="s">
        <v>3784</v>
      </c>
      <c r="AO55" s="2240"/>
    </row>
    <row r="56" spans="1:41" outlineLevel="1">
      <c r="A56" s="2234"/>
      <c r="B56" s="2234"/>
      <c r="C56" s="2234"/>
      <c r="D56" s="2234"/>
      <c r="E56" s="1749"/>
      <c r="F56" s="1749"/>
      <c r="G56" s="1749"/>
      <c r="H56" s="1749"/>
      <c r="I56" s="2234"/>
      <c r="J56" s="1749"/>
      <c r="K56" s="2248"/>
      <c r="L56" s="2258"/>
      <c r="M56" s="2248"/>
      <c r="N56" s="1749"/>
      <c r="O56" s="2241"/>
      <c r="P56" s="2242"/>
      <c r="Q56" s="2241"/>
      <c r="R56" s="2242"/>
      <c r="S56" s="2241"/>
      <c r="T56" s="2242"/>
      <c r="U56" s="1462"/>
      <c r="V56" s="1749"/>
      <c r="W56" s="1749"/>
      <c r="X56" s="1749"/>
      <c r="Y56" s="1749"/>
      <c r="Z56" s="1749"/>
      <c r="AA56" s="1749"/>
      <c r="AB56" s="1749"/>
      <c r="AC56" s="1749"/>
      <c r="AD56" s="1749"/>
      <c r="AE56" s="2248"/>
      <c r="AF56" s="2248"/>
      <c r="AG56" s="1749"/>
      <c r="AH56" s="2248"/>
      <c r="AI56" s="2248"/>
      <c r="AJ56" s="2241"/>
      <c r="AK56" s="2242"/>
      <c r="AL56" s="2241"/>
      <c r="AM56" s="2242"/>
      <c r="AN56" s="2241"/>
      <c r="AO56" s="2242"/>
    </row>
    <row r="57" spans="1:41" outlineLevel="1">
      <c r="A57" s="2234"/>
      <c r="B57" s="2234"/>
      <c r="C57" s="2234"/>
      <c r="D57" s="2234"/>
      <c r="E57" s="1749"/>
      <c r="F57" s="1749"/>
      <c r="G57" s="1749"/>
      <c r="H57" s="1749"/>
      <c r="I57" s="2234"/>
      <c r="J57" s="1749"/>
      <c r="K57" s="2249"/>
      <c r="L57" s="2249"/>
      <c r="M57" s="2249"/>
      <c r="N57" s="1749"/>
      <c r="O57" s="2243"/>
      <c r="P57" s="2244"/>
      <c r="Q57" s="2243"/>
      <c r="R57" s="2244"/>
      <c r="S57" s="2243"/>
      <c r="T57" s="2244"/>
      <c r="U57" s="1462"/>
      <c r="V57" s="1749"/>
      <c r="W57" s="1749"/>
      <c r="X57" s="1749"/>
      <c r="Y57" s="1749"/>
      <c r="Z57" s="2237"/>
      <c r="AA57" s="2238"/>
      <c r="AB57" s="2237"/>
      <c r="AC57" s="2238"/>
      <c r="AD57" s="1749"/>
      <c r="AE57" s="1749"/>
      <c r="AF57" s="1749"/>
      <c r="AG57" s="1749"/>
      <c r="AH57" s="1749"/>
      <c r="AI57" s="1749"/>
      <c r="AJ57" s="2243"/>
      <c r="AK57" s="2244"/>
      <c r="AL57" s="2243"/>
      <c r="AM57" s="2244"/>
      <c r="AN57" s="2243"/>
      <c r="AO57" s="2244"/>
    </row>
    <row r="58" spans="1:41" ht="15" outlineLevel="1">
      <c r="A58" s="1749" t="s">
        <v>3762</v>
      </c>
      <c r="B58" s="1749"/>
      <c r="C58" s="1749"/>
      <c r="D58" s="1564">
        <v>10</v>
      </c>
      <c r="E58" s="2234" t="s">
        <v>3785</v>
      </c>
      <c r="F58" s="2234"/>
      <c r="G58" s="2234">
        <v>9.9999999999997882E-2</v>
      </c>
      <c r="H58" s="2234"/>
      <c r="I58" s="1564">
        <v>10</v>
      </c>
      <c r="J58" s="1609">
        <v>9.98</v>
      </c>
      <c r="K58" s="1566">
        <v>0.19999999999999576</v>
      </c>
      <c r="L58" s="1567">
        <v>10</v>
      </c>
      <c r="M58" s="1565">
        <v>9.98</v>
      </c>
      <c r="N58" s="1567">
        <v>0.19999999999999576</v>
      </c>
      <c r="O58" s="2251">
        <v>10</v>
      </c>
      <c r="P58" s="2251"/>
      <c r="Q58" s="2245">
        <v>9.99</v>
      </c>
      <c r="R58" s="2246"/>
      <c r="S58" s="2251">
        <v>9.9999999999997882E-2</v>
      </c>
      <c r="T58" s="2251"/>
      <c r="U58" s="1462"/>
      <c r="V58" s="2250" t="s">
        <v>3762</v>
      </c>
      <c r="W58" s="2250"/>
      <c r="X58" s="2250"/>
      <c r="Y58" s="1589">
        <v>10</v>
      </c>
      <c r="Z58" s="2252" t="s">
        <v>3785</v>
      </c>
      <c r="AA58" s="2253"/>
      <c r="AB58" s="2235">
        <v>9.9999999999997882E-2</v>
      </c>
      <c r="AC58" s="2236"/>
      <c r="AD58" s="1589">
        <v>10</v>
      </c>
      <c r="AE58" s="1565">
        <v>9.98</v>
      </c>
      <c r="AF58" s="1566">
        <v>0.19999999999999576</v>
      </c>
      <c r="AG58" s="1567">
        <v>10</v>
      </c>
      <c r="AH58" s="1565">
        <v>9.98</v>
      </c>
      <c r="AI58" s="1567">
        <v>0.19999999999999576</v>
      </c>
      <c r="AJ58" s="2251">
        <v>10</v>
      </c>
      <c r="AK58" s="2251"/>
      <c r="AL58" s="2245">
        <v>9.99</v>
      </c>
      <c r="AM58" s="2246"/>
      <c r="AN58" s="2251">
        <v>9.9999999999997882E-2</v>
      </c>
      <c r="AO58" s="2251"/>
    </row>
    <row r="59" spans="1:41" ht="15" outlineLevel="1">
      <c r="A59" s="1749" t="s">
        <v>3746</v>
      </c>
      <c r="B59" s="1749"/>
      <c r="C59" s="1749"/>
      <c r="D59" s="1564">
        <v>10</v>
      </c>
      <c r="E59" s="2234" t="s">
        <v>3761</v>
      </c>
      <c r="F59" s="2234"/>
      <c r="G59" s="2234">
        <v>1.4000000000000057</v>
      </c>
      <c r="H59" s="2234"/>
      <c r="I59" s="1564">
        <v>10</v>
      </c>
      <c r="J59">
        <v>98.5</v>
      </c>
      <c r="K59" s="1566">
        <v>1.5000000000000036</v>
      </c>
      <c r="L59" s="1567">
        <v>10</v>
      </c>
      <c r="M59" s="1568">
        <v>98.6</v>
      </c>
      <c r="N59" s="1566">
        <v>1.4000000000000057</v>
      </c>
      <c r="O59" s="2251">
        <v>10</v>
      </c>
      <c r="P59" s="2251"/>
      <c r="Q59" s="2255" t="s">
        <v>3786</v>
      </c>
      <c r="R59" s="2256"/>
      <c r="S59" s="2254">
        <v>1.5000000000000036</v>
      </c>
      <c r="T59" s="2254"/>
      <c r="U59" s="1462"/>
      <c r="V59" s="2250" t="s">
        <v>3746</v>
      </c>
      <c r="W59" s="2250"/>
      <c r="X59" s="2250"/>
      <c r="Y59" s="1589">
        <v>10</v>
      </c>
      <c r="Z59" s="2252" t="s">
        <v>3761</v>
      </c>
      <c r="AA59" s="2253"/>
      <c r="AB59" s="2235">
        <v>1.4000000000000057</v>
      </c>
      <c r="AC59" s="2236"/>
      <c r="AD59" s="1589">
        <v>10</v>
      </c>
      <c r="AE59" s="1568">
        <v>98.5</v>
      </c>
      <c r="AF59" s="1566">
        <v>1.5000000000000036</v>
      </c>
      <c r="AG59" s="1567">
        <v>10</v>
      </c>
      <c r="AH59" s="1568">
        <v>98.6</v>
      </c>
      <c r="AI59" s="1566">
        <v>1.4000000000000057</v>
      </c>
      <c r="AJ59" s="2251">
        <v>10</v>
      </c>
      <c r="AK59" s="2251"/>
      <c r="AL59" s="2255" t="s">
        <v>3786</v>
      </c>
      <c r="AM59" s="2256"/>
      <c r="AN59" s="2254">
        <v>1.5000000000000036</v>
      </c>
      <c r="AO59" s="2254"/>
    </row>
    <row r="60" spans="1:41" ht="15" outlineLevel="1">
      <c r="A60" s="1749" t="s">
        <v>3787</v>
      </c>
      <c r="B60" s="1749"/>
      <c r="C60" s="1749"/>
      <c r="D60" s="1564">
        <v>10</v>
      </c>
      <c r="E60" s="2234" t="s">
        <v>3767</v>
      </c>
      <c r="F60" s="2234"/>
      <c r="G60" s="2234">
        <v>1.7999999999999972</v>
      </c>
      <c r="H60" s="2234"/>
      <c r="I60" s="1564">
        <v>10</v>
      </c>
      <c r="J60">
        <v>981</v>
      </c>
      <c r="K60" s="1566">
        <v>1.899999999999995</v>
      </c>
      <c r="L60" s="1567">
        <v>10</v>
      </c>
      <c r="M60" s="1566">
        <v>982</v>
      </c>
      <c r="N60" s="1566">
        <v>1.7999999999999972</v>
      </c>
      <c r="O60" s="2251">
        <v>10</v>
      </c>
      <c r="P60" s="2251"/>
      <c r="Q60" s="2255" t="s">
        <v>3788</v>
      </c>
      <c r="R60" s="2256"/>
      <c r="S60" s="2254">
        <v>1.899999999999995</v>
      </c>
      <c r="T60" s="2254"/>
      <c r="U60" s="1462"/>
      <c r="V60" s="2250" t="s">
        <v>3787</v>
      </c>
      <c r="W60" s="2250"/>
      <c r="X60" s="2250"/>
      <c r="Y60" s="1589">
        <v>10</v>
      </c>
      <c r="Z60" s="2252" t="s">
        <v>3767</v>
      </c>
      <c r="AA60" s="2253"/>
      <c r="AB60" s="2235">
        <v>1.7999999999999972</v>
      </c>
      <c r="AC60" s="2236"/>
      <c r="AD60" s="1589">
        <v>10</v>
      </c>
      <c r="AE60" s="1566">
        <v>981</v>
      </c>
      <c r="AF60" s="1566">
        <v>1.899999999999995</v>
      </c>
      <c r="AG60" s="1567">
        <v>10</v>
      </c>
      <c r="AH60" s="1566">
        <v>982</v>
      </c>
      <c r="AI60" s="1566">
        <v>1.7999999999999972</v>
      </c>
      <c r="AJ60" s="2251">
        <v>10</v>
      </c>
      <c r="AK60" s="2251"/>
      <c r="AL60" s="2255" t="s">
        <v>3788</v>
      </c>
      <c r="AM60" s="2256"/>
      <c r="AN60" s="2254">
        <v>1.899999999999995</v>
      </c>
      <c r="AO60" s="2254"/>
    </row>
    <row r="62" spans="1:41">
      <c r="A62" s="1532" t="s">
        <v>3789</v>
      </c>
      <c r="B62" s="1462"/>
      <c r="C62" s="1532" t="s">
        <v>3790</v>
      </c>
      <c r="D62" s="1462"/>
      <c r="E62" s="1462"/>
      <c r="F62" s="1462"/>
      <c r="G62" s="1462"/>
      <c r="H62" s="1462"/>
      <c r="I62" s="1462"/>
      <c r="J62" s="1462"/>
      <c r="K62" s="1462"/>
      <c r="L62" s="1462"/>
      <c r="M62" s="1462"/>
      <c r="N62" s="1462"/>
      <c r="O62" s="1462"/>
      <c r="P62" s="1462"/>
      <c r="Q62" s="1462"/>
      <c r="R62" s="1462"/>
      <c r="S62" s="1462"/>
      <c r="T62" s="1462"/>
      <c r="U62" s="1462"/>
      <c r="V62" s="1462"/>
      <c r="W62" s="1462"/>
      <c r="X62" s="1462"/>
      <c r="Y62" s="1462"/>
      <c r="Z62" s="1462"/>
      <c r="AA62" s="1462"/>
      <c r="AB62" s="1462"/>
      <c r="AC62" s="1462"/>
      <c r="AD62" s="1462"/>
      <c r="AE62" s="1462"/>
      <c r="AF62" s="1462"/>
      <c r="AG62" s="1462"/>
      <c r="AH62" s="1462"/>
      <c r="AI62" s="1462"/>
      <c r="AJ62" s="1462"/>
      <c r="AK62" s="1462"/>
      <c r="AL62" s="1462"/>
      <c r="AM62" s="1462"/>
      <c r="AN62" s="1462"/>
      <c r="AO62" s="1462"/>
    </row>
    <row r="63" spans="1:41">
      <c r="A63" s="1532" t="s">
        <v>3791</v>
      </c>
      <c r="B63" s="1462"/>
      <c r="C63" s="1462"/>
      <c r="D63" s="1462"/>
      <c r="E63" s="1462"/>
      <c r="F63" s="1462"/>
      <c r="G63" s="1462"/>
      <c r="H63" s="1462"/>
      <c r="I63" s="1462"/>
      <c r="J63" s="1462"/>
      <c r="K63" s="1462"/>
      <c r="L63" s="1462"/>
      <c r="M63" s="1462"/>
      <c r="N63" s="1462"/>
      <c r="O63" s="1462"/>
      <c r="P63" s="1462"/>
      <c r="Q63" s="1462"/>
      <c r="R63" s="1462"/>
      <c r="S63" s="1462"/>
      <c r="T63" s="1532" t="s">
        <v>3792</v>
      </c>
      <c r="U63" s="1462"/>
      <c r="V63" s="1462"/>
      <c r="W63" s="1462"/>
      <c r="X63" s="1462"/>
      <c r="Y63" s="1462"/>
      <c r="Z63" s="1462"/>
      <c r="AA63" s="1462"/>
      <c r="AB63" s="1462"/>
      <c r="AC63" s="1462"/>
      <c r="AD63" s="1462"/>
      <c r="AE63" s="1462"/>
      <c r="AF63" s="1462"/>
      <c r="AG63" s="1462"/>
      <c r="AH63" s="1462"/>
      <c r="AI63" s="1462"/>
      <c r="AJ63" s="1462"/>
      <c r="AK63" s="1462"/>
      <c r="AL63" s="1462"/>
      <c r="AM63" s="1462"/>
      <c r="AN63" s="1462"/>
      <c r="AO63" s="1462"/>
    </row>
    <row r="64" spans="1:41" s="244" customFormat="1" outlineLevel="1">
      <c r="A64" s="1749" t="s">
        <v>3720</v>
      </c>
      <c r="B64" s="1749"/>
      <c r="C64" s="1749" t="s">
        <v>3793</v>
      </c>
      <c r="D64" s="1749"/>
      <c r="E64" s="1749" t="s">
        <v>3721</v>
      </c>
      <c r="F64" s="1749"/>
      <c r="G64" s="1749"/>
      <c r="H64" s="1749"/>
      <c r="I64" s="2234" t="s">
        <v>3745</v>
      </c>
      <c r="J64" s="2234"/>
      <c r="K64" s="1588" t="s">
        <v>549</v>
      </c>
      <c r="L64" s="1749" t="s">
        <v>3794</v>
      </c>
      <c r="M64" s="1749"/>
      <c r="N64" s="1749"/>
      <c r="O64" s="1749"/>
      <c r="P64" s="1749" t="s">
        <v>3795</v>
      </c>
      <c r="Q64" s="1749"/>
      <c r="R64" s="1749"/>
      <c r="S64" s="1539"/>
      <c r="T64" s="1749" t="s">
        <v>3720</v>
      </c>
      <c r="U64" s="1749"/>
      <c r="V64" s="1749" t="s">
        <v>3793</v>
      </c>
      <c r="W64" s="1749"/>
      <c r="X64" s="1749" t="s">
        <v>3721</v>
      </c>
      <c r="Y64" s="1749"/>
      <c r="Z64" s="1749"/>
      <c r="AA64" s="1749"/>
      <c r="AB64" s="1749" t="s">
        <v>3745</v>
      </c>
      <c r="AC64" s="1749"/>
      <c r="AD64" s="1588" t="s">
        <v>549</v>
      </c>
      <c r="AE64" s="1749" t="s">
        <v>3794</v>
      </c>
      <c r="AF64" s="1749"/>
      <c r="AG64" s="1749"/>
      <c r="AH64" s="1749"/>
      <c r="AI64" s="1749" t="s">
        <v>3795</v>
      </c>
      <c r="AJ64" s="1749"/>
      <c r="AK64" s="1749"/>
      <c r="AL64" s="1539"/>
      <c r="AM64" s="1539"/>
      <c r="AN64" s="1539"/>
      <c r="AO64" s="1539"/>
    </row>
    <row r="65" spans="1:42" ht="15" outlineLevel="1">
      <c r="A65" s="1749">
        <v>20</v>
      </c>
      <c r="B65" s="1749">
        <v>20</v>
      </c>
      <c r="C65" s="1749">
        <v>0</v>
      </c>
      <c r="D65" s="1749"/>
      <c r="E65" s="1749">
        <v>20</v>
      </c>
      <c r="F65" s="1749"/>
      <c r="G65" s="1749"/>
      <c r="H65" s="1749"/>
      <c r="I65" s="2234" t="s">
        <v>3796</v>
      </c>
      <c r="J65" s="2234"/>
      <c r="K65" s="1569">
        <v>-5.0000000000007818E-4</v>
      </c>
      <c r="L65" s="1749">
        <v>20.100000000000001</v>
      </c>
      <c r="M65" s="1749"/>
      <c r="N65" s="1749"/>
      <c r="O65" s="1749"/>
      <c r="P65" s="1749">
        <v>-5.5000000000001489E-3</v>
      </c>
      <c r="Q65" s="1749"/>
      <c r="R65" s="1749"/>
      <c r="S65" s="1462"/>
      <c r="T65" s="1749">
        <v>20</v>
      </c>
      <c r="U65" s="1749">
        <v>20</v>
      </c>
      <c r="V65" s="2250">
        <v>0</v>
      </c>
      <c r="W65" s="2250"/>
      <c r="X65" s="1749">
        <v>20</v>
      </c>
      <c r="Y65" s="1749"/>
      <c r="Z65" s="1749"/>
      <c r="AA65" s="1749"/>
      <c r="AB65" s="1749" t="s">
        <v>3796</v>
      </c>
      <c r="AC65" s="1749"/>
      <c r="AD65" s="1590">
        <v>-5.0000000000007818E-4</v>
      </c>
      <c r="AE65" s="2235">
        <v>20.100000000000001</v>
      </c>
      <c r="AF65" s="1749"/>
      <c r="AG65" s="1749"/>
      <c r="AH65" s="2236"/>
      <c r="AI65" s="1749">
        <v>-5.5000000000001489E-3</v>
      </c>
      <c r="AJ65" s="1749"/>
      <c r="AK65" s="1749"/>
      <c r="AL65" s="1462"/>
      <c r="AM65" s="1462"/>
      <c r="AN65" s="1462"/>
      <c r="AO65" s="1462"/>
      <c r="AP65" s="1462"/>
    </row>
    <row r="66" spans="1:42" ht="15" outlineLevel="1">
      <c r="A66" s="1749">
        <v>20</v>
      </c>
      <c r="B66" s="1749">
        <v>20</v>
      </c>
      <c r="C66" s="1749">
        <v>1000</v>
      </c>
      <c r="D66" s="1749"/>
      <c r="E66" s="1749">
        <v>20</v>
      </c>
      <c r="F66" s="1749"/>
      <c r="G66" s="1749"/>
      <c r="H66" s="1749"/>
      <c r="I66" s="2234" t="s">
        <v>3736</v>
      </c>
      <c r="J66" s="2234"/>
      <c r="K66" s="1569">
        <v>0</v>
      </c>
      <c r="L66" s="1749">
        <v>20.100000000000001</v>
      </c>
      <c r="M66" s="1749"/>
      <c r="N66" s="1749"/>
      <c r="O66" s="1749"/>
      <c r="P66" s="1749">
        <v>-5.0000000000000712E-3</v>
      </c>
      <c r="Q66" s="1749"/>
      <c r="R66" s="1749"/>
      <c r="S66" s="1462"/>
      <c r="T66" s="1749">
        <v>20</v>
      </c>
      <c r="U66" s="1749">
        <v>20</v>
      </c>
      <c r="V66" s="2250">
        <v>1000</v>
      </c>
      <c r="W66" s="2250"/>
      <c r="X66" s="1749">
        <v>20</v>
      </c>
      <c r="Y66" s="1749"/>
      <c r="Z66" s="1749"/>
      <c r="AA66" s="1749"/>
      <c r="AB66" s="1749" t="s">
        <v>3736</v>
      </c>
      <c r="AC66" s="1749"/>
      <c r="AD66" s="1590">
        <v>0</v>
      </c>
      <c r="AE66" s="2235">
        <v>20.100000000000001</v>
      </c>
      <c r="AF66" s="1749"/>
      <c r="AG66" s="1749"/>
      <c r="AH66" s="2236"/>
      <c r="AI66" s="1749">
        <v>-5.0000000000000712E-3</v>
      </c>
      <c r="AJ66" s="1749"/>
      <c r="AK66" s="1749"/>
      <c r="AL66" s="1462"/>
      <c r="AM66" s="1462"/>
      <c r="AN66" s="1462"/>
      <c r="AO66" s="1462"/>
      <c r="AP66" s="1462"/>
    </row>
    <row r="67" spans="1:42" ht="15" outlineLevel="1">
      <c r="A67" s="1749">
        <v>20</v>
      </c>
      <c r="B67" s="1749">
        <v>20</v>
      </c>
      <c r="C67" s="1749">
        <v>2000</v>
      </c>
      <c r="D67" s="1749"/>
      <c r="E67" s="1749">
        <v>20</v>
      </c>
      <c r="F67" s="1749"/>
      <c r="G67" s="1749"/>
      <c r="H67" s="1749"/>
      <c r="I67" s="2234" t="s">
        <v>3736</v>
      </c>
      <c r="J67" s="2234"/>
      <c r="K67" s="1569">
        <v>0</v>
      </c>
      <c r="L67" s="1749">
        <v>20.100000000000001</v>
      </c>
      <c r="M67" s="1749"/>
      <c r="N67" s="1749"/>
      <c r="O67" s="1749"/>
      <c r="P67" s="1749">
        <v>-5.0000000000000712E-3</v>
      </c>
      <c r="Q67" s="1749"/>
      <c r="R67" s="1749"/>
      <c r="S67" s="1462"/>
      <c r="T67" s="1749">
        <v>20</v>
      </c>
      <c r="U67" s="1749">
        <v>20</v>
      </c>
      <c r="V67" s="2250">
        <v>2000</v>
      </c>
      <c r="W67" s="2250"/>
      <c r="X67" s="1749">
        <v>20</v>
      </c>
      <c r="Y67" s="1749"/>
      <c r="Z67" s="1749"/>
      <c r="AA67" s="1749"/>
      <c r="AB67" s="1749" t="s">
        <v>3736</v>
      </c>
      <c r="AC67" s="1749"/>
      <c r="AD67" s="1590">
        <v>0</v>
      </c>
      <c r="AE67" s="2235">
        <v>20.100000000000001</v>
      </c>
      <c r="AF67" s="1749"/>
      <c r="AG67" s="1749"/>
      <c r="AH67" s="2236"/>
      <c r="AI67" s="1749">
        <v>-5.0000000000000712E-3</v>
      </c>
      <c r="AJ67" s="1749"/>
      <c r="AK67" s="1749"/>
      <c r="AL67" s="1462"/>
      <c r="AM67" s="1462"/>
      <c r="AN67" s="1462"/>
      <c r="AO67" s="1462"/>
      <c r="AP67" s="1462"/>
    </row>
    <row r="68" spans="1:42" ht="15" outlineLevel="1">
      <c r="A68" s="1749">
        <v>20</v>
      </c>
      <c r="B68" s="1749">
        <v>20</v>
      </c>
      <c r="C68" s="1749">
        <v>5000</v>
      </c>
      <c r="D68" s="1749"/>
      <c r="E68" s="1749">
        <v>20</v>
      </c>
      <c r="F68" s="1749"/>
      <c r="G68" s="1749"/>
      <c r="H68" s="1749"/>
      <c r="I68" s="2234" t="s">
        <v>3736</v>
      </c>
      <c r="J68" s="2234"/>
      <c r="K68" s="1569">
        <v>0</v>
      </c>
      <c r="L68" s="1749">
        <v>20.100000000000001</v>
      </c>
      <c r="M68" s="1749"/>
      <c r="N68" s="1749"/>
      <c r="O68" s="1749"/>
      <c r="P68" s="1749">
        <v>-5.0000000000000712E-3</v>
      </c>
      <c r="Q68" s="1749"/>
      <c r="R68" s="1749"/>
      <c r="S68" s="1462"/>
      <c r="T68" s="2237">
        <v>20</v>
      </c>
      <c r="U68" s="2238">
        <v>20</v>
      </c>
      <c r="V68" s="2250">
        <v>5000</v>
      </c>
      <c r="W68" s="2250"/>
      <c r="X68" s="1749">
        <v>20</v>
      </c>
      <c r="Y68" s="1749"/>
      <c r="Z68" s="1749"/>
      <c r="AA68" s="1749"/>
      <c r="AB68" s="1749" t="s">
        <v>3736</v>
      </c>
      <c r="AC68" s="1749"/>
      <c r="AD68" s="1590">
        <v>0</v>
      </c>
      <c r="AE68" s="2235">
        <v>20.100000000000001</v>
      </c>
      <c r="AF68" s="1749"/>
      <c r="AG68" s="1749"/>
      <c r="AH68" s="2236"/>
      <c r="AI68" s="1749">
        <v>-5.0000000000000712E-3</v>
      </c>
      <c r="AJ68" s="1749"/>
      <c r="AK68" s="1749"/>
      <c r="AL68" s="1462"/>
      <c r="AM68" s="1462"/>
      <c r="AN68" s="1462"/>
      <c r="AO68" s="1462"/>
      <c r="AP68" s="1462"/>
    </row>
    <row r="69" spans="1:42">
      <c r="A69" s="1532" t="s">
        <v>3797</v>
      </c>
      <c r="B69" s="1462"/>
      <c r="C69" s="1532" t="s">
        <v>3798</v>
      </c>
      <c r="D69" s="1462"/>
      <c r="E69" s="1462"/>
      <c r="F69" s="1462"/>
      <c r="G69" s="1462"/>
      <c r="H69" s="1462"/>
      <c r="I69" s="1462"/>
      <c r="J69" s="1462"/>
      <c r="K69" s="1462"/>
      <c r="L69" s="1462"/>
      <c r="M69" s="1462"/>
      <c r="N69" s="1462"/>
      <c r="O69" s="1462"/>
      <c r="P69" s="1462"/>
      <c r="Q69" s="1462"/>
      <c r="R69" s="1462"/>
      <c r="S69" s="1462"/>
      <c r="T69" s="1462"/>
      <c r="U69" s="1462"/>
      <c r="V69" s="1462"/>
      <c r="W69" s="1462"/>
      <c r="X69" s="1462"/>
      <c r="Y69" s="1462"/>
      <c r="Z69" s="1462"/>
      <c r="AA69" s="1462"/>
      <c r="AB69" s="1462"/>
      <c r="AC69" s="1462"/>
      <c r="AD69" s="1462"/>
      <c r="AE69" s="1462"/>
      <c r="AF69" s="1462"/>
      <c r="AG69" s="1462"/>
      <c r="AH69" s="1462"/>
      <c r="AI69" s="1462"/>
      <c r="AJ69" s="1462"/>
      <c r="AK69" s="1462"/>
      <c r="AL69" s="1462"/>
      <c r="AM69" s="1462"/>
      <c r="AN69" s="1462"/>
      <c r="AO69" s="1462"/>
      <c r="AP69" s="1462"/>
    </row>
    <row r="70" spans="1:42">
      <c r="A70" s="1532" t="s">
        <v>3742</v>
      </c>
      <c r="B70" s="1462"/>
      <c r="C70" s="1532"/>
      <c r="D70" s="1462"/>
      <c r="E70" s="1462"/>
      <c r="F70" s="1462"/>
      <c r="G70" s="1462"/>
      <c r="H70" s="1462"/>
      <c r="I70" s="1462"/>
      <c r="J70" s="1462"/>
      <c r="K70" s="1462"/>
      <c r="L70" s="1462"/>
      <c r="M70" s="1462"/>
      <c r="N70" s="1462"/>
      <c r="O70" s="1462"/>
      <c r="P70" s="1462"/>
      <c r="Q70" s="1462"/>
      <c r="R70" s="1462"/>
      <c r="S70" s="1462"/>
      <c r="T70" s="1462"/>
      <c r="U70" s="1462"/>
      <c r="V70" s="1462"/>
      <c r="W70" s="1532" t="s">
        <v>3792</v>
      </c>
      <c r="X70" s="1462"/>
      <c r="Y70" s="1462"/>
      <c r="Z70" s="1462"/>
      <c r="AA70" s="1462"/>
      <c r="AB70" s="1462"/>
      <c r="AC70" s="1462"/>
      <c r="AD70" s="1462"/>
      <c r="AE70" s="1462"/>
      <c r="AF70" s="1462"/>
      <c r="AG70" s="1462"/>
      <c r="AH70" s="1462"/>
      <c r="AI70" s="1462"/>
      <c r="AJ70" s="1462"/>
      <c r="AK70" s="1462"/>
      <c r="AL70" s="1462"/>
      <c r="AM70" s="1462"/>
      <c r="AN70" s="1462"/>
      <c r="AO70" s="1462"/>
      <c r="AP70" s="1462"/>
    </row>
    <row r="71" spans="1:42" s="244" customFormat="1" outlineLevel="1">
      <c r="A71" s="1749" t="s">
        <v>604</v>
      </c>
      <c r="B71" s="1749"/>
      <c r="C71" s="1749"/>
      <c r="D71" s="1749" t="s">
        <v>3799</v>
      </c>
      <c r="E71" s="1749"/>
      <c r="F71" s="1749"/>
      <c r="G71" s="1749" t="s">
        <v>3566</v>
      </c>
      <c r="H71" s="1749"/>
      <c r="I71" s="1749"/>
      <c r="J71" s="2268" t="s">
        <v>3567</v>
      </c>
      <c r="K71" s="2270"/>
      <c r="L71" s="2268" t="s">
        <v>549</v>
      </c>
      <c r="M71" s="2270"/>
      <c r="N71" s="2275" t="s">
        <v>3800</v>
      </c>
      <c r="O71" s="2276"/>
      <c r="P71" s="2276"/>
      <c r="Q71" s="2277"/>
      <c r="R71" s="2268" t="s">
        <v>3795</v>
      </c>
      <c r="S71" s="2269"/>
      <c r="T71" s="2270"/>
      <c r="U71" s="1539"/>
      <c r="V71" s="1539"/>
      <c r="W71" s="2262" t="s">
        <v>604</v>
      </c>
      <c r="X71" s="2263"/>
      <c r="Y71" s="2264"/>
      <c r="Z71" s="2268" t="s">
        <v>3799</v>
      </c>
      <c r="AA71" s="2269"/>
      <c r="AB71" s="2270"/>
      <c r="AC71" s="2271" t="s">
        <v>3566</v>
      </c>
      <c r="AD71" s="2272"/>
      <c r="AE71" s="2273"/>
      <c r="AF71" s="2268" t="s">
        <v>3567</v>
      </c>
      <c r="AG71" s="2270"/>
      <c r="AH71" s="2268" t="s">
        <v>549</v>
      </c>
      <c r="AI71" s="2270"/>
      <c r="AJ71" s="2275" t="s">
        <v>3800</v>
      </c>
      <c r="AK71" s="2276"/>
      <c r="AL71" s="2276"/>
      <c r="AM71" s="2277"/>
      <c r="AN71" s="2268" t="s">
        <v>3795</v>
      </c>
      <c r="AO71" s="2269"/>
      <c r="AP71" s="2270"/>
    </row>
    <row r="72" spans="1:42" s="244" customFormat="1" outlineLevel="1">
      <c r="A72" s="1749"/>
      <c r="B72" s="1749"/>
      <c r="C72" s="1749"/>
      <c r="D72" s="1749" t="s">
        <v>3801</v>
      </c>
      <c r="E72" s="1749"/>
      <c r="F72" s="1749"/>
      <c r="G72" s="1749"/>
      <c r="H72" s="1749"/>
      <c r="I72" s="1749"/>
      <c r="J72" s="2259" t="s">
        <v>3801</v>
      </c>
      <c r="K72" s="2261"/>
      <c r="L72" s="2259" t="s">
        <v>3395</v>
      </c>
      <c r="M72" s="2261"/>
      <c r="N72" s="2259" t="s">
        <v>3801</v>
      </c>
      <c r="O72" s="2260"/>
      <c r="P72" s="2260"/>
      <c r="Q72" s="2261"/>
      <c r="R72" s="2259" t="s">
        <v>3395</v>
      </c>
      <c r="S72" s="2260"/>
      <c r="T72" s="2261"/>
      <c r="U72" s="1539"/>
      <c r="V72" s="1539"/>
      <c r="W72" s="2265"/>
      <c r="X72" s="2266"/>
      <c r="Y72" s="2267"/>
      <c r="Z72" s="2259" t="s">
        <v>3801</v>
      </c>
      <c r="AA72" s="2260"/>
      <c r="AB72" s="2261"/>
      <c r="AC72" s="2237"/>
      <c r="AD72" s="2274"/>
      <c r="AE72" s="2238"/>
      <c r="AF72" s="2259" t="s">
        <v>3801</v>
      </c>
      <c r="AG72" s="2261"/>
      <c r="AH72" s="2259" t="s">
        <v>3395</v>
      </c>
      <c r="AI72" s="2261"/>
      <c r="AJ72" s="2259" t="s">
        <v>3801</v>
      </c>
      <c r="AK72" s="2260"/>
      <c r="AL72" s="2260"/>
      <c r="AM72" s="2261"/>
      <c r="AN72" s="2259" t="s">
        <v>3395</v>
      </c>
      <c r="AO72" s="2260"/>
      <c r="AP72" s="2261"/>
    </row>
    <row r="73" spans="1:42" ht="15" customHeight="1" outlineLevel="1">
      <c r="A73" s="1749" t="s">
        <v>3802</v>
      </c>
      <c r="B73" s="1749"/>
      <c r="C73" s="1749"/>
      <c r="D73" s="1749">
        <v>0</v>
      </c>
      <c r="E73" s="1749"/>
      <c r="F73" s="1749"/>
      <c r="G73" s="1749">
        <v>10</v>
      </c>
      <c r="H73" s="1749"/>
      <c r="I73" s="1749"/>
      <c r="J73" s="2234">
        <v>9.98</v>
      </c>
      <c r="K73" s="2234"/>
      <c r="L73" s="2234">
        <v>0.19999999999999576</v>
      </c>
      <c r="M73" s="2234"/>
      <c r="N73" s="2234">
        <v>9.99</v>
      </c>
      <c r="O73" s="2234"/>
      <c r="P73" s="2234"/>
      <c r="Q73" s="2234"/>
      <c r="R73" s="1749">
        <v>-9.8000000000000043</v>
      </c>
      <c r="S73" s="1749"/>
      <c r="T73" s="1749"/>
      <c r="U73" s="1462"/>
      <c r="V73" s="1462"/>
      <c r="W73" s="2284" t="s">
        <v>3802</v>
      </c>
      <c r="X73" s="2285"/>
      <c r="Y73" s="2286"/>
      <c r="Z73" s="2278">
        <v>0</v>
      </c>
      <c r="AA73" s="2279"/>
      <c r="AB73" s="2280"/>
      <c r="AC73" s="2278">
        <v>10</v>
      </c>
      <c r="AD73" s="2279"/>
      <c r="AE73" s="2280"/>
      <c r="AF73" s="2281">
        <v>9.98</v>
      </c>
      <c r="AG73" s="2282"/>
      <c r="AH73" s="2278">
        <v>0.19999999999999576</v>
      </c>
      <c r="AI73" s="2280"/>
      <c r="AJ73" s="2281">
        <v>9.99</v>
      </c>
      <c r="AK73" s="2283"/>
      <c r="AL73" s="2283"/>
      <c r="AM73" s="2282"/>
      <c r="AN73" s="2193">
        <v>-981.8</v>
      </c>
      <c r="AO73" s="2194"/>
      <c r="AP73" s="2195"/>
    </row>
    <row r="74" spans="1:42" ht="15" customHeight="1" outlineLevel="1">
      <c r="A74" s="1749"/>
      <c r="B74" s="1749"/>
      <c r="C74" s="1749"/>
      <c r="D74" s="1749">
        <v>1000</v>
      </c>
      <c r="E74" s="1749"/>
      <c r="F74" s="1749"/>
      <c r="G74" s="1749">
        <v>10</v>
      </c>
      <c r="H74" s="1749"/>
      <c r="I74" s="1749"/>
      <c r="J74" s="2234">
        <v>9.99</v>
      </c>
      <c r="K74" s="2234"/>
      <c r="L74" s="1749">
        <v>9.9999999999997882E-2</v>
      </c>
      <c r="M74" s="1749"/>
      <c r="N74" s="2234">
        <v>9.99</v>
      </c>
      <c r="O74" s="2234"/>
      <c r="P74" s="2234"/>
      <c r="Q74" s="2234"/>
      <c r="R74" s="1749">
        <v>-9.9000000000000021</v>
      </c>
      <c r="S74" s="1749"/>
      <c r="T74" s="1749"/>
      <c r="U74" s="1462"/>
      <c r="V74" s="1462"/>
      <c r="W74" s="2287"/>
      <c r="X74" s="2288"/>
      <c r="Y74" s="2289"/>
      <c r="Z74" s="2278">
        <v>1000</v>
      </c>
      <c r="AA74" s="2279"/>
      <c r="AB74" s="2280"/>
      <c r="AC74" s="2278">
        <v>10</v>
      </c>
      <c r="AD74" s="2279"/>
      <c r="AE74" s="2280"/>
      <c r="AF74" s="2281">
        <v>9.99</v>
      </c>
      <c r="AG74" s="2282"/>
      <c r="AH74" s="2193">
        <v>9.9999999999997882E-2</v>
      </c>
      <c r="AI74" s="2195"/>
      <c r="AJ74" s="2281">
        <v>9.99</v>
      </c>
      <c r="AK74" s="2283"/>
      <c r="AL74" s="2283"/>
      <c r="AM74" s="2282"/>
      <c r="AN74" s="2193">
        <v>-981.9</v>
      </c>
      <c r="AO74" s="2194"/>
      <c r="AP74" s="2195"/>
    </row>
    <row r="75" spans="1:42" ht="15" customHeight="1" outlineLevel="1">
      <c r="A75" s="1749"/>
      <c r="B75" s="1749"/>
      <c r="C75" s="1749"/>
      <c r="D75" s="1749">
        <v>2000</v>
      </c>
      <c r="E75" s="1749"/>
      <c r="F75" s="1749"/>
      <c r="G75" s="1749">
        <v>10</v>
      </c>
      <c r="H75" s="1749"/>
      <c r="I75" s="1749"/>
      <c r="J75" s="2234">
        <v>9.99</v>
      </c>
      <c r="K75" s="2234"/>
      <c r="L75" s="1749">
        <v>9.9999999999997882E-2</v>
      </c>
      <c r="M75" s="1749"/>
      <c r="N75" s="2234">
        <v>9.99</v>
      </c>
      <c r="O75" s="2234"/>
      <c r="P75" s="2234"/>
      <c r="Q75" s="2234"/>
      <c r="R75" s="1749">
        <v>-9.9000000000000021</v>
      </c>
      <c r="S75" s="1749"/>
      <c r="T75" s="1749"/>
      <c r="U75" s="1462"/>
      <c r="V75" s="1462"/>
      <c r="W75" s="2287"/>
      <c r="X75" s="2288"/>
      <c r="Y75" s="2289"/>
      <c r="Z75" s="2278">
        <v>2000</v>
      </c>
      <c r="AA75" s="2279"/>
      <c r="AB75" s="2280"/>
      <c r="AC75" s="2278">
        <v>10</v>
      </c>
      <c r="AD75" s="2279"/>
      <c r="AE75" s="2280"/>
      <c r="AF75" s="2281">
        <v>9.99</v>
      </c>
      <c r="AG75" s="2282"/>
      <c r="AH75" s="2193">
        <v>9.9999999999997882E-2</v>
      </c>
      <c r="AI75" s="2195"/>
      <c r="AJ75" s="2281">
        <v>9.99</v>
      </c>
      <c r="AK75" s="2283"/>
      <c r="AL75" s="2283"/>
      <c r="AM75" s="2282"/>
      <c r="AN75" s="2193">
        <v>-981.9</v>
      </c>
      <c r="AO75" s="2194"/>
      <c r="AP75" s="2195"/>
    </row>
    <row r="76" spans="1:42" ht="15" customHeight="1" outlineLevel="1">
      <c r="A76" s="1749"/>
      <c r="B76" s="1749"/>
      <c r="C76" s="1749"/>
      <c r="D76" s="1749">
        <v>5000</v>
      </c>
      <c r="E76" s="1749"/>
      <c r="F76" s="1749"/>
      <c r="G76" s="1749">
        <v>10</v>
      </c>
      <c r="H76" s="1749"/>
      <c r="I76" s="1749"/>
      <c r="J76" s="2234">
        <v>10.02</v>
      </c>
      <c r="K76" s="2234"/>
      <c r="L76" s="1749">
        <v>-0.19999999999999576</v>
      </c>
      <c r="M76" s="1749"/>
      <c r="N76" s="2234">
        <v>9.99</v>
      </c>
      <c r="O76" s="2234"/>
      <c r="P76" s="2234"/>
      <c r="Q76" s="2234"/>
      <c r="R76" s="1749">
        <v>-10.199999999999996</v>
      </c>
      <c r="S76" s="1749"/>
      <c r="T76" s="1749"/>
      <c r="U76" s="1462"/>
      <c r="V76" s="1462"/>
      <c r="W76" s="2290"/>
      <c r="X76" s="2291"/>
      <c r="Y76" s="2292"/>
      <c r="Z76" s="2278">
        <v>5000</v>
      </c>
      <c r="AA76" s="2279"/>
      <c r="AB76" s="2280"/>
      <c r="AC76" s="2278">
        <v>10</v>
      </c>
      <c r="AD76" s="2279"/>
      <c r="AE76" s="2280"/>
      <c r="AF76" s="2281">
        <v>10.02</v>
      </c>
      <c r="AG76" s="2282"/>
      <c r="AH76" s="2193">
        <v>-0.19999999999999576</v>
      </c>
      <c r="AI76" s="2195"/>
      <c r="AJ76" s="2281">
        <v>9.99</v>
      </c>
      <c r="AK76" s="2283"/>
      <c r="AL76" s="2283"/>
      <c r="AM76" s="2282"/>
      <c r="AN76" s="2193">
        <v>-982.2</v>
      </c>
      <c r="AO76" s="2194"/>
      <c r="AP76" s="2195"/>
    </row>
    <row r="77" spans="1:42" outlineLevel="1">
      <c r="A77" s="1532"/>
      <c r="B77" s="1532"/>
      <c r="C77" s="1462"/>
      <c r="D77" s="1462"/>
      <c r="E77" s="1462"/>
      <c r="F77" s="1462"/>
      <c r="G77" s="1462"/>
      <c r="H77" s="1462"/>
      <c r="I77" s="1462"/>
      <c r="J77" s="1462"/>
      <c r="K77" s="1462"/>
      <c r="L77" s="1462"/>
      <c r="M77" s="1462"/>
      <c r="N77" s="1462"/>
      <c r="O77" s="1462"/>
      <c r="P77" s="1462"/>
      <c r="Q77" s="1462"/>
      <c r="R77" s="1462"/>
      <c r="S77" s="1462"/>
      <c r="T77" s="1462"/>
      <c r="U77" s="1462"/>
      <c r="V77" s="1462"/>
      <c r="W77" s="1462"/>
      <c r="X77" s="1462"/>
      <c r="Y77" s="1462"/>
      <c r="Z77" s="1462"/>
      <c r="AA77" s="1462"/>
      <c r="AB77" s="1462"/>
      <c r="AC77" s="1462"/>
      <c r="AD77" s="1462"/>
      <c r="AE77" s="1462"/>
      <c r="AF77" s="1462"/>
      <c r="AG77" s="1462"/>
      <c r="AH77" s="1462"/>
      <c r="AI77" s="1462"/>
      <c r="AJ77" s="1462"/>
      <c r="AK77" s="1462"/>
      <c r="AL77" s="1462"/>
      <c r="AM77" s="1462"/>
      <c r="AN77" s="1462"/>
      <c r="AO77" s="1462"/>
      <c r="AP77" s="1462"/>
    </row>
  </sheetData>
  <protectedRanges>
    <protectedRange sqref="B34 A34:A49 B35:C49 E34 D34:D49 I34 E36:E49 F34:H49 J34:J49 I36:I49" name="区域4"/>
    <protectedRange sqref="K34:K49" name="区域4_1"/>
  </protectedRanges>
  <mergeCells count="398">
    <mergeCell ref="AN75:AP75"/>
    <mergeCell ref="AN73:AP73"/>
    <mergeCell ref="Z74:AB74"/>
    <mergeCell ref="AC74:AE74"/>
    <mergeCell ref="AF74:AG74"/>
    <mergeCell ref="AH74:AI74"/>
    <mergeCell ref="AJ74:AM74"/>
    <mergeCell ref="AN74:AP74"/>
    <mergeCell ref="W73:Y76"/>
    <mergeCell ref="Z73:AB73"/>
    <mergeCell ref="AC73:AE73"/>
    <mergeCell ref="AF73:AG73"/>
    <mergeCell ref="AH73:AI73"/>
    <mergeCell ref="AJ73:AM73"/>
    <mergeCell ref="Z75:AB75"/>
    <mergeCell ref="AC75:AE75"/>
    <mergeCell ref="AF75:AG75"/>
    <mergeCell ref="AH75:AI75"/>
    <mergeCell ref="AJ75:AM75"/>
    <mergeCell ref="Z76:AB76"/>
    <mergeCell ref="AC76:AE76"/>
    <mergeCell ref="AF76:AG76"/>
    <mergeCell ref="AH76:AI76"/>
    <mergeCell ref="AJ76:AM76"/>
    <mergeCell ref="A73:C76"/>
    <mergeCell ref="R73:T73"/>
    <mergeCell ref="D74:F74"/>
    <mergeCell ref="N71:Q71"/>
    <mergeCell ref="R71:T71"/>
    <mergeCell ref="D72:F72"/>
    <mergeCell ref="J72:K72"/>
    <mergeCell ref="AN76:AP76"/>
    <mergeCell ref="AN71:AP71"/>
    <mergeCell ref="Z72:AB72"/>
    <mergeCell ref="AF72:AG72"/>
    <mergeCell ref="AH72:AI72"/>
    <mergeCell ref="A71:C72"/>
    <mergeCell ref="D71:F71"/>
    <mergeCell ref="G71:I72"/>
    <mergeCell ref="J71:K71"/>
    <mergeCell ref="L71:M71"/>
    <mergeCell ref="L72:M72"/>
    <mergeCell ref="N72:Q72"/>
    <mergeCell ref="D73:F73"/>
    <mergeCell ref="G73:I73"/>
    <mergeCell ref="J73:K73"/>
    <mergeCell ref="L73:M73"/>
    <mergeCell ref="D75:F75"/>
    <mergeCell ref="AJ72:AM72"/>
    <mergeCell ref="AN72:AP72"/>
    <mergeCell ref="W71:Y72"/>
    <mergeCell ref="Z71:AB71"/>
    <mergeCell ref="AC71:AE72"/>
    <mergeCell ref="AF71:AG71"/>
    <mergeCell ref="AH71:AI71"/>
    <mergeCell ref="AJ71:AM71"/>
    <mergeCell ref="R72:T72"/>
    <mergeCell ref="Z60:AA60"/>
    <mergeCell ref="V59:X59"/>
    <mergeCell ref="Z59:AA59"/>
    <mergeCell ref="O60:P60"/>
    <mergeCell ref="Q60:R60"/>
    <mergeCell ref="O59:P59"/>
    <mergeCell ref="Q59:R59"/>
    <mergeCell ref="C65:D65"/>
    <mergeCell ref="E65:H65"/>
    <mergeCell ref="I65:J65"/>
    <mergeCell ref="C64:D64"/>
    <mergeCell ref="E64:H64"/>
    <mergeCell ref="I64:J64"/>
    <mergeCell ref="A55:C57"/>
    <mergeCell ref="G55:H57"/>
    <mergeCell ref="A58:C58"/>
    <mergeCell ref="D55:D57"/>
    <mergeCell ref="E55:F57"/>
    <mergeCell ref="E58:F58"/>
    <mergeCell ref="G58:H58"/>
    <mergeCell ref="V60:X60"/>
    <mergeCell ref="A65:B68"/>
    <mergeCell ref="A64:B64"/>
    <mergeCell ref="E67:H67"/>
    <mergeCell ref="I67:J67"/>
    <mergeCell ref="C66:D66"/>
    <mergeCell ref="E66:H66"/>
    <mergeCell ref="I66:J66"/>
    <mergeCell ref="C67:D67"/>
    <mergeCell ref="C68:D68"/>
    <mergeCell ref="E68:H68"/>
    <mergeCell ref="I68:J68"/>
    <mergeCell ref="P68:R68"/>
    <mergeCell ref="AI55:AI57"/>
    <mergeCell ref="AJ55:AK57"/>
    <mergeCell ref="AL55:AM57"/>
    <mergeCell ref="L42:Q42"/>
    <mergeCell ref="Q55:R57"/>
    <mergeCell ref="AJ60:AK60"/>
    <mergeCell ref="AL60:AM60"/>
    <mergeCell ref="AJ59:AK59"/>
    <mergeCell ref="AL59:AM59"/>
    <mergeCell ref="AJ58:AK58"/>
    <mergeCell ref="AL58:AM58"/>
    <mergeCell ref="AB55:AC57"/>
    <mergeCell ref="L47:Q47"/>
    <mergeCell ref="R47:T47"/>
    <mergeCell ref="R49:T49"/>
    <mergeCell ref="L49:Q49"/>
    <mergeCell ref="L55:L57"/>
    <mergeCell ref="AB60:AC60"/>
    <mergeCell ref="AB59:AC59"/>
    <mergeCell ref="AB58:AC58"/>
    <mergeCell ref="S59:T59"/>
    <mergeCell ref="S60:T60"/>
    <mergeCell ref="S58:T58"/>
    <mergeCell ref="V58:X58"/>
    <mergeCell ref="A33:C33"/>
    <mergeCell ref="AN60:AO60"/>
    <mergeCell ref="AN59:AO59"/>
    <mergeCell ref="AN55:AO57"/>
    <mergeCell ref="AN58:AO58"/>
    <mergeCell ref="AD33:AE33"/>
    <mergeCell ref="AF33:AG33"/>
    <mergeCell ref="AH33:AJ33"/>
    <mergeCell ref="A34:C43"/>
    <mergeCell ref="D34:D43"/>
    <mergeCell ref="E39:H39"/>
    <mergeCell ref="I37:K37"/>
    <mergeCell ref="E36:H36"/>
    <mergeCell ref="I39:K39"/>
    <mergeCell ref="E42:H42"/>
    <mergeCell ref="I42:K42"/>
    <mergeCell ref="E37:H37"/>
    <mergeCell ref="E38:H38"/>
    <mergeCell ref="I38:K38"/>
    <mergeCell ref="AE55:AE57"/>
    <mergeCell ref="R44:T44"/>
    <mergeCell ref="L44:Q44"/>
    <mergeCell ref="L46:Q46"/>
    <mergeCell ref="I36:K36"/>
    <mergeCell ref="AK33:AL33"/>
    <mergeCell ref="X37:AE37"/>
    <mergeCell ref="AM33:AN33"/>
    <mergeCell ref="AM18:AN28"/>
    <mergeCell ref="AA27:AD27"/>
    <mergeCell ref="AE27:AF27"/>
    <mergeCell ref="AH27:AK27"/>
    <mergeCell ref="AA28:AD28"/>
    <mergeCell ref="AE28:AF28"/>
    <mergeCell ref="AH28:AK28"/>
    <mergeCell ref="AA23:AD23"/>
    <mergeCell ref="AA24:AD24"/>
    <mergeCell ref="T18:T28"/>
    <mergeCell ref="U18:U28"/>
    <mergeCell ref="R34:T35"/>
    <mergeCell ref="X18:Y28"/>
    <mergeCell ref="AA18:AD18"/>
    <mergeCell ref="AD55:AD57"/>
    <mergeCell ref="V65:W65"/>
    <mergeCell ref="X65:AA65"/>
    <mergeCell ref="V66:W66"/>
    <mergeCell ref="X66:AA66"/>
    <mergeCell ref="R42:T42"/>
    <mergeCell ref="P65:R65"/>
    <mergeCell ref="L45:Q45"/>
    <mergeCell ref="R45:T45"/>
    <mergeCell ref="T64:U64"/>
    <mergeCell ref="L48:Q48"/>
    <mergeCell ref="L64:O64"/>
    <mergeCell ref="L39:Q39"/>
    <mergeCell ref="L43:Q43"/>
    <mergeCell ref="R48:T48"/>
    <mergeCell ref="Z58:AA58"/>
    <mergeCell ref="V55:X57"/>
    <mergeCell ref="Y55:Y57"/>
    <mergeCell ref="Z55:AA57"/>
    <mergeCell ref="A47:C49"/>
    <mergeCell ref="D47:D49"/>
    <mergeCell ref="R43:T43"/>
    <mergeCell ref="E47:H47"/>
    <mergeCell ref="I47:K47"/>
    <mergeCell ref="E48:H48"/>
    <mergeCell ref="I48:K48"/>
    <mergeCell ref="A44:C46"/>
    <mergeCell ref="AB67:AC67"/>
    <mergeCell ref="V64:W64"/>
    <mergeCell ref="X64:AA64"/>
    <mergeCell ref="V67:W67"/>
    <mergeCell ref="X67:AA67"/>
    <mergeCell ref="I49:K49"/>
    <mergeCell ref="J55:J57"/>
    <mergeCell ref="K55:K57"/>
    <mergeCell ref="I55:I57"/>
    <mergeCell ref="A59:C59"/>
    <mergeCell ref="E59:F59"/>
    <mergeCell ref="G59:H59"/>
    <mergeCell ref="O58:P58"/>
    <mergeCell ref="A60:C60"/>
    <mergeCell ref="E60:F60"/>
    <mergeCell ref="G60:H60"/>
    <mergeCell ref="A18:B28"/>
    <mergeCell ref="C18:C28"/>
    <mergeCell ref="D18:G18"/>
    <mergeCell ref="H18:I18"/>
    <mergeCell ref="K18:N18"/>
    <mergeCell ref="D19:G19"/>
    <mergeCell ref="H19:I19"/>
    <mergeCell ref="K19:N19"/>
    <mergeCell ref="D20:G20"/>
    <mergeCell ref="H20:I20"/>
    <mergeCell ref="K25:N25"/>
    <mergeCell ref="D24:G24"/>
    <mergeCell ref="H24:I24"/>
    <mergeCell ref="K24:N24"/>
    <mergeCell ref="D25:G25"/>
    <mergeCell ref="H25:I25"/>
    <mergeCell ref="A3:D3"/>
    <mergeCell ref="A17:B17"/>
    <mergeCell ref="D17:G17"/>
    <mergeCell ref="B4:D4"/>
    <mergeCell ref="B5:D5"/>
    <mergeCell ref="B6:D6"/>
    <mergeCell ref="B7:D7"/>
    <mergeCell ref="B8:D8"/>
    <mergeCell ref="F4:F12"/>
    <mergeCell ref="G4:G12"/>
    <mergeCell ref="B9:D9"/>
    <mergeCell ref="B10:D10"/>
    <mergeCell ref="B11:D11"/>
    <mergeCell ref="B12:D12"/>
    <mergeCell ref="R41:T41"/>
    <mergeCell ref="R40:T40"/>
    <mergeCell ref="R39:T39"/>
    <mergeCell ref="H17:J17"/>
    <mergeCell ref="K17:N17"/>
    <mergeCell ref="I34:K35"/>
    <mergeCell ref="K21:N21"/>
    <mergeCell ref="L34:Q35"/>
    <mergeCell ref="L33:Q33"/>
    <mergeCell ref="E40:H40"/>
    <mergeCell ref="I40:K40"/>
    <mergeCell ref="E41:H41"/>
    <mergeCell ref="I41:K41"/>
    <mergeCell ref="S18:S28"/>
    <mergeCell ref="R38:T38"/>
    <mergeCell ref="L38:Q38"/>
    <mergeCell ref="R37:T37"/>
    <mergeCell ref="L37:Q37"/>
    <mergeCell ref="R36:T36"/>
    <mergeCell ref="L36:Q36"/>
    <mergeCell ref="R33:T33"/>
    <mergeCell ref="L41:Q41"/>
    <mergeCell ref="L40:Q40"/>
    <mergeCell ref="D23:G23"/>
    <mergeCell ref="AI68:AK68"/>
    <mergeCell ref="AE65:AH65"/>
    <mergeCell ref="AI65:AK65"/>
    <mergeCell ref="AE66:AH66"/>
    <mergeCell ref="AI66:AK66"/>
    <mergeCell ref="AE64:AH64"/>
    <mergeCell ref="AI64:AK64"/>
    <mergeCell ref="AE67:AH67"/>
    <mergeCell ref="AI67:AK67"/>
    <mergeCell ref="R46:T46"/>
    <mergeCell ref="AE68:AH68"/>
    <mergeCell ref="T65:U68"/>
    <mergeCell ref="O55:P57"/>
    <mergeCell ref="S55:T57"/>
    <mergeCell ref="Q58:R58"/>
    <mergeCell ref="L67:O67"/>
    <mergeCell ref="P67:R67"/>
    <mergeCell ref="L68:O68"/>
    <mergeCell ref="P64:R64"/>
    <mergeCell ref="L65:O65"/>
    <mergeCell ref="M55:M57"/>
    <mergeCell ref="N55:N57"/>
    <mergeCell ref="AB68:AC68"/>
    <mergeCell ref="AB65:AC65"/>
    <mergeCell ref="AB66:AC66"/>
    <mergeCell ref="AB64:AC64"/>
    <mergeCell ref="V68:W68"/>
    <mergeCell ref="X68:AA68"/>
    <mergeCell ref="AF55:AF57"/>
    <mergeCell ref="AG55:AG57"/>
    <mergeCell ref="AH55:AH57"/>
    <mergeCell ref="L66:O66"/>
    <mergeCell ref="P66:R66"/>
    <mergeCell ref="AP28:AS28"/>
    <mergeCell ref="AP26:AS26"/>
    <mergeCell ref="AP27:AS27"/>
    <mergeCell ref="AP24:AS24"/>
    <mergeCell ref="AP25:AS25"/>
    <mergeCell ref="AP23:AS23"/>
    <mergeCell ref="X17:Y17"/>
    <mergeCell ref="AA17:AD17"/>
    <mergeCell ref="AE17:AG17"/>
    <mergeCell ref="AH17:AK17"/>
    <mergeCell ref="AH18:AK18"/>
    <mergeCell ref="AH19:AK19"/>
    <mergeCell ref="AE21:AF21"/>
    <mergeCell ref="AE23:AF23"/>
    <mergeCell ref="AE18:AF18"/>
    <mergeCell ref="AH24:AK24"/>
    <mergeCell ref="AH25:AK25"/>
    <mergeCell ref="AH26:AK26"/>
    <mergeCell ref="AH20:AK20"/>
    <mergeCell ref="AH21:AK21"/>
    <mergeCell ref="AH22:AK22"/>
    <mergeCell ref="AH23:AK23"/>
    <mergeCell ref="AE19:AF19"/>
    <mergeCell ref="AE22:AF22"/>
    <mergeCell ref="AW28:AZ28"/>
    <mergeCell ref="AW26:AZ26"/>
    <mergeCell ref="AW27:AZ27"/>
    <mergeCell ref="AW24:AZ24"/>
    <mergeCell ref="AW25:AZ25"/>
    <mergeCell ref="AT22:AU22"/>
    <mergeCell ref="AW22:AZ22"/>
    <mergeCell ref="AT23:AU23"/>
    <mergeCell ref="AW23:AZ23"/>
    <mergeCell ref="AT28:AU28"/>
    <mergeCell ref="AT27:AU27"/>
    <mergeCell ref="AT24:AU24"/>
    <mergeCell ref="AT25:AU25"/>
    <mergeCell ref="AM17:AN17"/>
    <mergeCell ref="AP17:AS17"/>
    <mergeCell ref="AT17:AV17"/>
    <mergeCell ref="AW17:AZ17"/>
    <mergeCell ref="AP18:AS18"/>
    <mergeCell ref="AP20:AS20"/>
    <mergeCell ref="AT18:AU18"/>
    <mergeCell ref="AW18:AZ18"/>
    <mergeCell ref="AP19:AS19"/>
    <mergeCell ref="AT19:AU19"/>
    <mergeCell ref="AW19:AZ19"/>
    <mergeCell ref="AT20:AU20"/>
    <mergeCell ref="AW20:AZ20"/>
    <mergeCell ref="O17:R17"/>
    <mergeCell ref="H23:I23"/>
    <mergeCell ref="K23:N23"/>
    <mergeCell ref="K20:N20"/>
    <mergeCell ref="D21:G21"/>
    <mergeCell ref="H21:I21"/>
    <mergeCell ref="D22:G22"/>
    <mergeCell ref="H22:I22"/>
    <mergeCell ref="K22:N22"/>
    <mergeCell ref="AT21:AU21"/>
    <mergeCell ref="AW21:AZ21"/>
    <mergeCell ref="AP21:AS21"/>
    <mergeCell ref="AT26:AU26"/>
    <mergeCell ref="AP22:AS22"/>
    <mergeCell ref="AA20:AD20"/>
    <mergeCell ref="AE20:AF20"/>
    <mergeCell ref="AA19:AD19"/>
    <mergeCell ref="AA22:AD22"/>
    <mergeCell ref="AA21:AD21"/>
    <mergeCell ref="AE24:AF24"/>
    <mergeCell ref="AE25:AF25"/>
    <mergeCell ref="AE26:AF26"/>
    <mergeCell ref="AA25:AD25"/>
    <mergeCell ref="AA26:AD26"/>
    <mergeCell ref="D44:D46"/>
    <mergeCell ref="E44:H44"/>
    <mergeCell ref="I44:K44"/>
    <mergeCell ref="E46:H46"/>
    <mergeCell ref="I46:K46"/>
    <mergeCell ref="E45:H45"/>
    <mergeCell ref="I45:K45"/>
    <mergeCell ref="E49:H49"/>
    <mergeCell ref="D26:G26"/>
    <mergeCell ref="H26:I26"/>
    <mergeCell ref="K26:N26"/>
    <mergeCell ref="E43:H43"/>
    <mergeCell ref="I43:K43"/>
    <mergeCell ref="D27:G27"/>
    <mergeCell ref="H27:I27"/>
    <mergeCell ref="D28:G28"/>
    <mergeCell ref="H28:I28"/>
    <mergeCell ref="E33:H33"/>
    <mergeCell ref="E34:H35"/>
    <mergeCell ref="K27:N27"/>
    <mergeCell ref="K28:N28"/>
    <mergeCell ref="I33:K33"/>
    <mergeCell ref="R76:T76"/>
    <mergeCell ref="N74:Q74"/>
    <mergeCell ref="R74:T74"/>
    <mergeCell ref="N73:Q73"/>
    <mergeCell ref="N75:Q75"/>
    <mergeCell ref="R75:T75"/>
    <mergeCell ref="D76:F76"/>
    <mergeCell ref="G76:I76"/>
    <mergeCell ref="J76:K76"/>
    <mergeCell ref="L76:M76"/>
    <mergeCell ref="N76:Q76"/>
    <mergeCell ref="G75:I75"/>
    <mergeCell ref="J75:K75"/>
    <mergeCell ref="L75:M75"/>
    <mergeCell ref="G74:I74"/>
    <mergeCell ref="J74:K74"/>
    <mergeCell ref="L74:M74"/>
  </mergeCells>
  <phoneticPr fontId="17" type="noConversion"/>
  <conditionalFormatting sqref="K18:N28">
    <cfRule type="cellIs" dxfId="194" priority="21" stopIfTrue="1" operator="lessThan">
      <formula>-$C$18</formula>
    </cfRule>
    <cfRule type="cellIs" dxfId="193" priority="22" stopIfTrue="1" operator="greaterThan">
      <formula>$C$18</formula>
    </cfRule>
  </conditionalFormatting>
  <conditionalFormatting sqref="L36:Q49 L34">
    <cfRule type="cellIs" dxfId="192" priority="7" stopIfTrue="1" operator="lessThan">
      <formula>-$D$22</formula>
    </cfRule>
    <cfRule type="cellIs" dxfId="191" priority="8" stopIfTrue="1" operator="greaterThan">
      <formula>$D$22</formula>
    </cfRule>
  </conditionalFormatting>
  <conditionalFormatting sqref="A73 A71 D71:D76">
    <cfRule type="expression" dxfId="190" priority="6" stopIfTrue="1">
      <formula>$A$1="接地电阻表校准原始记录"</formula>
    </cfRule>
  </conditionalFormatting>
  <conditionalFormatting sqref="AG18:AJ28">
    <cfRule type="cellIs" dxfId="189" priority="4" stopIfTrue="1" operator="lessThan">
      <formula>-$C$18</formula>
    </cfRule>
    <cfRule type="cellIs" dxfId="188" priority="5" stopIfTrue="1" operator="greaterThan">
      <formula>$C$18</formula>
    </cfRule>
  </conditionalFormatting>
  <conditionalFormatting sqref="AU18:AX28">
    <cfRule type="cellIs" dxfId="187" priority="2" stopIfTrue="1" operator="lessThan">
      <formula>-$C$18</formula>
    </cfRule>
    <cfRule type="cellIs" dxfId="186" priority="3" stopIfTrue="1" operator="greaterThan">
      <formula>$C$18</formula>
    </cfRule>
  </conditionalFormatting>
  <conditionalFormatting sqref="W73 W71 Z71:Z76">
    <cfRule type="expression" dxfId="185" priority="1" stopIfTrue="1">
      <formula>$A$1="接地电阻表校准原始记录"</formula>
    </cfRule>
  </conditionalFormatting>
  <pageMargins left="0.75" right="0.75" top="1" bottom="1" header="0.5" footer="0.5"/>
  <drawing r:id="rId1"/>
  <legacyDrawing r:id="rId2"/>
</worksheet>
</file>

<file path=xl/worksheets/sheet14.xml><?xml version="1.0" encoding="utf-8"?>
<worksheet xmlns="http://schemas.openxmlformats.org/spreadsheetml/2006/main" xmlns:r="http://schemas.openxmlformats.org/officeDocument/2006/relationships">
  <dimension ref="A1:AA76"/>
  <sheetViews>
    <sheetView workbookViewId="0"/>
  </sheetViews>
  <sheetFormatPr defaultColWidth="9" defaultRowHeight="14.25"/>
  <cols>
    <col min="3" max="3" width="14.5" customWidth="1"/>
    <col min="4" max="4" width="11.625" bestFit="1" customWidth="1"/>
    <col min="5" max="5" width="13.875" customWidth="1"/>
    <col min="7" max="7" width="11.625" bestFit="1" customWidth="1"/>
    <col min="11" max="11" width="11.625" bestFit="1" customWidth="1"/>
  </cols>
  <sheetData>
    <row r="1" spans="1:27" ht="18" customHeight="1">
      <c r="A1" s="454" t="s">
        <v>995</v>
      </c>
      <c r="B1" s="455" t="s">
        <v>1064</v>
      </c>
      <c r="C1" s="455" t="s">
        <v>1082</v>
      </c>
      <c r="D1" s="456"/>
      <c r="E1" s="2118"/>
      <c r="F1" s="2118"/>
      <c r="G1" s="2118"/>
      <c r="H1" s="2118"/>
      <c r="I1" s="315"/>
      <c r="J1" s="315"/>
      <c r="K1" s="315"/>
      <c r="L1" s="457"/>
      <c r="M1" s="457"/>
      <c r="N1" s="457"/>
      <c r="O1" s="457"/>
      <c r="P1" s="457"/>
      <c r="Q1" s="457"/>
      <c r="R1" s="457"/>
      <c r="S1" s="457"/>
      <c r="T1" s="457"/>
      <c r="U1" s="457"/>
      <c r="V1" s="457"/>
      <c r="W1" s="457"/>
      <c r="X1" s="457"/>
      <c r="Y1" s="457"/>
      <c r="Z1" s="457"/>
      <c r="AA1" s="457"/>
    </row>
    <row r="2" spans="1:27">
      <c r="A2" s="165"/>
      <c r="B2" s="398" t="s">
        <v>998</v>
      </c>
      <c r="C2" s="398" t="s">
        <v>1083</v>
      </c>
      <c r="D2" s="398"/>
      <c r="E2" s="398"/>
      <c r="F2" s="398"/>
      <c r="G2" s="398"/>
      <c r="H2" s="398"/>
      <c r="I2" s="398"/>
      <c r="J2" s="398"/>
      <c r="K2" s="411"/>
    </row>
    <row r="3" spans="1:27">
      <c r="A3" s="340"/>
      <c r="B3" s="459" t="s">
        <v>1067</v>
      </c>
      <c r="C3" s="337"/>
      <c r="D3" s="337" t="s">
        <v>1001</v>
      </c>
      <c r="E3" s="337"/>
      <c r="F3" s="337"/>
      <c r="G3" s="337"/>
      <c r="H3" s="337"/>
      <c r="I3" s="337"/>
      <c r="J3" s="337"/>
      <c r="K3" s="460"/>
      <c r="L3" s="13"/>
      <c r="M3" s="13"/>
      <c r="N3" s="13"/>
      <c r="O3" s="13"/>
      <c r="P3" s="13"/>
      <c r="Q3" s="13"/>
      <c r="R3" s="13"/>
      <c r="S3" s="13"/>
      <c r="T3" s="13"/>
      <c r="U3" s="13"/>
      <c r="V3" s="13"/>
      <c r="W3" s="13"/>
      <c r="X3" s="13"/>
      <c r="Y3" s="13"/>
      <c r="Z3" s="13"/>
      <c r="AA3" s="13"/>
    </row>
    <row r="4" spans="1:27" ht="24">
      <c r="A4" s="340"/>
      <c r="B4" s="347" t="s">
        <v>1002</v>
      </c>
      <c r="C4" s="347" t="s">
        <v>1003</v>
      </c>
      <c r="D4" s="347" t="s">
        <v>1004</v>
      </c>
      <c r="E4" s="347" t="s">
        <v>1005</v>
      </c>
      <c r="F4" s="448" t="s">
        <v>1006</v>
      </c>
      <c r="G4" s="480" t="s">
        <v>1081</v>
      </c>
      <c r="H4" s="390"/>
      <c r="I4" s="482"/>
      <c r="J4" s="482"/>
      <c r="K4" s="390"/>
      <c r="L4" s="13"/>
      <c r="M4" s="13"/>
      <c r="N4" s="13"/>
      <c r="O4" s="13"/>
      <c r="P4" s="13"/>
      <c r="Q4" s="13"/>
      <c r="R4" s="13"/>
      <c r="S4" s="13"/>
      <c r="T4" s="13"/>
      <c r="U4" s="13"/>
      <c r="V4" s="13"/>
      <c r="W4" s="13"/>
      <c r="X4" s="13"/>
      <c r="Y4" s="13"/>
      <c r="Z4" s="13"/>
      <c r="AA4" s="13"/>
    </row>
    <row r="5" spans="1:27" ht="15">
      <c r="A5" s="340"/>
      <c r="B5" s="349">
        <v>0.99447300000000005</v>
      </c>
      <c r="C5" s="349">
        <v>0.99545300000000003</v>
      </c>
      <c r="D5" s="349">
        <v>0.99447300000000005</v>
      </c>
      <c r="E5" s="349">
        <v>0.99545300000000003</v>
      </c>
      <c r="F5" s="450">
        <v>0.99447300000000005</v>
      </c>
      <c r="G5" s="317"/>
      <c r="H5" s="28"/>
      <c r="I5" s="28"/>
      <c r="J5" s="28"/>
      <c r="K5" s="28"/>
      <c r="L5" s="13"/>
      <c r="M5" s="13"/>
      <c r="N5" s="13"/>
      <c r="O5" s="13"/>
      <c r="P5" s="13"/>
      <c r="Q5" s="13"/>
      <c r="R5" s="13"/>
      <c r="S5" s="13"/>
      <c r="T5" s="13"/>
      <c r="U5" s="13"/>
      <c r="V5" s="13"/>
      <c r="W5" s="13"/>
      <c r="X5" s="13"/>
      <c r="Y5" s="13"/>
      <c r="Z5" s="13"/>
      <c r="AA5" s="13"/>
    </row>
    <row r="6" spans="1:27" ht="15">
      <c r="A6" s="340"/>
      <c r="B6" s="349">
        <v>0.99545300000000003</v>
      </c>
      <c r="C6" s="349">
        <v>0.99447300000000005</v>
      </c>
      <c r="D6" s="349">
        <v>0.99545300000000003</v>
      </c>
      <c r="E6" s="349">
        <v>0.99447300000000005</v>
      </c>
      <c r="F6" s="450">
        <v>0.99545300000000003</v>
      </c>
      <c r="G6" s="451"/>
      <c r="H6" s="417"/>
      <c r="I6" s="417"/>
      <c r="J6" s="417"/>
      <c r="K6" s="417"/>
      <c r="L6" s="13"/>
      <c r="M6" s="13"/>
      <c r="N6" s="13"/>
      <c r="O6" s="13"/>
      <c r="P6" s="13"/>
      <c r="Q6" s="13"/>
      <c r="R6" s="13"/>
      <c r="S6" s="13"/>
      <c r="T6" s="13"/>
      <c r="U6" s="13"/>
      <c r="V6" s="13"/>
      <c r="W6" s="13"/>
      <c r="X6" s="13"/>
      <c r="Y6" s="13"/>
      <c r="Z6" s="13"/>
      <c r="AA6" s="13"/>
    </row>
    <row r="7" spans="1:27" ht="18.75">
      <c r="A7" s="340"/>
      <c r="B7" s="394" t="s">
        <v>1078</v>
      </c>
      <c r="C7" s="481">
        <f>STDEV(C5:K5)</f>
        <v>5.6580326380582216E-4</v>
      </c>
      <c r="D7" s="14"/>
      <c r="E7" s="14"/>
      <c r="F7" s="14"/>
      <c r="G7" s="36"/>
      <c r="H7" s="9"/>
      <c r="I7" s="9"/>
      <c r="J7" s="9"/>
      <c r="K7" s="9"/>
      <c r="L7" s="13"/>
      <c r="M7" s="13"/>
      <c r="N7" s="13"/>
      <c r="O7" s="13"/>
      <c r="P7" s="13"/>
      <c r="Q7" s="13"/>
      <c r="R7" s="13"/>
      <c r="S7" s="13"/>
      <c r="T7" s="13"/>
      <c r="U7" s="13"/>
      <c r="V7" s="13"/>
      <c r="W7" s="13"/>
      <c r="X7" s="13"/>
      <c r="Y7" s="13"/>
      <c r="Z7" s="13"/>
      <c r="AA7" s="13"/>
    </row>
    <row r="8" spans="1:27">
      <c r="A8" s="340"/>
      <c r="B8" s="463"/>
      <c r="C8" s="463"/>
      <c r="D8" s="463"/>
      <c r="E8" s="463"/>
      <c r="F8" s="463"/>
      <c r="G8" s="463"/>
      <c r="H8" s="463"/>
      <c r="I8" s="463"/>
      <c r="J8" s="463"/>
      <c r="K8" s="464"/>
      <c r="L8" s="13"/>
      <c r="M8" s="13"/>
      <c r="N8" s="13"/>
      <c r="O8" s="13"/>
      <c r="P8" s="13"/>
      <c r="Q8" s="13"/>
      <c r="R8" s="13"/>
      <c r="S8" s="13"/>
      <c r="T8" s="13"/>
      <c r="U8" s="13"/>
      <c r="V8" s="13"/>
      <c r="W8" s="13"/>
      <c r="X8" s="13"/>
      <c r="Y8" s="13"/>
      <c r="Z8" s="13"/>
      <c r="AA8" s="13"/>
    </row>
    <row r="9" spans="1:27" ht="15.75" customHeight="1">
      <c r="A9" s="465" t="s">
        <v>1007</v>
      </c>
      <c r="B9" s="466" t="s">
        <v>1008</v>
      </c>
      <c r="C9" s="28"/>
      <c r="D9" s="28"/>
      <c r="E9" s="28"/>
      <c r="F9" s="28"/>
      <c r="G9" s="28"/>
      <c r="H9" s="28"/>
      <c r="I9" s="28"/>
      <c r="J9" s="28"/>
      <c r="K9" s="410"/>
      <c r="V9" s="13"/>
      <c r="W9" s="13"/>
      <c r="X9" s="13"/>
      <c r="Y9" s="13"/>
      <c r="Z9" s="13"/>
      <c r="AA9" s="13"/>
    </row>
    <row r="10" spans="1:27" ht="15.75" customHeight="1">
      <c r="A10" s="465"/>
      <c r="B10" s="467" t="s">
        <v>1049</v>
      </c>
      <c r="C10" s="467" t="s">
        <v>1010</v>
      </c>
      <c r="D10" s="467" t="s">
        <v>1050</v>
      </c>
      <c r="E10" s="467" t="s">
        <v>1051</v>
      </c>
      <c r="F10" s="467" t="s">
        <v>1052</v>
      </c>
      <c r="G10" s="467" t="s">
        <v>1014</v>
      </c>
      <c r="H10" s="28"/>
      <c r="I10" s="28"/>
      <c r="J10" s="28"/>
      <c r="K10" s="410"/>
      <c r="V10" s="13"/>
      <c r="W10" s="13"/>
      <c r="X10" s="13"/>
      <c r="Y10" s="13"/>
      <c r="Z10" s="13"/>
      <c r="AA10" s="13"/>
    </row>
    <row r="11" spans="1:27" ht="36" customHeight="1">
      <c r="A11" s="465"/>
      <c r="B11" s="7">
        <v>1</v>
      </c>
      <c r="C11" s="468" t="s">
        <v>1053</v>
      </c>
      <c r="D11" s="469">
        <v>1E-3</v>
      </c>
      <c r="E11" s="467" t="s">
        <v>1054</v>
      </c>
      <c r="F11" s="6">
        <v>3</v>
      </c>
      <c r="G11" s="443">
        <f>D11/F11</f>
        <v>3.3333333333333332E-4</v>
      </c>
      <c r="H11" s="28"/>
      <c r="I11" s="28"/>
      <c r="J11" s="28"/>
      <c r="K11" s="410"/>
      <c r="V11" s="13"/>
      <c r="W11" s="13"/>
      <c r="X11" s="13"/>
      <c r="Y11" s="13"/>
      <c r="Z11" s="13"/>
      <c r="AA11" s="13"/>
    </row>
    <row r="12" spans="1:27" ht="48" customHeight="1">
      <c r="A12" s="465"/>
      <c r="B12" s="7">
        <v>2</v>
      </c>
      <c r="C12" s="468" t="s">
        <v>1055</v>
      </c>
      <c r="D12" s="442">
        <v>2.5000000000000001E-4</v>
      </c>
      <c r="E12" s="467" t="s">
        <v>1056</v>
      </c>
      <c r="F12" s="6">
        <v>2</v>
      </c>
      <c r="G12" s="443">
        <f>D12/F12</f>
        <v>1.25E-4</v>
      </c>
      <c r="H12" s="28"/>
      <c r="I12" s="28"/>
      <c r="J12" s="28"/>
      <c r="K12" s="410"/>
      <c r="V12" s="13"/>
      <c r="W12" s="13"/>
      <c r="X12" s="13"/>
      <c r="Y12" s="13"/>
      <c r="Z12" s="13"/>
      <c r="AA12" s="13"/>
    </row>
    <row r="13" spans="1:27" ht="33.75" customHeight="1">
      <c r="A13" s="465"/>
      <c r="B13" s="7">
        <v>3</v>
      </c>
      <c r="C13" s="468" t="s">
        <v>1057</v>
      </c>
      <c r="D13" s="442">
        <v>5.0000000000000001E-4</v>
      </c>
      <c r="E13" s="467" t="s">
        <v>1054</v>
      </c>
      <c r="F13" s="6"/>
      <c r="G13" s="443">
        <f>D13/SQRT(3)</f>
        <v>2.886751345948129E-4</v>
      </c>
      <c r="H13" s="28"/>
      <c r="I13" s="28"/>
      <c r="J13" s="28"/>
      <c r="K13" s="410"/>
      <c r="V13" s="13"/>
      <c r="W13" s="13"/>
      <c r="X13" s="13"/>
      <c r="Y13" s="13"/>
      <c r="Z13" s="13"/>
      <c r="AA13" s="13"/>
    </row>
    <row r="14" spans="1:27" ht="15.75" customHeight="1">
      <c r="A14" s="465"/>
      <c r="B14" s="467" t="s">
        <v>1058</v>
      </c>
      <c r="C14" s="1969"/>
      <c r="D14" s="1970"/>
      <c r="E14" s="1970"/>
      <c r="F14" s="1970"/>
      <c r="G14" s="1832"/>
      <c r="H14" s="28"/>
      <c r="I14" s="28"/>
      <c r="J14" s="28"/>
      <c r="K14" s="410"/>
      <c r="V14" s="13"/>
      <c r="W14" s="13"/>
      <c r="X14" s="13"/>
      <c r="Y14" s="13"/>
      <c r="Z14" s="13"/>
      <c r="AA14" s="13"/>
    </row>
    <row r="15" spans="1:27">
      <c r="A15" s="340"/>
      <c r="B15" s="470" t="s">
        <v>1059</v>
      </c>
      <c r="C15" s="28"/>
      <c r="D15" s="28"/>
      <c r="E15" s="28"/>
      <c r="F15" s="28"/>
      <c r="G15" s="28"/>
      <c r="H15" s="28"/>
      <c r="I15" s="28"/>
      <c r="J15" s="28"/>
      <c r="K15" s="410"/>
      <c r="V15" s="13"/>
      <c r="W15" s="13"/>
      <c r="X15" s="13"/>
      <c r="Y15" s="13"/>
      <c r="Z15" s="13"/>
      <c r="AA15" s="13"/>
    </row>
    <row r="16" spans="1:27" ht="18.75" customHeight="1">
      <c r="A16" s="340"/>
      <c r="B16" s="471" t="s">
        <v>1060</v>
      </c>
      <c r="C16" s="470"/>
      <c r="D16" s="28"/>
      <c r="E16" s="28"/>
      <c r="F16" s="28"/>
      <c r="G16" s="28"/>
      <c r="H16" s="28"/>
      <c r="I16" s="28"/>
      <c r="J16" s="28"/>
      <c r="K16" s="410"/>
      <c r="V16" s="13"/>
      <c r="W16" s="13"/>
      <c r="X16" s="13"/>
      <c r="Y16" s="13"/>
      <c r="Z16" s="13"/>
      <c r="AA16" s="13"/>
    </row>
    <row r="17" spans="1:27">
      <c r="A17" s="317"/>
      <c r="B17" s="470" t="s">
        <v>1061</v>
      </c>
      <c r="C17" s="28"/>
      <c r="D17" s="28"/>
      <c r="E17" s="28"/>
      <c r="F17" s="28"/>
      <c r="G17" s="28"/>
      <c r="H17" s="28"/>
      <c r="I17" s="28"/>
      <c r="J17" s="28"/>
      <c r="K17" s="410"/>
    </row>
    <row r="18" spans="1:27" ht="15.75" customHeight="1">
      <c r="A18" s="317"/>
      <c r="B18" s="472" t="s">
        <v>1062</v>
      </c>
      <c r="C18" s="392"/>
      <c r="D18" s="391"/>
      <c r="E18" s="392"/>
      <c r="F18" s="391"/>
      <c r="G18" s="393"/>
      <c r="H18" s="390"/>
      <c r="I18" s="390"/>
      <c r="J18" s="390"/>
      <c r="K18" s="473"/>
    </row>
    <row r="19" spans="1:27" ht="15.75" customHeight="1">
      <c r="A19" s="317"/>
      <c r="B19" s="472"/>
      <c r="C19" s="392"/>
      <c r="D19" s="391"/>
      <c r="E19" s="392"/>
      <c r="F19" s="391"/>
      <c r="G19" s="393"/>
      <c r="H19" s="390"/>
      <c r="I19" s="390"/>
      <c r="J19" s="390"/>
      <c r="K19" s="473"/>
    </row>
    <row r="20" spans="1:27">
      <c r="A20" s="317"/>
      <c r="B20" s="28" t="s">
        <v>998</v>
      </c>
      <c r="C20" s="28" t="s">
        <v>1084</v>
      </c>
      <c r="D20" s="28"/>
      <c r="E20" s="28"/>
      <c r="F20" s="28"/>
      <c r="G20" s="28"/>
      <c r="H20" s="28"/>
      <c r="I20" s="28"/>
      <c r="J20" s="28"/>
      <c r="K20" s="410"/>
    </row>
    <row r="21" spans="1:27">
      <c r="A21" s="340"/>
      <c r="B21" s="459" t="s">
        <v>1067</v>
      </c>
      <c r="C21" s="337"/>
      <c r="D21" s="337" t="s">
        <v>1001</v>
      </c>
      <c r="E21" s="337"/>
      <c r="F21" s="337"/>
      <c r="G21" s="337"/>
      <c r="H21" s="337"/>
      <c r="I21" s="337"/>
      <c r="J21" s="337"/>
      <c r="K21" s="460"/>
      <c r="L21" s="13"/>
      <c r="M21" s="13"/>
      <c r="N21" s="13"/>
      <c r="O21" s="13"/>
      <c r="P21" s="13"/>
      <c r="Q21" s="13"/>
      <c r="R21" s="13"/>
      <c r="S21" s="13"/>
      <c r="T21" s="13"/>
      <c r="U21" s="13"/>
      <c r="V21" s="13"/>
      <c r="W21" s="13"/>
      <c r="X21" s="13"/>
      <c r="Y21" s="13"/>
      <c r="Z21" s="13"/>
      <c r="AA21" s="13"/>
    </row>
    <row r="22" spans="1:27" ht="15.75">
      <c r="A22" s="340"/>
      <c r="B22" s="347" t="s">
        <v>1068</v>
      </c>
      <c r="C22" s="347" t="s">
        <v>1069</v>
      </c>
      <c r="D22" s="347" t="s">
        <v>1070</v>
      </c>
      <c r="E22" s="347" t="s">
        <v>1071</v>
      </c>
      <c r="F22" s="347" t="s">
        <v>1072</v>
      </c>
      <c r="G22" s="347" t="s">
        <v>1073</v>
      </c>
      <c r="H22" s="347" t="s">
        <v>1074</v>
      </c>
      <c r="I22" s="348" t="s">
        <v>1075</v>
      </c>
      <c r="J22" s="348" t="s">
        <v>1076</v>
      </c>
      <c r="K22" s="347" t="s">
        <v>1077</v>
      </c>
      <c r="L22" s="13"/>
      <c r="M22" s="13"/>
      <c r="N22" s="13"/>
      <c r="O22" s="13"/>
      <c r="P22" s="13"/>
      <c r="Q22" s="13"/>
      <c r="R22" s="13"/>
      <c r="S22" s="13"/>
      <c r="T22" s="13"/>
      <c r="U22" s="13"/>
      <c r="V22" s="13"/>
      <c r="W22" s="13"/>
      <c r="X22" s="13"/>
      <c r="Y22" s="13"/>
      <c r="Z22" s="13"/>
      <c r="AA22" s="13"/>
    </row>
    <row r="23" spans="1:27" ht="15">
      <c r="A23" s="340"/>
      <c r="B23" s="349">
        <v>0.99447300000000005</v>
      </c>
      <c r="C23" s="349">
        <v>0.99545300000000003</v>
      </c>
      <c r="D23" s="349">
        <v>0.99447300000000005</v>
      </c>
      <c r="E23" s="349">
        <v>0.99545300000000003</v>
      </c>
      <c r="F23" s="349">
        <v>0.99447300000000005</v>
      </c>
      <c r="G23" s="349">
        <v>0.99545300000000003</v>
      </c>
      <c r="H23" s="349">
        <v>0.99447300000000005</v>
      </c>
      <c r="I23" s="349">
        <v>0.99545300000000003</v>
      </c>
      <c r="J23" s="349">
        <v>0.99447300000000005</v>
      </c>
      <c r="K23" s="349">
        <v>0.99545300000000003</v>
      </c>
      <c r="L23" s="13"/>
      <c r="M23" s="13"/>
      <c r="N23" s="13"/>
      <c r="O23" s="13"/>
      <c r="P23" s="13"/>
      <c r="Q23" s="13"/>
      <c r="R23" s="13"/>
      <c r="S23" s="13"/>
      <c r="T23" s="13"/>
      <c r="U23" s="13"/>
      <c r="V23" s="13"/>
      <c r="W23" s="13"/>
      <c r="X23" s="13"/>
      <c r="Y23" s="13"/>
      <c r="Z23" s="13"/>
      <c r="AA23" s="13"/>
    </row>
    <row r="24" spans="1:27" ht="18.75">
      <c r="A24" s="340"/>
      <c r="B24" s="394" t="s">
        <v>1078</v>
      </c>
      <c r="C24" s="2119">
        <f>STDEV(C23:K23)</f>
        <v>5.1650535116082525E-4</v>
      </c>
      <c r="D24" s="2120"/>
      <c r="E24" s="2120"/>
      <c r="F24" s="2120"/>
      <c r="G24" s="2120"/>
      <c r="H24" s="2120"/>
      <c r="I24" s="2120"/>
      <c r="J24" s="2120"/>
      <c r="K24" s="2293"/>
      <c r="L24" s="13"/>
      <c r="M24" s="13"/>
      <c r="N24" s="13"/>
      <c r="O24" s="13"/>
      <c r="P24" s="13"/>
      <c r="Q24" s="13"/>
      <c r="R24" s="13"/>
      <c r="S24" s="13"/>
      <c r="T24" s="13"/>
      <c r="U24" s="13"/>
      <c r="V24" s="13"/>
      <c r="W24" s="13"/>
      <c r="X24" s="13"/>
      <c r="Y24" s="13"/>
      <c r="Z24" s="13"/>
      <c r="AA24" s="13"/>
    </row>
    <row r="25" spans="1:27">
      <c r="A25" s="340"/>
      <c r="B25" s="463"/>
      <c r="C25" s="463"/>
      <c r="D25" s="463"/>
      <c r="E25" s="463"/>
      <c r="F25" s="463"/>
      <c r="G25" s="463"/>
      <c r="H25" s="463"/>
      <c r="I25" s="463"/>
      <c r="J25" s="463"/>
      <c r="K25" s="464"/>
      <c r="L25" s="13"/>
      <c r="M25" s="13"/>
      <c r="N25" s="13"/>
      <c r="O25" s="13"/>
      <c r="P25" s="13"/>
      <c r="Q25" s="13"/>
      <c r="R25" s="13"/>
      <c r="S25" s="13"/>
      <c r="T25" s="13"/>
      <c r="U25" s="13"/>
      <c r="V25" s="13"/>
      <c r="W25" s="13"/>
      <c r="X25" s="13"/>
      <c r="Y25" s="13"/>
      <c r="Z25" s="13"/>
      <c r="AA25" s="13"/>
    </row>
    <row r="26" spans="1:27" ht="15.75" customHeight="1">
      <c r="A26" s="465" t="s">
        <v>1007</v>
      </c>
      <c r="B26" s="466" t="s">
        <v>1008</v>
      </c>
      <c r="C26" s="28"/>
      <c r="D26" s="28"/>
      <c r="E26" s="28"/>
      <c r="F26" s="28"/>
      <c r="G26" s="28"/>
      <c r="H26" s="28"/>
      <c r="I26" s="28"/>
      <c r="J26" s="28"/>
      <c r="K26" s="410"/>
      <c r="V26" s="13"/>
      <c r="W26" s="13"/>
      <c r="X26" s="13"/>
      <c r="Y26" s="13"/>
      <c r="Z26" s="13"/>
      <c r="AA26" s="13"/>
    </row>
    <row r="27" spans="1:27" ht="15.75" customHeight="1">
      <c r="A27" s="465"/>
      <c r="B27" s="467" t="s">
        <v>1049</v>
      </c>
      <c r="C27" s="467" t="s">
        <v>1010</v>
      </c>
      <c r="D27" s="467" t="s">
        <v>1050</v>
      </c>
      <c r="E27" s="467" t="s">
        <v>1051</v>
      </c>
      <c r="F27" s="467" t="s">
        <v>1052</v>
      </c>
      <c r="G27" s="467" t="s">
        <v>1014</v>
      </c>
      <c r="H27" s="28"/>
      <c r="I27" s="28"/>
      <c r="J27" s="28"/>
      <c r="K27" s="410"/>
      <c r="V27" s="13"/>
      <c r="W27" s="13"/>
      <c r="X27" s="13"/>
      <c r="Y27" s="13"/>
      <c r="Z27" s="13"/>
      <c r="AA27" s="13"/>
    </row>
    <row r="28" spans="1:27" ht="36" customHeight="1">
      <c r="A28" s="465"/>
      <c r="B28" s="7">
        <v>1</v>
      </c>
      <c r="C28" s="468" t="s">
        <v>1053</v>
      </c>
      <c r="D28" s="469">
        <v>5.0000000000000001E-3</v>
      </c>
      <c r="E28" s="467" t="s">
        <v>1054</v>
      </c>
      <c r="F28" s="6">
        <v>3</v>
      </c>
      <c r="G28" s="443">
        <f>D28/F28</f>
        <v>1.6666666666666668E-3</v>
      </c>
      <c r="H28" s="28"/>
      <c r="I28" s="28"/>
      <c r="J28" s="28"/>
      <c r="K28" s="410"/>
      <c r="V28" s="13"/>
      <c r="W28" s="13"/>
      <c r="X28" s="13"/>
      <c r="Y28" s="13"/>
      <c r="Z28" s="13"/>
      <c r="AA28" s="13"/>
    </row>
    <row r="29" spans="1:27" ht="48" customHeight="1">
      <c r="A29" s="465"/>
      <c r="B29" s="7">
        <v>2</v>
      </c>
      <c r="C29" s="468" t="s">
        <v>1055</v>
      </c>
      <c r="D29" s="442">
        <v>1.1999999999999999E-3</v>
      </c>
      <c r="E29" s="467" t="s">
        <v>1056</v>
      </c>
      <c r="F29" s="6">
        <v>2</v>
      </c>
      <c r="G29" s="443">
        <f>D29/F29</f>
        <v>5.9999999999999995E-4</v>
      </c>
      <c r="H29" s="28"/>
      <c r="I29" s="28"/>
      <c r="J29" s="28"/>
      <c r="K29" s="410"/>
      <c r="V29" s="13"/>
      <c r="W29" s="13"/>
      <c r="X29" s="13"/>
      <c r="Y29" s="13"/>
      <c r="Z29" s="13"/>
      <c r="AA29" s="13"/>
    </row>
    <row r="30" spans="1:27" ht="33.75" customHeight="1">
      <c r="A30" s="465"/>
      <c r="B30" s="7">
        <v>3</v>
      </c>
      <c r="C30" s="468" t="s">
        <v>1057</v>
      </c>
      <c r="D30" s="442">
        <v>5.0000000000000001E-4</v>
      </c>
      <c r="E30" s="467" t="s">
        <v>1054</v>
      </c>
      <c r="F30" s="6"/>
      <c r="G30" s="443">
        <f>D30/SQRT(3)</f>
        <v>2.886751345948129E-4</v>
      </c>
      <c r="H30" s="28"/>
      <c r="I30" s="28"/>
      <c r="J30" s="28"/>
      <c r="K30" s="410"/>
      <c r="V30" s="13"/>
      <c r="W30" s="13"/>
      <c r="X30" s="13"/>
      <c r="Y30" s="13"/>
      <c r="Z30" s="13"/>
      <c r="AA30" s="13"/>
    </row>
    <row r="31" spans="1:27" ht="15.75" customHeight="1">
      <c r="A31" s="465"/>
      <c r="B31" s="467" t="s">
        <v>1058</v>
      </c>
      <c r="C31" s="1969"/>
      <c r="D31" s="1970"/>
      <c r="E31" s="1970"/>
      <c r="F31" s="1970"/>
      <c r="G31" s="1832"/>
      <c r="H31" s="28"/>
      <c r="I31" s="28"/>
      <c r="J31" s="28"/>
      <c r="K31" s="410"/>
      <c r="V31" s="13"/>
      <c r="W31" s="13"/>
      <c r="X31" s="13"/>
      <c r="Y31" s="13"/>
      <c r="Z31" s="13"/>
      <c r="AA31" s="13"/>
    </row>
    <row r="32" spans="1:27">
      <c r="A32" s="340"/>
      <c r="B32" s="470" t="s">
        <v>1059</v>
      </c>
      <c r="C32" s="28"/>
      <c r="D32" s="28"/>
      <c r="E32" s="28"/>
      <c r="F32" s="28"/>
      <c r="G32" s="28"/>
      <c r="H32" s="28"/>
      <c r="I32" s="28"/>
      <c r="J32" s="28"/>
      <c r="K32" s="410"/>
      <c r="V32" s="13"/>
      <c r="W32" s="13"/>
      <c r="X32" s="13"/>
      <c r="Y32" s="13"/>
      <c r="Z32" s="13"/>
      <c r="AA32" s="13"/>
    </row>
    <row r="33" spans="1:27" ht="18.75" customHeight="1">
      <c r="A33" s="340"/>
      <c r="B33" s="471" t="s">
        <v>1060</v>
      </c>
      <c r="C33" s="470"/>
      <c r="D33" s="28"/>
      <c r="E33" s="28"/>
      <c r="F33" s="28"/>
      <c r="G33" s="28"/>
      <c r="H33" s="28"/>
      <c r="I33" s="28"/>
      <c r="J33" s="28"/>
      <c r="K33" s="410"/>
      <c r="V33" s="13"/>
      <c r="W33" s="13"/>
      <c r="X33" s="13"/>
      <c r="Y33" s="13"/>
      <c r="Z33" s="13"/>
      <c r="AA33" s="13"/>
    </row>
    <row r="34" spans="1:27">
      <c r="A34" s="317"/>
      <c r="B34" s="470" t="s">
        <v>1061</v>
      </c>
      <c r="C34" s="28"/>
      <c r="D34" s="28"/>
      <c r="E34" s="28"/>
      <c r="F34" s="28"/>
      <c r="G34" s="28"/>
      <c r="H34" s="28"/>
      <c r="I34" s="28"/>
      <c r="J34" s="28"/>
      <c r="K34" s="410"/>
    </row>
    <row r="35" spans="1:27" ht="15.75" customHeight="1">
      <c r="A35" s="317"/>
      <c r="B35" s="472" t="s">
        <v>1062</v>
      </c>
      <c r="C35" s="392"/>
      <c r="D35" s="391"/>
      <c r="E35" s="392"/>
      <c r="F35" s="391"/>
      <c r="G35" s="393"/>
      <c r="H35" s="390"/>
      <c r="I35" s="390"/>
      <c r="J35" s="390"/>
      <c r="K35" s="473"/>
    </row>
    <row r="36" spans="1:27">
      <c r="A36" s="317"/>
      <c r="B36" s="28"/>
      <c r="C36" s="28"/>
      <c r="D36" s="28"/>
      <c r="E36" s="28"/>
      <c r="F36" s="28"/>
      <c r="G36" s="28"/>
      <c r="H36" s="28"/>
      <c r="I36" s="28"/>
      <c r="J36" s="28"/>
      <c r="K36" s="410"/>
    </row>
    <row r="37" spans="1:27">
      <c r="A37" s="317"/>
      <c r="B37" s="28" t="s">
        <v>998</v>
      </c>
      <c r="C37" s="28" t="s">
        <v>1085</v>
      </c>
      <c r="D37" s="28"/>
      <c r="E37" s="28"/>
      <c r="F37" s="28"/>
      <c r="G37" s="28"/>
      <c r="H37" s="28"/>
      <c r="I37" s="28"/>
      <c r="J37" s="28"/>
      <c r="K37" s="410"/>
    </row>
    <row r="38" spans="1:27">
      <c r="A38" s="340"/>
      <c r="B38" s="459" t="s">
        <v>1067</v>
      </c>
      <c r="C38" s="337"/>
      <c r="D38" s="337" t="s">
        <v>1001</v>
      </c>
      <c r="E38" s="337"/>
      <c r="F38" s="337"/>
      <c r="G38" s="337"/>
      <c r="H38" s="337"/>
      <c r="I38" s="337"/>
      <c r="J38" s="337"/>
      <c r="K38" s="460"/>
      <c r="L38" s="13"/>
      <c r="M38" s="13"/>
      <c r="N38" s="13"/>
      <c r="O38" s="13"/>
      <c r="P38" s="13"/>
      <c r="Q38" s="13"/>
      <c r="R38" s="13"/>
      <c r="S38" s="13"/>
      <c r="T38" s="13"/>
      <c r="U38" s="13"/>
      <c r="V38" s="13"/>
      <c r="W38" s="13"/>
      <c r="X38" s="13"/>
      <c r="Y38" s="13"/>
      <c r="Z38" s="13"/>
      <c r="AA38" s="13"/>
    </row>
    <row r="39" spans="1:27" ht="15.75">
      <c r="A39" s="340"/>
      <c r="B39" s="347" t="s">
        <v>1068</v>
      </c>
      <c r="C39" s="347" t="s">
        <v>1069</v>
      </c>
      <c r="D39" s="347" t="s">
        <v>1070</v>
      </c>
      <c r="E39" s="347" t="s">
        <v>1071</v>
      </c>
      <c r="F39" s="347" t="s">
        <v>1072</v>
      </c>
      <c r="G39" s="347" t="s">
        <v>1073</v>
      </c>
      <c r="H39" s="347" t="s">
        <v>1074</v>
      </c>
      <c r="I39" s="348" t="s">
        <v>1075</v>
      </c>
      <c r="J39" s="348" t="s">
        <v>1076</v>
      </c>
      <c r="K39" s="347" t="s">
        <v>1077</v>
      </c>
      <c r="L39" s="13"/>
      <c r="M39" s="13"/>
      <c r="N39" s="13"/>
      <c r="O39" s="13"/>
      <c r="P39" s="13"/>
      <c r="Q39" s="13"/>
      <c r="R39" s="13"/>
      <c r="S39" s="13"/>
      <c r="T39" s="13"/>
      <c r="U39" s="13"/>
      <c r="V39" s="13"/>
      <c r="W39" s="13"/>
      <c r="X39" s="13"/>
      <c r="Y39" s="13"/>
      <c r="Z39" s="13"/>
      <c r="AA39" s="13"/>
    </row>
    <row r="40" spans="1:27" ht="15">
      <c r="A40" s="340"/>
      <c r="B40" s="349">
        <v>0.99447300000000005</v>
      </c>
      <c r="C40" s="349">
        <v>0.99545300000000003</v>
      </c>
      <c r="D40" s="349">
        <v>0.99447300000000005</v>
      </c>
      <c r="E40" s="349">
        <v>0.99545300000000003</v>
      </c>
      <c r="F40" s="349">
        <v>0.99447300000000005</v>
      </c>
      <c r="G40" s="349">
        <v>0.99545300000000003</v>
      </c>
      <c r="H40" s="349">
        <v>0.99447300000000005</v>
      </c>
      <c r="I40" s="349">
        <v>0.99545300000000003</v>
      </c>
      <c r="J40" s="349">
        <v>0.99447300000000005</v>
      </c>
      <c r="K40" s="349">
        <v>0.99545300000000003</v>
      </c>
      <c r="L40" s="13"/>
      <c r="M40" s="13"/>
      <c r="N40" s="13"/>
      <c r="O40" s="13"/>
      <c r="P40" s="13"/>
      <c r="Q40" s="13"/>
      <c r="R40" s="13"/>
      <c r="S40" s="13"/>
      <c r="T40" s="13"/>
      <c r="U40" s="13"/>
      <c r="V40" s="13"/>
      <c r="W40" s="13"/>
      <c r="X40" s="13"/>
      <c r="Y40" s="13"/>
      <c r="Z40" s="13"/>
      <c r="AA40" s="13"/>
    </row>
    <row r="41" spans="1:27" ht="18.75">
      <c r="A41" s="340"/>
      <c r="B41" s="394" t="s">
        <v>1078</v>
      </c>
      <c r="C41" s="2119">
        <f>STDEV(C40:K40)</f>
        <v>5.1650535116082525E-4</v>
      </c>
      <c r="D41" s="2120"/>
      <c r="E41" s="2120"/>
      <c r="F41" s="2120"/>
      <c r="G41" s="2120"/>
      <c r="H41" s="2120"/>
      <c r="I41" s="2120"/>
      <c r="J41" s="2120"/>
      <c r="K41" s="2293"/>
      <c r="L41" s="13"/>
      <c r="M41" s="13"/>
      <c r="N41" s="13"/>
      <c r="O41" s="13"/>
      <c r="P41" s="13"/>
      <c r="Q41" s="13"/>
      <c r="R41" s="13"/>
      <c r="S41" s="13"/>
      <c r="T41" s="13"/>
      <c r="U41" s="13"/>
      <c r="V41" s="13"/>
      <c r="W41" s="13"/>
      <c r="X41" s="13"/>
      <c r="Y41" s="13"/>
      <c r="Z41" s="13"/>
      <c r="AA41" s="13"/>
    </row>
    <row r="42" spans="1:27">
      <c r="A42" s="340"/>
      <c r="B42" s="463"/>
      <c r="C42" s="463"/>
      <c r="D42" s="463"/>
      <c r="E42" s="463"/>
      <c r="F42" s="463"/>
      <c r="G42" s="463"/>
      <c r="H42" s="463"/>
      <c r="I42" s="463"/>
      <c r="J42" s="463"/>
      <c r="K42" s="464"/>
      <c r="L42" s="13"/>
      <c r="M42" s="13"/>
      <c r="N42" s="13"/>
      <c r="O42" s="13"/>
      <c r="P42" s="13"/>
      <c r="Q42" s="13"/>
      <c r="R42" s="13"/>
      <c r="S42" s="13"/>
      <c r="T42" s="13"/>
      <c r="U42" s="13"/>
      <c r="V42" s="13"/>
      <c r="W42" s="13"/>
      <c r="X42" s="13"/>
      <c r="Y42" s="13"/>
      <c r="Z42" s="13"/>
      <c r="AA42" s="13"/>
    </row>
    <row r="43" spans="1:27" ht="15.75" customHeight="1">
      <c r="A43" s="465" t="s">
        <v>1007</v>
      </c>
      <c r="B43" s="466" t="s">
        <v>1008</v>
      </c>
      <c r="C43" s="28"/>
      <c r="D43" s="28"/>
      <c r="E43" s="28"/>
      <c r="F43" s="28"/>
      <c r="G43" s="28"/>
      <c r="H43" s="28"/>
      <c r="I43" s="28"/>
      <c r="J43" s="28"/>
      <c r="K43" s="410"/>
      <c r="V43" s="13"/>
      <c r="W43" s="13"/>
      <c r="X43" s="13"/>
      <c r="Y43" s="13"/>
      <c r="Z43" s="13"/>
      <c r="AA43" s="13"/>
    </row>
    <row r="44" spans="1:27" ht="15.75" customHeight="1">
      <c r="A44" s="465"/>
      <c r="B44" s="467" t="s">
        <v>1049</v>
      </c>
      <c r="C44" s="467" t="s">
        <v>1010</v>
      </c>
      <c r="D44" s="467" t="s">
        <v>1050</v>
      </c>
      <c r="E44" s="467" t="s">
        <v>1051</v>
      </c>
      <c r="F44" s="467" t="s">
        <v>1052</v>
      </c>
      <c r="G44" s="467" t="s">
        <v>1014</v>
      </c>
      <c r="H44" s="28"/>
      <c r="I44" s="28"/>
      <c r="J44" s="28"/>
      <c r="K44" s="410"/>
      <c r="V44" s="13"/>
      <c r="W44" s="13"/>
      <c r="X44" s="13"/>
      <c r="Y44" s="13"/>
      <c r="Z44" s="13"/>
      <c r="AA44" s="13"/>
    </row>
    <row r="45" spans="1:27" ht="36" customHeight="1">
      <c r="A45" s="465"/>
      <c r="B45" s="7">
        <v>1</v>
      </c>
      <c r="C45" s="468" t="s">
        <v>1053</v>
      </c>
      <c r="D45" s="469">
        <v>0.02</v>
      </c>
      <c r="E45" s="467" t="s">
        <v>1054</v>
      </c>
      <c r="F45" s="6">
        <v>3</v>
      </c>
      <c r="G45" s="443">
        <f>D45/F45</f>
        <v>6.6666666666666671E-3</v>
      </c>
      <c r="H45" s="28"/>
      <c r="I45" s="28"/>
      <c r="J45" s="28"/>
      <c r="K45" s="410"/>
      <c r="V45" s="13"/>
      <c r="W45" s="13"/>
      <c r="X45" s="13"/>
      <c r="Y45" s="13"/>
      <c r="Z45" s="13"/>
      <c r="AA45" s="13"/>
    </row>
    <row r="46" spans="1:27" ht="48" customHeight="1">
      <c r="A46" s="465"/>
      <c r="B46" s="7">
        <v>2</v>
      </c>
      <c r="C46" s="468" t="s">
        <v>1055</v>
      </c>
      <c r="D46" s="442">
        <v>5.0000000000000001E-3</v>
      </c>
      <c r="E46" s="467" t="s">
        <v>1056</v>
      </c>
      <c r="F46" s="6">
        <v>2</v>
      </c>
      <c r="G46" s="443">
        <f>D46/F46</f>
        <v>2.5000000000000001E-3</v>
      </c>
      <c r="H46" s="28"/>
      <c r="I46" s="28"/>
      <c r="J46" s="28"/>
      <c r="K46" s="410"/>
      <c r="V46" s="13"/>
      <c r="W46" s="13"/>
      <c r="X46" s="13"/>
      <c r="Y46" s="13"/>
      <c r="Z46" s="13"/>
      <c r="AA46" s="13"/>
    </row>
    <row r="47" spans="1:27" ht="33.75" customHeight="1">
      <c r="A47" s="465"/>
      <c r="B47" s="7">
        <v>3</v>
      </c>
      <c r="C47" s="468" t="s">
        <v>1057</v>
      </c>
      <c r="D47" s="442">
        <v>5.0000000000000001E-4</v>
      </c>
      <c r="E47" s="467" t="s">
        <v>1054</v>
      </c>
      <c r="F47" s="6"/>
      <c r="G47" s="443">
        <f>D47/SQRT(3)</f>
        <v>2.886751345948129E-4</v>
      </c>
      <c r="H47" s="28"/>
      <c r="I47" s="28"/>
      <c r="J47" s="28"/>
      <c r="K47" s="410"/>
      <c r="V47" s="13"/>
      <c r="W47" s="13"/>
      <c r="X47" s="13"/>
      <c r="Y47" s="13"/>
      <c r="Z47" s="13"/>
      <c r="AA47" s="13"/>
    </row>
    <row r="48" spans="1:27" ht="15.75" customHeight="1">
      <c r="A48" s="465"/>
      <c r="B48" s="467" t="s">
        <v>1058</v>
      </c>
      <c r="C48" s="1969"/>
      <c r="D48" s="1970"/>
      <c r="E48" s="1970"/>
      <c r="F48" s="1970"/>
      <c r="G48" s="1832"/>
      <c r="H48" s="28"/>
      <c r="I48" s="28"/>
      <c r="J48" s="28"/>
      <c r="K48" s="410"/>
      <c r="V48" s="13"/>
      <c r="W48" s="13"/>
      <c r="X48" s="13"/>
      <c r="Y48" s="13"/>
      <c r="Z48" s="13"/>
      <c r="AA48" s="13"/>
    </row>
    <row r="49" spans="1:27">
      <c r="A49" s="340"/>
      <c r="B49" s="470" t="s">
        <v>1059</v>
      </c>
      <c r="C49" s="28"/>
      <c r="D49" s="28"/>
      <c r="E49" s="28"/>
      <c r="F49" s="28"/>
      <c r="G49" s="28"/>
      <c r="H49" s="28"/>
      <c r="I49" s="28"/>
      <c r="J49" s="28"/>
      <c r="K49" s="410"/>
      <c r="V49" s="13"/>
      <c r="W49" s="13"/>
      <c r="X49" s="13"/>
      <c r="Y49" s="13"/>
      <c r="Z49" s="13"/>
      <c r="AA49" s="13"/>
    </row>
    <row r="50" spans="1:27" ht="18.75" customHeight="1">
      <c r="A50" s="340"/>
      <c r="B50" s="471" t="s">
        <v>1060</v>
      </c>
      <c r="C50" s="470"/>
      <c r="D50" s="28"/>
      <c r="E50" s="28"/>
      <c r="F50" s="28"/>
      <c r="G50" s="28"/>
      <c r="H50" s="28"/>
      <c r="I50" s="28"/>
      <c r="J50" s="28"/>
      <c r="K50" s="410"/>
      <c r="V50" s="13"/>
      <c r="W50" s="13"/>
      <c r="X50" s="13"/>
      <c r="Y50" s="13"/>
      <c r="Z50" s="13"/>
      <c r="AA50" s="13"/>
    </row>
    <row r="51" spans="1:27">
      <c r="A51" s="317"/>
      <c r="B51" s="470" t="s">
        <v>1061</v>
      </c>
      <c r="C51" s="28"/>
      <c r="D51" s="28"/>
      <c r="E51" s="28"/>
      <c r="F51" s="28"/>
      <c r="G51" s="28"/>
      <c r="H51" s="28"/>
      <c r="I51" s="28"/>
      <c r="J51" s="28"/>
      <c r="K51" s="410"/>
    </row>
    <row r="52" spans="1:27" ht="15.75" customHeight="1">
      <c r="A52" s="317"/>
      <c r="B52" s="472" t="s">
        <v>1062</v>
      </c>
      <c r="C52" s="392"/>
      <c r="D52" s="391"/>
      <c r="E52" s="392"/>
      <c r="F52" s="391"/>
      <c r="G52" s="393"/>
      <c r="H52" s="390"/>
      <c r="I52" s="390"/>
      <c r="J52" s="390"/>
      <c r="K52" s="473"/>
    </row>
    <row r="53" spans="1:27" ht="15.75" customHeight="1">
      <c r="A53" s="317"/>
      <c r="B53" s="472"/>
      <c r="C53" s="392"/>
      <c r="D53" s="391"/>
      <c r="E53" s="392"/>
      <c r="F53" s="391"/>
      <c r="G53" s="393"/>
      <c r="H53" s="390"/>
      <c r="I53" s="390"/>
      <c r="J53" s="390"/>
      <c r="K53" s="473"/>
    </row>
    <row r="54" spans="1:27">
      <c r="A54" s="317"/>
      <c r="B54" s="28" t="s">
        <v>998</v>
      </c>
      <c r="C54" s="28" t="s">
        <v>1086</v>
      </c>
      <c r="D54" s="28"/>
      <c r="E54" s="28"/>
      <c r="F54" s="28"/>
      <c r="G54" s="28"/>
      <c r="H54" s="28"/>
      <c r="I54" s="28"/>
      <c r="J54" s="28"/>
      <c r="K54" s="410"/>
    </row>
    <row r="55" spans="1:27">
      <c r="A55" s="340"/>
      <c r="B55" s="459" t="s">
        <v>1067</v>
      </c>
      <c r="C55" s="337"/>
      <c r="D55" s="337" t="s">
        <v>1001</v>
      </c>
      <c r="E55" s="337"/>
      <c r="F55" s="337"/>
      <c r="G55" s="337"/>
      <c r="H55" s="337"/>
      <c r="I55" s="337"/>
      <c r="J55" s="337"/>
      <c r="K55" s="460"/>
      <c r="L55" s="13"/>
      <c r="M55" s="13"/>
      <c r="N55" s="13"/>
      <c r="O55" s="13"/>
      <c r="P55" s="13"/>
      <c r="Q55" s="13"/>
      <c r="R55" s="13"/>
      <c r="S55" s="13"/>
      <c r="T55" s="13"/>
      <c r="U55" s="13"/>
      <c r="V55" s="13"/>
      <c r="W55" s="13"/>
      <c r="X55" s="13"/>
      <c r="Y55" s="13"/>
      <c r="Z55" s="13"/>
      <c r="AA55" s="13"/>
    </row>
    <row r="56" spans="1:27" ht="15.75">
      <c r="A56" s="340"/>
      <c r="B56" s="347" t="s">
        <v>1068</v>
      </c>
      <c r="C56" s="347" t="s">
        <v>1069</v>
      </c>
      <c r="D56" s="347" t="s">
        <v>1070</v>
      </c>
      <c r="E56" s="347" t="s">
        <v>1071</v>
      </c>
      <c r="F56" s="347" t="s">
        <v>1072</v>
      </c>
      <c r="G56" s="347" t="s">
        <v>1073</v>
      </c>
      <c r="H56" s="347" t="s">
        <v>1074</v>
      </c>
      <c r="I56" s="348" t="s">
        <v>1075</v>
      </c>
      <c r="J56" s="348" t="s">
        <v>1076</v>
      </c>
      <c r="K56" s="347" t="s">
        <v>1077</v>
      </c>
      <c r="L56" s="13"/>
      <c r="M56" s="13"/>
      <c r="N56" s="13"/>
      <c r="O56" s="13"/>
      <c r="P56" s="13"/>
      <c r="Q56" s="13"/>
      <c r="R56" s="13"/>
      <c r="S56" s="13"/>
      <c r="T56" s="13"/>
      <c r="U56" s="13"/>
      <c r="V56" s="13"/>
      <c r="W56" s="13"/>
      <c r="X56" s="13"/>
      <c r="Y56" s="13"/>
      <c r="Z56" s="13"/>
      <c r="AA56" s="13"/>
    </row>
    <row r="57" spans="1:27" ht="15">
      <c r="A57" s="340"/>
      <c r="B57" s="349">
        <v>0.99447300000000005</v>
      </c>
      <c r="C57" s="349">
        <v>0.99545300000000003</v>
      </c>
      <c r="D57" s="349">
        <v>0.99447300000000005</v>
      </c>
      <c r="E57" s="349">
        <v>0.99545300000000003</v>
      </c>
      <c r="F57" s="349">
        <v>0.99447300000000005</v>
      </c>
      <c r="G57" s="349">
        <v>0.99545300000000003</v>
      </c>
      <c r="H57" s="349">
        <v>0.99447300000000005</v>
      </c>
      <c r="I57" s="349">
        <v>0.99545300000000003</v>
      </c>
      <c r="J57" s="349">
        <v>0.99447300000000005</v>
      </c>
      <c r="K57" s="349">
        <v>0.99545300000000003</v>
      </c>
      <c r="L57" s="13"/>
      <c r="M57" s="13"/>
      <c r="N57" s="13"/>
      <c r="O57" s="13"/>
      <c r="P57" s="13"/>
      <c r="Q57" s="13"/>
      <c r="R57" s="13"/>
      <c r="S57" s="13"/>
      <c r="T57" s="13"/>
      <c r="U57" s="13"/>
      <c r="V57" s="13"/>
      <c r="W57" s="13"/>
      <c r="X57" s="13"/>
      <c r="Y57" s="13"/>
      <c r="Z57" s="13"/>
      <c r="AA57" s="13"/>
    </row>
    <row r="58" spans="1:27" ht="18.75">
      <c r="A58" s="340"/>
      <c r="B58" s="394" t="s">
        <v>1078</v>
      </c>
      <c r="C58" s="2119">
        <f>STDEV(C57:K57)</f>
        <v>5.1650535116082525E-4</v>
      </c>
      <c r="D58" s="2120"/>
      <c r="E58" s="2120"/>
      <c r="F58" s="2120"/>
      <c r="G58" s="2120"/>
      <c r="H58" s="2120"/>
      <c r="I58" s="2120"/>
      <c r="J58" s="2120"/>
      <c r="K58" s="2293"/>
      <c r="L58" s="13"/>
      <c r="M58" s="13"/>
      <c r="N58" s="13"/>
      <c r="O58" s="13"/>
      <c r="P58" s="13"/>
      <c r="Q58" s="13"/>
      <c r="R58" s="13"/>
      <c r="S58" s="13"/>
      <c r="T58" s="13"/>
      <c r="U58" s="13"/>
      <c r="V58" s="13"/>
      <c r="W58" s="13"/>
      <c r="X58" s="13"/>
      <c r="Y58" s="13"/>
      <c r="Z58" s="13"/>
      <c r="AA58" s="13"/>
    </row>
    <row r="59" spans="1:27">
      <c r="A59" s="340"/>
      <c r="B59" s="463"/>
      <c r="C59" s="463"/>
      <c r="D59" s="463"/>
      <c r="E59" s="463"/>
      <c r="F59" s="463"/>
      <c r="G59" s="463"/>
      <c r="H59" s="463"/>
      <c r="I59" s="463"/>
      <c r="J59" s="463"/>
      <c r="K59" s="464"/>
      <c r="L59" s="13"/>
      <c r="M59" s="13"/>
      <c r="N59" s="13"/>
      <c r="O59" s="13"/>
      <c r="P59" s="13"/>
      <c r="Q59" s="13"/>
      <c r="R59" s="13"/>
      <c r="S59" s="13"/>
      <c r="T59" s="13"/>
      <c r="U59" s="13"/>
      <c r="V59" s="13"/>
      <c r="W59" s="13"/>
      <c r="X59" s="13"/>
      <c r="Y59" s="13"/>
      <c r="Z59" s="13"/>
      <c r="AA59" s="13"/>
    </row>
    <row r="60" spans="1:27" ht="15.75" customHeight="1">
      <c r="A60" s="465" t="s">
        <v>1007</v>
      </c>
      <c r="B60" s="466" t="s">
        <v>1008</v>
      </c>
      <c r="C60" s="28"/>
      <c r="D60" s="28"/>
      <c r="E60" s="28"/>
      <c r="F60" s="28"/>
      <c r="G60" s="28"/>
      <c r="H60" s="28"/>
      <c r="I60" s="28"/>
      <c r="J60" s="28"/>
      <c r="K60" s="410"/>
      <c r="V60" s="13"/>
      <c r="W60" s="13"/>
      <c r="X60" s="13"/>
      <c r="Y60" s="13"/>
      <c r="Z60" s="13"/>
      <c r="AA60" s="13"/>
    </row>
    <row r="61" spans="1:27" ht="15.75" customHeight="1">
      <c r="A61" s="465"/>
      <c r="B61" s="467" t="s">
        <v>1049</v>
      </c>
      <c r="C61" s="467" t="s">
        <v>1010</v>
      </c>
      <c r="D61" s="467" t="s">
        <v>1050</v>
      </c>
      <c r="E61" s="467" t="s">
        <v>1051</v>
      </c>
      <c r="F61" s="467" t="s">
        <v>1052</v>
      </c>
      <c r="G61" s="467" t="s">
        <v>1014</v>
      </c>
      <c r="H61" s="28"/>
      <c r="I61" s="28"/>
      <c r="J61" s="28"/>
      <c r="K61" s="410"/>
      <c r="V61" s="13"/>
      <c r="W61" s="13"/>
      <c r="X61" s="13"/>
      <c r="Y61" s="13"/>
      <c r="Z61" s="13"/>
      <c r="AA61" s="13"/>
    </row>
    <row r="62" spans="1:27" ht="36" customHeight="1">
      <c r="A62" s="465"/>
      <c r="B62" s="7">
        <v>1</v>
      </c>
      <c r="C62" s="468" t="s">
        <v>1053</v>
      </c>
      <c r="D62" s="469">
        <v>0.1</v>
      </c>
      <c r="E62" s="467" t="s">
        <v>1054</v>
      </c>
      <c r="F62" s="6">
        <v>3</v>
      </c>
      <c r="G62" s="443">
        <f>D62/F62</f>
        <v>3.3333333333333333E-2</v>
      </c>
      <c r="H62" s="28"/>
      <c r="I62" s="28"/>
      <c r="J62" s="28"/>
      <c r="K62" s="410"/>
      <c r="V62" s="13"/>
      <c r="W62" s="13"/>
      <c r="X62" s="13"/>
      <c r="Y62" s="13"/>
      <c r="Z62" s="13"/>
      <c r="AA62" s="13"/>
    </row>
    <row r="63" spans="1:27" ht="48" customHeight="1">
      <c r="A63" s="465"/>
      <c r="B63" s="7">
        <v>2</v>
      </c>
      <c r="C63" s="468" t="s">
        <v>1055</v>
      </c>
      <c r="D63" s="442">
        <v>2.5000000000000001E-2</v>
      </c>
      <c r="E63" s="467" t="s">
        <v>1056</v>
      </c>
      <c r="F63" s="6">
        <v>2</v>
      </c>
      <c r="G63" s="443">
        <f>D63/F63</f>
        <v>1.2500000000000001E-2</v>
      </c>
      <c r="H63" s="28"/>
      <c r="I63" s="28"/>
      <c r="J63" s="28"/>
      <c r="K63" s="410"/>
      <c r="V63" s="13"/>
      <c r="W63" s="13"/>
      <c r="X63" s="13"/>
      <c r="Y63" s="13"/>
      <c r="Z63" s="13"/>
      <c r="AA63" s="13"/>
    </row>
    <row r="64" spans="1:27" ht="33.75" customHeight="1">
      <c r="A64" s="465"/>
      <c r="B64" s="7">
        <v>3</v>
      </c>
      <c r="C64" s="468" t="s">
        <v>1057</v>
      </c>
      <c r="D64" s="442">
        <v>5.0000000000000001E-4</v>
      </c>
      <c r="E64" s="467" t="s">
        <v>1054</v>
      </c>
      <c r="F64" s="6"/>
      <c r="G64" s="443">
        <f>D64/SQRT(3)</f>
        <v>2.886751345948129E-4</v>
      </c>
      <c r="H64" s="28"/>
      <c r="I64" s="28"/>
      <c r="J64" s="28"/>
      <c r="K64" s="410"/>
      <c r="V64" s="13"/>
      <c r="W64" s="13"/>
      <c r="X64" s="13"/>
      <c r="Y64" s="13"/>
      <c r="Z64" s="13"/>
      <c r="AA64" s="13"/>
    </row>
    <row r="65" spans="1:27" ht="15.75" customHeight="1">
      <c r="A65" s="465"/>
      <c r="B65" s="467" t="s">
        <v>1058</v>
      </c>
      <c r="C65" s="1969"/>
      <c r="D65" s="1970"/>
      <c r="E65" s="1970"/>
      <c r="F65" s="1970"/>
      <c r="G65" s="1832"/>
      <c r="H65" s="28"/>
      <c r="I65" s="28"/>
      <c r="J65" s="28"/>
      <c r="K65" s="410"/>
      <c r="V65" s="13"/>
      <c r="W65" s="13"/>
      <c r="X65" s="13"/>
      <c r="Y65" s="13"/>
      <c r="Z65" s="13"/>
      <c r="AA65" s="13"/>
    </row>
    <row r="66" spans="1:27">
      <c r="A66" s="340"/>
      <c r="B66" s="470" t="s">
        <v>1059</v>
      </c>
      <c r="C66" s="28"/>
      <c r="D66" s="28"/>
      <c r="E66" s="28"/>
      <c r="F66" s="28"/>
      <c r="G66" s="28"/>
      <c r="H66" s="28"/>
      <c r="I66" s="28"/>
      <c r="J66" s="28"/>
      <c r="K66" s="410"/>
      <c r="V66" s="13"/>
      <c r="W66" s="13"/>
      <c r="X66" s="13"/>
      <c r="Y66" s="13"/>
      <c r="Z66" s="13"/>
      <c r="AA66" s="13"/>
    </row>
    <row r="67" spans="1:27" ht="18.75" customHeight="1">
      <c r="A67" s="340"/>
      <c r="B67" s="471" t="s">
        <v>1060</v>
      </c>
      <c r="C67" s="470"/>
      <c r="D67" s="28"/>
      <c r="E67" s="28"/>
      <c r="F67" s="28"/>
      <c r="G67" s="28"/>
      <c r="H67" s="28"/>
      <c r="I67" s="28"/>
      <c r="J67" s="28"/>
      <c r="K67" s="410"/>
      <c r="V67" s="13"/>
      <c r="W67" s="13"/>
      <c r="X67" s="13"/>
      <c r="Y67" s="13"/>
      <c r="Z67" s="13"/>
      <c r="AA67" s="13"/>
    </row>
    <row r="68" spans="1:27">
      <c r="A68" s="317"/>
      <c r="B68" s="470" t="s">
        <v>1061</v>
      </c>
      <c r="C68" s="28"/>
      <c r="D68" s="28"/>
      <c r="E68" s="28"/>
      <c r="F68" s="28"/>
      <c r="G68" s="28"/>
      <c r="H68" s="28"/>
      <c r="I68" s="28"/>
      <c r="J68" s="28"/>
      <c r="K68" s="410"/>
    </row>
    <row r="69" spans="1:27" ht="15.75" customHeight="1">
      <c r="A69" s="317"/>
      <c r="B69" s="472" t="s">
        <v>1062</v>
      </c>
      <c r="C69" s="392"/>
      <c r="D69" s="391"/>
      <c r="E69" s="392"/>
      <c r="F69" s="391"/>
      <c r="G69" s="393"/>
      <c r="H69" s="390"/>
      <c r="I69" s="390"/>
      <c r="J69" s="390"/>
      <c r="K69" s="473"/>
    </row>
    <row r="70" spans="1:27">
      <c r="A70" s="389"/>
      <c r="B70" s="107"/>
      <c r="C70" s="107"/>
      <c r="D70" s="107"/>
      <c r="E70" s="107"/>
      <c r="F70" s="107"/>
      <c r="G70" s="107"/>
      <c r="H70" s="107"/>
      <c r="I70" s="107"/>
      <c r="J70" s="107"/>
      <c r="K70" s="149"/>
    </row>
    <row r="71" spans="1:27">
      <c r="A71" s="28"/>
      <c r="B71" s="28"/>
      <c r="C71" s="28"/>
      <c r="D71" s="28"/>
      <c r="E71" s="28"/>
      <c r="F71" s="28"/>
      <c r="G71" s="28"/>
      <c r="H71" s="28"/>
      <c r="I71" s="28"/>
      <c r="J71" s="28"/>
      <c r="K71" s="28"/>
    </row>
    <row r="72" spans="1:27">
      <c r="A72" s="28"/>
      <c r="B72" s="28"/>
      <c r="C72" s="28"/>
      <c r="D72" s="28"/>
      <c r="E72" s="28"/>
      <c r="F72" s="28"/>
      <c r="G72" s="28"/>
      <c r="H72" s="28"/>
      <c r="I72" s="28"/>
      <c r="J72" s="28"/>
      <c r="K72" s="28"/>
    </row>
    <row r="73" spans="1:27">
      <c r="A73" s="28"/>
      <c r="B73" s="28"/>
      <c r="C73" s="28"/>
      <c r="D73" s="28"/>
      <c r="E73" s="28"/>
      <c r="F73" s="28"/>
      <c r="G73" s="28"/>
      <c r="H73" s="28"/>
      <c r="I73" s="28"/>
      <c r="J73" s="28"/>
      <c r="K73" s="28"/>
    </row>
    <row r="74" spans="1:27">
      <c r="A74" s="28"/>
      <c r="B74" s="28"/>
      <c r="C74" s="28"/>
      <c r="D74" s="28"/>
      <c r="E74" s="28"/>
      <c r="F74" s="28"/>
      <c r="G74" s="28"/>
      <c r="H74" s="28"/>
      <c r="I74" s="28"/>
      <c r="J74" s="28"/>
      <c r="K74" s="28"/>
    </row>
    <row r="75" spans="1:27">
      <c r="A75" s="28"/>
      <c r="B75" s="28"/>
      <c r="C75" s="28"/>
      <c r="D75" s="28"/>
      <c r="E75" s="28"/>
      <c r="F75" s="28"/>
      <c r="G75" s="28"/>
      <c r="H75" s="28"/>
      <c r="I75" s="28"/>
      <c r="J75" s="28"/>
      <c r="K75" s="28"/>
    </row>
    <row r="76" spans="1:27">
      <c r="A76" s="28"/>
      <c r="B76" s="28"/>
      <c r="C76" s="28"/>
      <c r="D76" s="28"/>
      <c r="E76" s="28"/>
      <c r="F76" s="28"/>
      <c r="G76" s="28"/>
      <c r="H76" s="28"/>
      <c r="I76" s="28"/>
      <c r="J76" s="28"/>
      <c r="K76" s="28"/>
    </row>
  </sheetData>
  <mergeCells count="8">
    <mergeCell ref="C48:G48"/>
    <mergeCell ref="C58:K58"/>
    <mergeCell ref="C65:G65"/>
    <mergeCell ref="E1:H1"/>
    <mergeCell ref="C14:G14"/>
    <mergeCell ref="C24:K24"/>
    <mergeCell ref="C31:G31"/>
    <mergeCell ref="C41:K41"/>
  </mergeCells>
  <phoneticPr fontId="99" type="noConversion"/>
  <pageMargins left="0.75" right="0.75" top="1" bottom="1" header="0.5" footer="0.5"/>
  <drawing r:id="rId1"/>
  <legacyDrawing r:id="rId2"/>
  <oleObjects>
    <oleObject progId="Equation.3" shapeId="106497" r:id="rId3"/>
    <oleObject progId="Equation.3" shapeId="106498" r:id="rId4"/>
    <oleObject progId="Equation.3" shapeId="106499" r:id="rId5"/>
    <oleObject progId="Equation.3" shapeId="106500" r:id="rId6"/>
    <oleObject progId="Equation.3" shapeId="106501" r:id="rId7"/>
    <oleObject progId="Equation.3" shapeId="106502" r:id="rId8"/>
    <oleObject progId="Equation.3" shapeId="106503" r:id="rId9"/>
    <oleObject progId="Equation.3" shapeId="106504" r:id="rId10"/>
    <oleObject progId="Equation.3" shapeId="106505" r:id="rId11"/>
    <oleObject progId="Equation.3" shapeId="106506" r:id="rId12"/>
    <oleObject progId="Equation.3" shapeId="106507" r:id="rId13"/>
    <oleObject progId="Equation.3" shapeId="106508" r:id="rId14"/>
    <oleObject progId="Equation.3" shapeId="106509" r:id="rId15"/>
    <oleObject progId="Equation.3" shapeId="106510" r:id="rId16"/>
    <oleObject progId="Equation.3" shapeId="106511" r:id="rId17"/>
    <oleObject progId="Equation.3" shapeId="106512" r:id="rId18"/>
    <oleObject progId="Equation.3" shapeId="106513" r:id="rId19"/>
    <oleObject progId="Equation.3" shapeId="106514" r:id="rId20"/>
  </oleObjects>
</worksheet>
</file>

<file path=xl/worksheets/sheet15.xml><?xml version="1.0" encoding="utf-8"?>
<worksheet xmlns="http://schemas.openxmlformats.org/spreadsheetml/2006/main" xmlns:r="http://schemas.openxmlformats.org/officeDocument/2006/relationships">
  <dimension ref="A1:AE52"/>
  <sheetViews>
    <sheetView topLeftCell="A10" zoomScale="85" zoomScaleNormal="85" workbookViewId="0">
      <selection sqref="A1:D1"/>
    </sheetView>
  </sheetViews>
  <sheetFormatPr defaultRowHeight="14.25" outlineLevelRow="1"/>
  <cols>
    <col min="1" max="1" width="20.125" customWidth="1"/>
    <col min="3" max="3" width="10.75" bestFit="1" customWidth="1"/>
    <col min="4" max="4" width="39.5" customWidth="1"/>
    <col min="5" max="5" width="15.125" customWidth="1"/>
    <col min="7" max="7" width="13.625" customWidth="1"/>
    <col min="8" max="8" width="18.25" customWidth="1"/>
    <col min="9" max="10" width="9.125" bestFit="1" customWidth="1"/>
    <col min="22" max="22" width="15.125" customWidth="1"/>
  </cols>
  <sheetData>
    <row r="1" spans="1:5">
      <c r="A1" s="2296" t="s">
        <v>1816</v>
      </c>
      <c r="B1" s="2296"/>
      <c r="C1" s="2296"/>
      <c r="D1" s="2296"/>
    </row>
    <row r="3" spans="1:5" outlineLevel="1">
      <c r="A3" s="2297" t="s">
        <v>1817</v>
      </c>
      <c r="B3" s="2298"/>
      <c r="C3" s="2298"/>
      <c r="D3" s="2"/>
    </row>
    <row r="4" spans="1:5" ht="18.75" outlineLevel="1">
      <c r="A4" s="5" t="s">
        <v>33</v>
      </c>
      <c r="B4" s="6" t="s">
        <v>69</v>
      </c>
      <c r="C4" s="6" t="s">
        <v>70</v>
      </c>
      <c r="D4" s="1" t="s">
        <v>1818</v>
      </c>
    </row>
    <row r="5" spans="1:5" outlineLevel="1">
      <c r="A5" s="41" t="s">
        <v>1819</v>
      </c>
      <c r="B5" s="6" t="s">
        <v>72</v>
      </c>
      <c r="C5" s="6" t="s">
        <v>72</v>
      </c>
      <c r="D5" s="1" t="s">
        <v>1820</v>
      </c>
    </row>
    <row r="6" spans="1:5" outlineLevel="1">
      <c r="A6" s="677" t="s">
        <v>1821</v>
      </c>
      <c r="B6" s="6" t="s">
        <v>72</v>
      </c>
      <c r="C6" s="6" t="s">
        <v>72</v>
      </c>
      <c r="D6" s="1" t="s">
        <v>1822</v>
      </c>
    </row>
    <row r="7" spans="1:5" outlineLevel="1">
      <c r="A7" s="41" t="s">
        <v>1823</v>
      </c>
      <c r="B7" s="6" t="s">
        <v>72</v>
      </c>
      <c r="C7" s="6" t="s">
        <v>1824</v>
      </c>
      <c r="D7" s="58" t="s">
        <v>1825</v>
      </c>
      <c r="E7" s="678"/>
    </row>
    <row r="8" spans="1:5" outlineLevel="1">
      <c r="A8" s="6" t="s">
        <v>1826</v>
      </c>
      <c r="B8" s="6" t="s">
        <v>72</v>
      </c>
      <c r="C8" s="6" t="s">
        <v>1824</v>
      </c>
      <c r="D8" s="1" t="s">
        <v>1827</v>
      </c>
    </row>
    <row r="9" spans="1:5" outlineLevel="1">
      <c r="A9" s="41" t="s">
        <v>1828</v>
      </c>
      <c r="B9" s="6" t="s">
        <v>72</v>
      </c>
      <c r="C9" s="6" t="s">
        <v>1824</v>
      </c>
      <c r="D9" s="1" t="s">
        <v>1827</v>
      </c>
    </row>
    <row r="10" spans="1:5" outlineLevel="1">
      <c r="A10" s="6" t="s">
        <v>1829</v>
      </c>
      <c r="B10" s="6" t="s">
        <v>72</v>
      </c>
      <c r="C10" s="6" t="s">
        <v>1824</v>
      </c>
      <c r="D10" s="1" t="s">
        <v>1827</v>
      </c>
    </row>
    <row r="11" spans="1:5" outlineLevel="1">
      <c r="A11" s="41" t="s">
        <v>1830</v>
      </c>
      <c r="B11" s="6" t="s">
        <v>72</v>
      </c>
      <c r="C11" s="6" t="s">
        <v>1824</v>
      </c>
      <c r="D11" s="1" t="s">
        <v>1827</v>
      </c>
    </row>
    <row r="12" spans="1:5" outlineLevel="1">
      <c r="A12" s="41" t="s">
        <v>1831</v>
      </c>
      <c r="B12" s="6" t="s">
        <v>72</v>
      </c>
      <c r="C12" s="6" t="s">
        <v>1824</v>
      </c>
      <c r="D12" s="1" t="s">
        <v>1827</v>
      </c>
    </row>
    <row r="13" spans="1:5" outlineLevel="1">
      <c r="A13" s="41" t="s">
        <v>1832</v>
      </c>
      <c r="B13" s="6" t="s">
        <v>72</v>
      </c>
      <c r="C13" s="6" t="s">
        <v>1824</v>
      </c>
      <c r="D13" s="1" t="s">
        <v>1827</v>
      </c>
    </row>
    <row r="14" spans="1:5" outlineLevel="1">
      <c r="A14" s="6"/>
      <c r="B14" s="6"/>
      <c r="C14" s="6"/>
      <c r="D14" s="2"/>
    </row>
    <row r="15" spans="1:5" outlineLevel="1">
      <c r="A15" s="6"/>
      <c r="B15" s="6"/>
      <c r="C15" s="6"/>
      <c r="D15" s="2"/>
    </row>
    <row r="16" spans="1:5" outlineLevel="1">
      <c r="A16" s="6"/>
      <c r="B16" s="6"/>
      <c r="C16" s="6"/>
      <c r="D16" s="2"/>
    </row>
    <row r="17" spans="1:31" outlineLevel="1">
      <c r="A17" t="s">
        <v>73</v>
      </c>
    </row>
    <row r="19" spans="1:31">
      <c r="G19" s="157"/>
    </row>
    <row r="20" spans="1:31">
      <c r="A20" s="2299" t="s">
        <v>1833</v>
      </c>
      <c r="B20" s="2300"/>
      <c r="C20" s="2300"/>
      <c r="D20" s="2300"/>
      <c r="O20" s="2320" t="s">
        <v>1834</v>
      </c>
      <c r="P20" s="1749"/>
      <c r="Q20" s="1749"/>
      <c r="R20" s="1749"/>
      <c r="S20" s="1749"/>
      <c r="T20" s="1749"/>
      <c r="U20" s="1749"/>
      <c r="V20" s="1749"/>
      <c r="Y20" s="2320" t="s">
        <v>1835</v>
      </c>
      <c r="Z20" s="1749"/>
      <c r="AA20" s="1749"/>
      <c r="AB20" s="1749"/>
      <c r="AC20" s="1749"/>
      <c r="AD20" s="1749"/>
      <c r="AE20" s="1749"/>
    </row>
    <row r="21" spans="1:31" outlineLevel="1">
      <c r="A21" s="1749" t="s">
        <v>1821</v>
      </c>
      <c r="B21" s="2120"/>
      <c r="C21" s="2120"/>
      <c r="D21" s="2120"/>
      <c r="E21" s="2120"/>
      <c r="F21" s="2120"/>
      <c r="G21" s="2120"/>
      <c r="H21" s="2120"/>
      <c r="I21" s="679"/>
      <c r="J21" s="679"/>
      <c r="K21" s="679"/>
      <c r="L21" s="679"/>
    </row>
    <row r="22" spans="1:31" ht="14.25" customHeight="1" outlineLevel="1">
      <c r="A22" s="2301" t="s">
        <v>1837</v>
      </c>
      <c r="B22" s="2302"/>
      <c r="C22" s="2301" t="s">
        <v>1838</v>
      </c>
      <c r="D22" s="2305"/>
      <c r="E22" s="1749" t="s">
        <v>4371</v>
      </c>
      <c r="F22" s="2308"/>
      <c r="G22" s="2310" t="s">
        <v>1840</v>
      </c>
      <c r="H22" s="2309" t="s">
        <v>1841</v>
      </c>
      <c r="I22" s="2294" t="s">
        <v>1842</v>
      </c>
      <c r="J22" s="2294"/>
      <c r="K22" s="2295" t="s">
        <v>1829</v>
      </c>
      <c r="L22" s="2295" t="s">
        <v>1837</v>
      </c>
      <c r="M22" s="680"/>
      <c r="O22" s="2321" t="s">
        <v>1836</v>
      </c>
      <c r="P22" s="2120"/>
      <c r="Q22" s="2120"/>
      <c r="R22" s="2120"/>
      <c r="S22" s="2120"/>
      <c r="T22" s="2120"/>
      <c r="U22" s="2120"/>
      <c r="V22" s="2120"/>
      <c r="Y22" s="2321" t="s">
        <v>1836</v>
      </c>
      <c r="Z22" s="2120"/>
      <c r="AA22" s="2120"/>
      <c r="AB22" s="2120"/>
      <c r="AC22" s="2120"/>
      <c r="AD22" s="2120"/>
      <c r="AE22" s="2120"/>
    </row>
    <row r="23" spans="1:31" ht="14.25" customHeight="1" outlineLevel="1">
      <c r="A23" s="2303"/>
      <c r="B23" s="2304"/>
      <c r="C23" s="2306"/>
      <c r="D23" s="2307"/>
      <c r="E23" s="2308"/>
      <c r="F23" s="2308"/>
      <c r="G23" s="2311"/>
      <c r="H23" s="2309"/>
      <c r="I23" s="2294"/>
      <c r="J23" s="2294"/>
      <c r="K23" s="2295"/>
      <c r="L23" s="2295"/>
      <c r="O23" s="2301" t="s">
        <v>1837</v>
      </c>
      <c r="P23" s="2302"/>
      <c r="Q23" s="2301" t="s">
        <v>1838</v>
      </c>
      <c r="R23" s="2305"/>
      <c r="S23" s="2308" t="s">
        <v>1839</v>
      </c>
      <c r="T23" s="2308"/>
      <c r="U23" s="2322" t="s">
        <v>1843</v>
      </c>
      <c r="V23" s="2324" t="s">
        <v>1844</v>
      </c>
      <c r="Y23" s="2301" t="s">
        <v>1845</v>
      </c>
      <c r="Z23" s="2302"/>
      <c r="AA23" s="2301" t="s">
        <v>1846</v>
      </c>
      <c r="AB23" s="2305"/>
      <c r="AC23" s="2308" t="s">
        <v>1847</v>
      </c>
      <c r="AD23" s="2308"/>
      <c r="AE23" s="2322" t="s">
        <v>1843</v>
      </c>
    </row>
    <row r="24" spans="1:31" outlineLevel="1">
      <c r="A24" s="2312">
        <v>10</v>
      </c>
      <c r="B24" s="2314" t="s">
        <v>1848</v>
      </c>
      <c r="C24" s="42">
        <v>10</v>
      </c>
      <c r="D24" s="43" t="s">
        <v>74</v>
      </c>
      <c r="E24" s="681">
        <v>10.001899999999999</v>
      </c>
      <c r="F24" s="682" t="s">
        <v>74</v>
      </c>
      <c r="G24" s="683"/>
      <c r="H24" s="684" t="e">
        <f>((Y24/1.732)^2+((M24/1000000*ABS(E24)+#REF!/1000000*Z24)/2)^2)^0.5*2</f>
        <v>#REF!</v>
      </c>
      <c r="I24" s="685">
        <v>3</v>
      </c>
      <c r="J24" s="686">
        <v>0.2</v>
      </c>
      <c r="K24" s="686" t="e">
        <f ca="1">10^(-IF(CELL("format",F24)="G",0,VALUE(REPLACE(CELL("format",F24),1,1,))))/2</f>
        <v>#VALUE!</v>
      </c>
      <c r="L24" s="686">
        <v>20</v>
      </c>
      <c r="O24" s="2303"/>
      <c r="P24" s="2304"/>
      <c r="Q24" s="2306"/>
      <c r="R24" s="2307"/>
      <c r="S24" s="2308"/>
      <c r="T24" s="2308"/>
      <c r="U24" s="2323"/>
      <c r="V24" s="2325"/>
      <c r="Y24" s="2303"/>
      <c r="Z24" s="2304"/>
      <c r="AA24" s="2306"/>
      <c r="AB24" s="2307"/>
      <c r="AC24" s="2308"/>
      <c r="AD24" s="2308"/>
      <c r="AE24" s="2323"/>
    </row>
    <row r="25" spans="1:31" outlineLevel="1">
      <c r="A25" s="2313"/>
      <c r="B25" s="2315"/>
      <c r="C25" s="42">
        <v>9</v>
      </c>
      <c r="D25" s="43" t="s">
        <v>74</v>
      </c>
      <c r="E25" s="681">
        <v>9.0016770000000008</v>
      </c>
      <c r="F25" s="682" t="s">
        <v>74</v>
      </c>
      <c r="G25" s="683"/>
      <c r="H25" s="684" t="e">
        <f>((Y25/1.732)^2+((M25/1000000*ABS(E25)+#REF!/1000000*Z25)/2)^2)^0.5*2</f>
        <v>#REF!</v>
      </c>
      <c r="I25" s="685">
        <v>3</v>
      </c>
      <c r="J25" s="686">
        <v>0.2</v>
      </c>
      <c r="K25" s="686" t="e">
        <f t="shared" ref="K25:K48" ca="1" si="0">10^(-IF(CELL("format",F25)="G",0,VALUE(REPLACE(CELL("format",F25),1,1,))))/2</f>
        <v>#VALUE!</v>
      </c>
      <c r="L25" s="686">
        <v>20</v>
      </c>
      <c r="O25" s="2312">
        <v>10</v>
      </c>
      <c r="P25" s="2314" t="s">
        <v>1848</v>
      </c>
      <c r="Q25" s="42">
        <v>10</v>
      </c>
      <c r="R25" s="43" t="s">
        <v>74</v>
      </c>
      <c r="S25" s="681">
        <v>10.001899999999999</v>
      </c>
      <c r="T25" s="682" t="s">
        <v>74</v>
      </c>
      <c r="U25" s="687"/>
      <c r="V25" s="684" t="e">
        <f>((#REF!/1.732)^2+((#REF!/1000000*ABS(S25)+#REF!/1000000*#REF!)/2)^2)^0.5*2</f>
        <v>#REF!</v>
      </c>
      <c r="Y25" s="2312">
        <v>10</v>
      </c>
      <c r="Z25" s="2314" t="s">
        <v>1848</v>
      </c>
      <c r="AA25" s="42">
        <v>10</v>
      </c>
      <c r="AB25" s="43" t="s">
        <v>74</v>
      </c>
      <c r="AC25" s="688">
        <v>10.001899999999999</v>
      </c>
      <c r="AD25" s="682" t="s">
        <v>74</v>
      </c>
      <c r="AE25" s="687"/>
    </row>
    <row r="26" spans="1:31" ht="14.25" customHeight="1" outlineLevel="1">
      <c r="A26" s="2313"/>
      <c r="B26" s="2315"/>
      <c r="C26" s="42">
        <v>8</v>
      </c>
      <c r="D26" s="43" t="s">
        <v>74</v>
      </c>
      <c r="E26" s="681">
        <v>8.0014819999999993</v>
      </c>
      <c r="F26" s="682" t="s">
        <v>74</v>
      </c>
      <c r="G26" s="683"/>
      <c r="H26" s="684" t="e">
        <f>((Y26/1.732)^2+((M26/1000000*ABS(E26)+#REF!/1000000*Z26)/2)^2)^0.5*2</f>
        <v>#REF!</v>
      </c>
      <c r="I26" s="685">
        <v>3</v>
      </c>
      <c r="J26" s="686">
        <v>0.2</v>
      </c>
      <c r="K26" s="686" t="e">
        <f t="shared" ca="1" si="0"/>
        <v>#VALUE!</v>
      </c>
      <c r="L26" s="686">
        <v>20</v>
      </c>
      <c r="O26" s="2313"/>
      <c r="P26" s="2315"/>
      <c r="Q26" s="42">
        <v>9</v>
      </c>
      <c r="R26" s="43" t="s">
        <v>74</v>
      </c>
      <c r="S26" s="681">
        <v>9.0016770000000008</v>
      </c>
      <c r="T26" s="682" t="s">
        <v>74</v>
      </c>
      <c r="U26" s="687"/>
      <c r="V26" s="684" t="e">
        <f>((#REF!/1.732)^2+((#REF!/1000000*ABS(S26)+#REF!/1000000*#REF!)/2)^2)^0.5*2</f>
        <v>#REF!</v>
      </c>
      <c r="Y26" s="2313"/>
      <c r="Z26" s="2315"/>
      <c r="AA26" s="42">
        <v>9</v>
      </c>
      <c r="AB26" s="43" t="s">
        <v>74</v>
      </c>
      <c r="AC26" s="688">
        <v>9.0016770000000008</v>
      </c>
      <c r="AD26" s="682" t="s">
        <v>74</v>
      </c>
      <c r="AE26" s="687"/>
    </row>
    <row r="27" spans="1:31" outlineLevel="1">
      <c r="A27" s="2313"/>
      <c r="B27" s="2315"/>
      <c r="C27" s="42">
        <v>7</v>
      </c>
      <c r="D27" s="43" t="s">
        <v>74</v>
      </c>
      <c r="E27" s="681">
        <v>7.0012889999999999</v>
      </c>
      <c r="F27" s="682" t="s">
        <v>74</v>
      </c>
      <c r="G27" s="683"/>
      <c r="H27" s="684" t="e">
        <f>((Y27/1.732)^2+((M27/1000000*ABS(E27)+#REF!/1000000*Z27)/2)^2)^0.5*2</f>
        <v>#REF!</v>
      </c>
      <c r="I27" s="685">
        <v>3</v>
      </c>
      <c r="J27" s="686">
        <v>0.2</v>
      </c>
      <c r="K27" s="686" t="e">
        <f t="shared" ca="1" si="0"/>
        <v>#VALUE!</v>
      </c>
      <c r="L27" s="686">
        <v>20</v>
      </c>
      <c r="O27" s="2313"/>
      <c r="P27" s="2315"/>
      <c r="Q27" s="42">
        <v>8</v>
      </c>
      <c r="R27" s="43" t="s">
        <v>74</v>
      </c>
      <c r="S27" s="681">
        <v>8.0014819999999993</v>
      </c>
      <c r="T27" s="682" t="s">
        <v>74</v>
      </c>
      <c r="U27" s="687"/>
      <c r="V27" s="684" t="e">
        <f>((#REF!/1.732)^2+((#REF!/1000000*ABS(S27)+#REF!/1000000*#REF!)/2)^2)^0.5*2</f>
        <v>#REF!</v>
      </c>
      <c r="Y27" s="2313"/>
      <c r="Z27" s="2315"/>
      <c r="AA27" s="42">
        <v>8</v>
      </c>
      <c r="AB27" s="43" t="s">
        <v>74</v>
      </c>
      <c r="AC27" s="688">
        <v>8.0014819999999993</v>
      </c>
      <c r="AD27" s="682" t="s">
        <v>74</v>
      </c>
      <c r="AE27" s="687"/>
    </row>
    <row r="28" spans="1:31" outlineLevel="1">
      <c r="A28" s="2313"/>
      <c r="B28" s="2315"/>
      <c r="C28" s="42">
        <v>6</v>
      </c>
      <c r="D28" s="43" t="s">
        <v>74</v>
      </c>
      <c r="E28" s="681">
        <v>6.001125</v>
      </c>
      <c r="F28" s="682" t="s">
        <v>74</v>
      </c>
      <c r="G28" s="683"/>
      <c r="H28" s="684" t="e">
        <f>((Y28/1.732)^2+((M28/1000000*ABS(E28)+#REF!/1000000*Z28)/2)^2)^0.5*2</f>
        <v>#REF!</v>
      </c>
      <c r="I28" s="685">
        <v>3</v>
      </c>
      <c r="J28" s="686">
        <v>0.2</v>
      </c>
      <c r="K28" s="686" t="e">
        <f t="shared" ca="1" si="0"/>
        <v>#VALUE!</v>
      </c>
      <c r="L28" s="686">
        <v>20</v>
      </c>
      <c r="O28" s="2313"/>
      <c r="P28" s="2315"/>
      <c r="Q28" s="42">
        <v>7</v>
      </c>
      <c r="R28" s="43" t="s">
        <v>74</v>
      </c>
      <c r="S28" s="681">
        <v>7.0012889999999999</v>
      </c>
      <c r="T28" s="682" t="s">
        <v>74</v>
      </c>
      <c r="U28" s="687"/>
      <c r="V28" s="684" t="e">
        <f>((#REF!/1.732)^2+((#REF!/1000000*ABS(S28)+#REF!/1000000*#REF!)/2)^2)^0.5*2</f>
        <v>#REF!</v>
      </c>
      <c r="Y28" s="2313"/>
      <c r="Z28" s="2315"/>
      <c r="AA28" s="42">
        <v>7</v>
      </c>
      <c r="AB28" s="43" t="s">
        <v>74</v>
      </c>
      <c r="AC28" s="688">
        <v>7.0012889999999999</v>
      </c>
      <c r="AD28" s="682" t="s">
        <v>74</v>
      </c>
      <c r="AE28" s="687"/>
    </row>
    <row r="29" spans="1:31" ht="14.25" customHeight="1" outlineLevel="1">
      <c r="A29" s="2313"/>
      <c r="B29" s="2315"/>
      <c r="C29" s="42">
        <v>5</v>
      </c>
      <c r="D29" s="43" t="s">
        <v>74</v>
      </c>
      <c r="E29" s="681">
        <v>5.0009189999999997</v>
      </c>
      <c r="F29" s="682" t="s">
        <v>74</v>
      </c>
      <c r="G29" s="683"/>
      <c r="H29" s="684" t="e">
        <f>((Y29/1.732)^2+((M29/1000000*ABS(E29)+#REF!/1000000*Z29)/2)^2)^0.5*2</f>
        <v>#REF!</v>
      </c>
      <c r="I29" s="685">
        <v>3</v>
      </c>
      <c r="J29" s="686">
        <v>0.2</v>
      </c>
      <c r="K29" s="686" t="e">
        <f t="shared" ca="1" si="0"/>
        <v>#VALUE!</v>
      </c>
      <c r="L29" s="686">
        <v>20</v>
      </c>
      <c r="O29" s="2313"/>
      <c r="P29" s="2315"/>
      <c r="Q29" s="42">
        <v>6</v>
      </c>
      <c r="R29" s="43" t="s">
        <v>74</v>
      </c>
      <c r="S29" s="681">
        <v>6.001125</v>
      </c>
      <c r="T29" s="682" t="s">
        <v>74</v>
      </c>
      <c r="U29" s="687"/>
      <c r="V29" s="684" t="e">
        <f>((#REF!/1.732)^2+((#REF!/1000000*ABS(S29)+#REF!/1000000*#REF!)/2)^2)^0.5*2</f>
        <v>#REF!</v>
      </c>
      <c r="Y29" s="2313"/>
      <c r="Z29" s="2315"/>
      <c r="AA29" s="42">
        <v>6</v>
      </c>
      <c r="AB29" s="43" t="s">
        <v>74</v>
      </c>
      <c r="AC29" s="688">
        <v>6.001125</v>
      </c>
      <c r="AD29" s="682" t="s">
        <v>74</v>
      </c>
      <c r="AE29" s="687"/>
    </row>
    <row r="30" spans="1:31" outlineLevel="1">
      <c r="A30" s="2313"/>
      <c r="B30" s="2315"/>
      <c r="C30" s="42">
        <v>4</v>
      </c>
      <c r="D30" s="43" t="s">
        <v>74</v>
      </c>
      <c r="E30" s="681">
        <v>4.000775</v>
      </c>
      <c r="F30" s="682" t="s">
        <v>74</v>
      </c>
      <c r="G30" s="683"/>
      <c r="H30" s="684" t="e">
        <f>((Y30/1.732)^2+((M30/1000000*ABS(E30)+#REF!/1000000*Z30)/2)^2)^0.5*2</f>
        <v>#REF!</v>
      </c>
      <c r="I30" s="685">
        <v>3</v>
      </c>
      <c r="J30" s="686">
        <v>0.2</v>
      </c>
      <c r="K30" s="686" t="e">
        <f t="shared" ca="1" si="0"/>
        <v>#VALUE!</v>
      </c>
      <c r="L30" s="686">
        <v>20</v>
      </c>
      <c r="O30" s="2313"/>
      <c r="P30" s="2315"/>
      <c r="Q30" s="42">
        <v>5</v>
      </c>
      <c r="R30" s="43" t="s">
        <v>74</v>
      </c>
      <c r="S30" s="681">
        <v>5.0009189999999997</v>
      </c>
      <c r="T30" s="682" t="s">
        <v>74</v>
      </c>
      <c r="U30" s="687"/>
      <c r="V30" s="684" t="e">
        <f>((#REF!/1.732)^2+((#REF!/1000000*ABS(S30)+#REF!/1000000*#REF!)/2)^2)^0.5*2</f>
        <v>#REF!</v>
      </c>
      <c r="Y30" s="2313"/>
      <c r="Z30" s="2315"/>
      <c r="AA30" s="42">
        <v>5</v>
      </c>
      <c r="AB30" s="43" t="s">
        <v>74</v>
      </c>
      <c r="AC30" s="688">
        <v>5.0009189999999997</v>
      </c>
      <c r="AD30" s="682" t="s">
        <v>74</v>
      </c>
      <c r="AE30" s="687"/>
    </row>
    <row r="31" spans="1:31" outlineLevel="1">
      <c r="A31" s="2313"/>
      <c r="B31" s="2315"/>
      <c r="C31" s="42">
        <v>3</v>
      </c>
      <c r="D31" s="43" t="s">
        <v>74</v>
      </c>
      <c r="E31" s="681">
        <v>3.000591</v>
      </c>
      <c r="F31" s="682" t="s">
        <v>74</v>
      </c>
      <c r="G31" s="683"/>
      <c r="H31" s="684" t="e">
        <f>((Y31/1.732)^2+((M31/1000000*ABS(E31)+#REF!/1000000*Z31)/2)^2)^0.5*2</f>
        <v>#REF!</v>
      </c>
      <c r="I31" s="685">
        <v>3</v>
      </c>
      <c r="J31" s="686">
        <v>0.2</v>
      </c>
      <c r="K31" s="686" t="e">
        <f t="shared" ca="1" si="0"/>
        <v>#VALUE!</v>
      </c>
      <c r="L31" s="686">
        <v>20</v>
      </c>
      <c r="O31" s="2313"/>
      <c r="P31" s="2315"/>
      <c r="Q31" s="42">
        <v>4</v>
      </c>
      <c r="R31" s="43" t="s">
        <v>74</v>
      </c>
      <c r="S31" s="681">
        <v>4.000775</v>
      </c>
      <c r="T31" s="682" t="s">
        <v>74</v>
      </c>
      <c r="U31" s="687"/>
      <c r="V31" s="684" t="e">
        <f>((#REF!/1.732)^2+((#REF!/1000000*ABS(S31)+#REF!/1000000*#REF!)/2)^2)^0.5*2</f>
        <v>#REF!</v>
      </c>
      <c r="Y31" s="2313"/>
      <c r="Z31" s="2315"/>
      <c r="AA31" s="42">
        <v>4</v>
      </c>
      <c r="AB31" s="43" t="s">
        <v>74</v>
      </c>
      <c r="AC31" s="688">
        <v>4.000775</v>
      </c>
      <c r="AD31" s="682" t="s">
        <v>74</v>
      </c>
      <c r="AE31" s="687"/>
    </row>
    <row r="32" spans="1:31" outlineLevel="1">
      <c r="A32" s="2313"/>
      <c r="B32" s="2315"/>
      <c r="C32" s="42">
        <v>2</v>
      </c>
      <c r="D32" s="43" t="s">
        <v>74</v>
      </c>
      <c r="E32" s="681">
        <v>2.0004550000000001</v>
      </c>
      <c r="F32" s="682" t="s">
        <v>74</v>
      </c>
      <c r="G32" s="683"/>
      <c r="H32" s="684" t="e">
        <f>((Y32/1.732)^2+((M32/1000000*ABS(E32)+#REF!/1000000*Z32)/2)^2)^0.5*2</f>
        <v>#REF!</v>
      </c>
      <c r="I32" s="685">
        <v>3</v>
      </c>
      <c r="J32" s="686">
        <v>0.2</v>
      </c>
      <c r="K32" s="686" t="e">
        <f t="shared" ca="1" si="0"/>
        <v>#VALUE!</v>
      </c>
      <c r="L32" s="686">
        <v>20</v>
      </c>
      <c r="O32" s="2313"/>
      <c r="P32" s="2315"/>
      <c r="Q32" s="42">
        <v>3</v>
      </c>
      <c r="R32" s="43" t="s">
        <v>74</v>
      </c>
      <c r="S32" s="681">
        <v>3.000591</v>
      </c>
      <c r="T32" s="682" t="s">
        <v>74</v>
      </c>
      <c r="U32" s="687"/>
      <c r="V32" s="684" t="e">
        <f>((#REF!/1.732)^2+((#REF!/1000000*ABS(S32)+#REF!/1000000*#REF!)/2)^2)^0.5*2</f>
        <v>#REF!</v>
      </c>
      <c r="Y32" s="2313"/>
      <c r="Z32" s="2315"/>
      <c r="AA32" s="42">
        <v>3</v>
      </c>
      <c r="AB32" s="43" t="s">
        <v>74</v>
      </c>
      <c r="AC32" s="688">
        <v>3.000591</v>
      </c>
      <c r="AD32" s="682" t="s">
        <v>74</v>
      </c>
      <c r="AE32" s="687"/>
    </row>
    <row r="33" spans="1:31" outlineLevel="1">
      <c r="A33" s="2313"/>
      <c r="B33" s="2315"/>
      <c r="C33" s="42">
        <v>1</v>
      </c>
      <c r="D33" s="43" t="s">
        <v>74</v>
      </c>
      <c r="E33" s="681">
        <v>1.0003249999999999</v>
      </c>
      <c r="F33" s="682" t="s">
        <v>74</v>
      </c>
      <c r="G33" s="683"/>
      <c r="H33" s="684" t="e">
        <f>((Y33/1.732)^2+((M33/1000000*ABS(E33)+#REF!/1000000*Z33)/2)^2)^0.5*2</f>
        <v>#REF!</v>
      </c>
      <c r="I33" s="685">
        <v>3</v>
      </c>
      <c r="J33" s="686">
        <v>0.2</v>
      </c>
      <c r="K33" s="686" t="e">
        <f t="shared" ca="1" si="0"/>
        <v>#VALUE!</v>
      </c>
      <c r="L33" s="686">
        <v>20</v>
      </c>
      <c r="O33" s="2313"/>
      <c r="P33" s="2315"/>
      <c r="Q33" s="42">
        <v>2</v>
      </c>
      <c r="R33" s="43" t="s">
        <v>74</v>
      </c>
      <c r="S33" s="681">
        <v>2.0004550000000001</v>
      </c>
      <c r="T33" s="682" t="s">
        <v>74</v>
      </c>
      <c r="U33" s="687"/>
      <c r="V33" s="684" t="e">
        <f>((#REF!/1.732)^2+((#REF!/1000000*ABS(S33)+#REF!/1000000*#REF!)/2)^2)^0.5*2</f>
        <v>#REF!</v>
      </c>
      <c r="Y33" s="2313"/>
      <c r="Z33" s="2315"/>
      <c r="AA33" s="42">
        <v>2</v>
      </c>
      <c r="AB33" s="43" t="s">
        <v>74</v>
      </c>
      <c r="AC33" s="688">
        <v>2.0004550000000001</v>
      </c>
      <c r="AD33" s="682" t="s">
        <v>74</v>
      </c>
      <c r="AE33" s="687"/>
    </row>
    <row r="34" spans="1:31" outlineLevel="1">
      <c r="A34" s="2316">
        <v>200</v>
      </c>
      <c r="B34" s="2319" t="s">
        <v>1849</v>
      </c>
      <c r="C34" s="44">
        <v>200</v>
      </c>
      <c r="D34" s="45" t="s">
        <v>75</v>
      </c>
      <c r="E34" s="46">
        <v>200.0333</v>
      </c>
      <c r="F34" s="83" t="s">
        <v>1849</v>
      </c>
      <c r="G34" s="47"/>
      <c r="H34" s="48" t="e">
        <f>((Y34/1.732)^2+((M34/1000000*ABS(E34)+#REF!/1000000*Z34)/2)^2)^0.5*2</f>
        <v>#REF!</v>
      </c>
      <c r="I34" s="685">
        <v>4.5</v>
      </c>
      <c r="J34" s="686">
        <v>0.5</v>
      </c>
      <c r="K34" s="686" t="e">
        <f t="shared" ca="1" si="0"/>
        <v>#VALUE!</v>
      </c>
      <c r="L34" s="686">
        <v>200</v>
      </c>
      <c r="O34" s="2313"/>
      <c r="P34" s="2315"/>
      <c r="Q34" s="42">
        <v>1</v>
      </c>
      <c r="R34" s="43" t="s">
        <v>74</v>
      </c>
      <c r="S34" s="681">
        <v>1.0003249999999999</v>
      </c>
      <c r="T34" s="682" t="s">
        <v>74</v>
      </c>
      <c r="U34" s="687"/>
      <c r="V34" s="684" t="e">
        <f>((#REF!/1.732)^2+((#REF!/1000000*ABS(S34)+#REF!/1000000*#REF!)/2)^2)^0.5*2</f>
        <v>#REF!</v>
      </c>
      <c r="Y34" s="2313"/>
      <c r="Z34" s="2315"/>
      <c r="AA34" s="42">
        <v>1</v>
      </c>
      <c r="AB34" s="43" t="s">
        <v>74</v>
      </c>
      <c r="AC34" s="688">
        <v>1.0003249999999999</v>
      </c>
      <c r="AD34" s="682" t="s">
        <v>74</v>
      </c>
      <c r="AE34" s="687"/>
    </row>
    <row r="35" spans="1:31" outlineLevel="1">
      <c r="A35" s="2317"/>
      <c r="B35" s="1742"/>
      <c r="C35" s="44">
        <v>100</v>
      </c>
      <c r="D35" s="45" t="s">
        <v>75</v>
      </c>
      <c r="E35" s="46">
        <v>100.0419</v>
      </c>
      <c r="F35" s="83" t="s">
        <v>1849</v>
      </c>
      <c r="G35" s="47"/>
      <c r="H35" s="48" t="e">
        <f>((Y35/1.732)^2+((M35/1000000*ABS(E35)+#REF!/1000000*Z35)/2)^2)^0.5*2</f>
        <v>#REF!</v>
      </c>
      <c r="I35" s="685">
        <v>4.5</v>
      </c>
      <c r="J35" s="686">
        <v>0.5</v>
      </c>
      <c r="K35" s="686" t="e">
        <f t="shared" ca="1" si="0"/>
        <v>#VALUE!</v>
      </c>
      <c r="L35" s="686">
        <v>200</v>
      </c>
      <c r="O35" s="2316">
        <v>200</v>
      </c>
      <c r="P35" s="2319" t="s">
        <v>1849</v>
      </c>
      <c r="Q35" s="44">
        <v>200</v>
      </c>
      <c r="R35" s="45" t="s">
        <v>75</v>
      </c>
      <c r="S35" s="46">
        <v>200.0333</v>
      </c>
      <c r="T35" s="83" t="s">
        <v>1849</v>
      </c>
      <c r="U35" s="47"/>
      <c r="V35" s="48" t="e">
        <f>((#REF!/1.732)^2+((#REF!/1000000*ABS(S35)+#REF!/1000000*#REF!)/2)^2)^0.5*2</f>
        <v>#REF!</v>
      </c>
      <c r="Y35" s="2316">
        <v>200</v>
      </c>
      <c r="Z35" s="2319" t="s">
        <v>1849</v>
      </c>
      <c r="AA35" s="44">
        <v>200</v>
      </c>
      <c r="AB35" s="45" t="s">
        <v>75</v>
      </c>
      <c r="AC35" s="689">
        <v>200.0333</v>
      </c>
      <c r="AD35" s="83" t="s">
        <v>1849</v>
      </c>
      <c r="AE35" s="47"/>
    </row>
    <row r="36" spans="1:31" outlineLevel="1">
      <c r="A36" s="2318"/>
      <c r="B36" s="1742"/>
      <c r="C36" s="44">
        <v>20</v>
      </c>
      <c r="D36" s="45" t="s">
        <v>75</v>
      </c>
      <c r="E36" s="46">
        <v>20.05021</v>
      </c>
      <c r="F36" s="83" t="s">
        <v>1849</v>
      </c>
      <c r="G36" s="47"/>
      <c r="H36" s="48" t="e">
        <f>((Y36/1.732)^2+((M36/1000000*ABS(E36)+#REF!/1000000*Z36)/2)^2)^0.5*2</f>
        <v>#REF!</v>
      </c>
      <c r="I36" s="685">
        <v>4.5</v>
      </c>
      <c r="J36" s="686">
        <v>0.5</v>
      </c>
      <c r="K36" s="686" t="e">
        <f t="shared" ca="1" si="0"/>
        <v>#VALUE!</v>
      </c>
      <c r="L36" s="686">
        <v>200</v>
      </c>
      <c r="O36" s="2317"/>
      <c r="P36" s="1742"/>
      <c r="Q36" s="44">
        <v>100</v>
      </c>
      <c r="R36" s="45" t="s">
        <v>75</v>
      </c>
      <c r="S36" s="46">
        <v>100.0419</v>
      </c>
      <c r="T36" s="83" t="s">
        <v>1849</v>
      </c>
      <c r="U36" s="47"/>
      <c r="V36" s="48" t="e">
        <f>((#REF!/1.732)^2+((#REF!/1000000*ABS(S36)+#REF!/1000000*#REF!)/2)^2)^0.5*2</f>
        <v>#REF!</v>
      </c>
      <c r="Y36" s="2317"/>
      <c r="Z36" s="1742"/>
      <c r="AA36" s="44">
        <v>100</v>
      </c>
      <c r="AB36" s="45" t="s">
        <v>75</v>
      </c>
      <c r="AC36" s="689">
        <v>100.0419</v>
      </c>
      <c r="AD36" s="83" t="s">
        <v>1849</v>
      </c>
      <c r="AE36" s="47"/>
    </row>
    <row r="37" spans="1:31" outlineLevel="1">
      <c r="A37" s="2316">
        <v>2</v>
      </c>
      <c r="B37" s="2319" t="s">
        <v>1848</v>
      </c>
      <c r="C37" s="49">
        <v>2</v>
      </c>
      <c r="D37" s="50" t="s">
        <v>74</v>
      </c>
      <c r="E37" s="51">
        <v>2.0000420000000001</v>
      </c>
      <c r="F37" s="71" t="s">
        <v>74</v>
      </c>
      <c r="G37" s="50"/>
      <c r="H37" s="52" t="e">
        <f>((Y37/1.732)^2+((M37/1000000*ABS(E37)+#REF!/1000000*Z37)/2)^2)^0.5*2</f>
        <v>#REF!</v>
      </c>
      <c r="I37" s="685">
        <v>3</v>
      </c>
      <c r="J37" s="686">
        <v>0.2</v>
      </c>
      <c r="K37" s="686" t="e">
        <f t="shared" ca="1" si="0"/>
        <v>#VALUE!</v>
      </c>
      <c r="L37" s="686">
        <v>2</v>
      </c>
      <c r="O37" s="2318"/>
      <c r="P37" s="1742"/>
      <c r="Q37" s="44">
        <v>20</v>
      </c>
      <c r="R37" s="45" t="s">
        <v>75</v>
      </c>
      <c r="S37" s="46">
        <v>20.05021</v>
      </c>
      <c r="T37" s="83" t="s">
        <v>1849</v>
      </c>
      <c r="U37" s="47"/>
      <c r="V37" s="48" t="e">
        <f>((#REF!/1.732)^2+((#REF!/1000000*ABS(S37)+#REF!/1000000*#REF!)/2)^2)^0.5*2</f>
        <v>#REF!</v>
      </c>
      <c r="Y37" s="2318"/>
      <c r="Z37" s="1742"/>
      <c r="AA37" s="44">
        <v>20</v>
      </c>
      <c r="AB37" s="45" t="s">
        <v>75</v>
      </c>
      <c r="AC37" s="689">
        <v>20.05021</v>
      </c>
      <c r="AD37" s="83" t="s">
        <v>1849</v>
      </c>
      <c r="AE37" s="47"/>
    </row>
    <row r="38" spans="1:31" outlineLevel="1">
      <c r="A38" s="2317"/>
      <c r="B38" s="1742"/>
      <c r="C38" s="49">
        <v>1</v>
      </c>
      <c r="D38" s="50" t="s">
        <v>74</v>
      </c>
      <c r="E38" s="51">
        <v>1.0000557000000001</v>
      </c>
      <c r="F38" s="71" t="s">
        <v>74</v>
      </c>
      <c r="G38" s="50"/>
      <c r="H38" s="52" t="e">
        <f>((Y38/1.732)^2+((M38/1000000*ABS(E38)+#REF!/1000000*Z38)/2)^2)^0.5*2</f>
        <v>#REF!</v>
      </c>
      <c r="I38" s="685">
        <v>3</v>
      </c>
      <c r="J38" s="686">
        <v>0.2</v>
      </c>
      <c r="K38" s="686" t="e">
        <f t="shared" ca="1" si="0"/>
        <v>#VALUE!</v>
      </c>
      <c r="L38" s="686">
        <v>2</v>
      </c>
      <c r="O38" s="2316">
        <v>2</v>
      </c>
      <c r="P38" s="2319" t="s">
        <v>1848</v>
      </c>
      <c r="Q38" s="49">
        <v>2</v>
      </c>
      <c r="R38" s="50" t="s">
        <v>74</v>
      </c>
      <c r="S38" s="51">
        <v>2.0000420000000001</v>
      </c>
      <c r="T38" s="71" t="s">
        <v>74</v>
      </c>
      <c r="U38" s="50"/>
      <c r="V38" s="52" t="e">
        <f>((#REF!/1.732)^2+((#REF!/1000000*ABS(S38)+#REF!/1000000*#REF!)/2)^2)^0.5*2</f>
        <v>#REF!</v>
      </c>
      <c r="Y38" s="2316">
        <v>2</v>
      </c>
      <c r="Z38" s="2319" t="s">
        <v>1848</v>
      </c>
      <c r="AA38" s="49">
        <v>2</v>
      </c>
      <c r="AB38" s="50" t="s">
        <v>74</v>
      </c>
      <c r="AC38" s="690">
        <v>2.0000420000000001</v>
      </c>
      <c r="AD38" s="71" t="s">
        <v>74</v>
      </c>
      <c r="AE38" s="50"/>
    </row>
    <row r="39" spans="1:31" outlineLevel="1">
      <c r="A39" s="2318"/>
      <c r="B39" s="1743"/>
      <c r="C39" s="49">
        <v>0.2</v>
      </c>
      <c r="D39" s="50" t="s">
        <v>74</v>
      </c>
      <c r="E39" s="51">
        <v>0.20008629999999999</v>
      </c>
      <c r="F39" s="71" t="s">
        <v>74</v>
      </c>
      <c r="G39" s="50"/>
      <c r="H39" s="52" t="e">
        <f>((Y39/1.732)^2+((M39/1000000*ABS(E39)+#REF!/1000000*Z39)/2)^2)^0.5*2</f>
        <v>#REF!</v>
      </c>
      <c r="I39" s="685">
        <v>3</v>
      </c>
      <c r="J39" s="686">
        <v>0.2</v>
      </c>
      <c r="K39" s="686" t="e">
        <f t="shared" ca="1" si="0"/>
        <v>#VALUE!</v>
      </c>
      <c r="L39" s="686">
        <v>2</v>
      </c>
      <c r="O39" s="2317"/>
      <c r="P39" s="1742"/>
      <c r="Q39" s="49">
        <v>1</v>
      </c>
      <c r="R39" s="50" t="s">
        <v>74</v>
      </c>
      <c r="S39" s="51">
        <v>1.0000557000000001</v>
      </c>
      <c r="T39" s="71" t="s">
        <v>74</v>
      </c>
      <c r="U39" s="50"/>
      <c r="V39" s="52" t="e">
        <f>((#REF!/1.732)^2+((#REF!/1000000*ABS(S39)+#REF!/1000000*#REF!)/2)^2)^0.5*2</f>
        <v>#REF!</v>
      </c>
      <c r="Y39" s="2317"/>
      <c r="Z39" s="1742"/>
      <c r="AA39" s="49">
        <v>1</v>
      </c>
      <c r="AB39" s="50" t="s">
        <v>74</v>
      </c>
      <c r="AC39" s="690">
        <v>1.0000557000000001</v>
      </c>
      <c r="AD39" s="71" t="s">
        <v>74</v>
      </c>
      <c r="AE39" s="50"/>
    </row>
    <row r="40" spans="1:31" outlineLevel="1">
      <c r="A40" s="2316">
        <v>100</v>
      </c>
      <c r="B40" s="2319" t="s">
        <v>1848</v>
      </c>
      <c r="C40" s="53">
        <v>100</v>
      </c>
      <c r="D40" s="50" t="s">
        <v>74</v>
      </c>
      <c r="E40" s="46">
        <v>100.00791</v>
      </c>
      <c r="F40" s="71" t="s">
        <v>74</v>
      </c>
      <c r="G40" s="50"/>
      <c r="H40" s="54" t="e">
        <f>((Y40/1.732)^2+((M40/1000000*ABS(E40)+#REF!/1000000*Z40)/2)^2)^0.5*2</f>
        <v>#REF!</v>
      </c>
      <c r="I40" s="685">
        <v>4.5</v>
      </c>
      <c r="J40" s="686">
        <v>0.2</v>
      </c>
      <c r="K40" s="686" t="e">
        <f t="shared" ca="1" si="0"/>
        <v>#VALUE!</v>
      </c>
      <c r="L40" s="686">
        <v>200</v>
      </c>
      <c r="O40" s="2318"/>
      <c r="P40" s="1743"/>
      <c r="Q40" s="49">
        <v>0.2</v>
      </c>
      <c r="R40" s="50" t="s">
        <v>74</v>
      </c>
      <c r="S40" s="51">
        <v>0.20008629999999999</v>
      </c>
      <c r="T40" s="71" t="s">
        <v>74</v>
      </c>
      <c r="U40" s="50"/>
      <c r="V40" s="52" t="e">
        <f>((#REF!/1.732)^2+((#REF!/1000000*ABS(S40)+#REF!/1000000*#REF!)/2)^2)^0.5*2</f>
        <v>#REF!</v>
      </c>
      <c r="Y40" s="2318"/>
      <c r="Z40" s="1743"/>
      <c r="AA40" s="49">
        <v>0.2</v>
      </c>
      <c r="AB40" s="50" t="s">
        <v>74</v>
      </c>
      <c r="AC40" s="690">
        <v>0.20008629999999999</v>
      </c>
      <c r="AD40" s="71" t="s">
        <v>74</v>
      </c>
      <c r="AE40" s="50"/>
    </row>
    <row r="41" spans="1:31" outlineLevel="1">
      <c r="A41" s="2317"/>
      <c r="B41" s="1742"/>
      <c r="C41" s="53">
        <v>50</v>
      </c>
      <c r="D41" s="50" t="s">
        <v>74</v>
      </c>
      <c r="E41" s="46">
        <v>49.994999999999997</v>
      </c>
      <c r="F41" s="71" t="s">
        <v>74</v>
      </c>
      <c r="G41" s="50"/>
      <c r="H41" s="54" t="e">
        <f>((Y41/1.732)^2+((M41/1000000*ABS(E41)+#REF!/1000000*Z41)/2)^2)^0.5*2</f>
        <v>#REF!</v>
      </c>
      <c r="I41" s="685">
        <v>4.5</v>
      </c>
      <c r="J41" s="686">
        <v>0.2</v>
      </c>
      <c r="K41" s="686" t="e">
        <f t="shared" ca="1" si="0"/>
        <v>#VALUE!</v>
      </c>
      <c r="L41" s="686">
        <v>200</v>
      </c>
      <c r="O41" s="2316">
        <v>100</v>
      </c>
      <c r="P41" s="2319" t="s">
        <v>1848</v>
      </c>
      <c r="Q41" s="53">
        <v>100</v>
      </c>
      <c r="R41" s="50" t="s">
        <v>74</v>
      </c>
      <c r="S41" s="46">
        <v>100.00791</v>
      </c>
      <c r="T41" s="71" t="s">
        <v>74</v>
      </c>
      <c r="U41" s="50"/>
      <c r="V41" s="54" t="e">
        <f>((#REF!/1.732)^2+((#REF!/1000000*ABS(S41)+#REF!/1000000*#REF!)/2)^2)^0.5*2</f>
        <v>#REF!</v>
      </c>
      <c r="Y41" s="2316">
        <v>100</v>
      </c>
      <c r="Z41" s="2319" t="s">
        <v>1848</v>
      </c>
      <c r="AA41" s="53">
        <v>100</v>
      </c>
      <c r="AB41" s="50" t="s">
        <v>74</v>
      </c>
      <c r="AC41" s="689">
        <v>100.00791</v>
      </c>
      <c r="AD41" s="71" t="s">
        <v>74</v>
      </c>
      <c r="AE41" s="50"/>
    </row>
    <row r="42" spans="1:31" outlineLevel="1">
      <c r="A42" s="2318"/>
      <c r="B42" s="1743"/>
      <c r="C42" s="53">
        <v>10</v>
      </c>
      <c r="D42" s="50" t="s">
        <v>74</v>
      </c>
      <c r="E42" s="46">
        <v>10.00094</v>
      </c>
      <c r="F42" s="71" t="s">
        <v>74</v>
      </c>
      <c r="G42" s="50"/>
      <c r="H42" s="54" t="e">
        <f>((Y42/1.732)^2+((M42/1000000*ABS(E42)+#REF!/1000000*Z42)/2)^2)^0.5*2</f>
        <v>#REF!</v>
      </c>
      <c r="I42" s="685">
        <v>4.5</v>
      </c>
      <c r="J42" s="686">
        <v>0.2</v>
      </c>
      <c r="K42" s="686" t="e">
        <f t="shared" ca="1" si="0"/>
        <v>#VALUE!</v>
      </c>
      <c r="L42" s="686">
        <v>200</v>
      </c>
      <c r="O42" s="2317"/>
      <c r="P42" s="1742"/>
      <c r="Q42" s="53">
        <v>50</v>
      </c>
      <c r="R42" s="50" t="s">
        <v>74</v>
      </c>
      <c r="S42" s="46">
        <v>49.994999999999997</v>
      </c>
      <c r="T42" s="71" t="s">
        <v>74</v>
      </c>
      <c r="U42" s="50"/>
      <c r="V42" s="54" t="e">
        <f>((#REF!/1.732)^2+((#REF!/1000000*ABS(S42)+#REF!/1000000*#REF!)/2)^2)^0.5*2</f>
        <v>#REF!</v>
      </c>
      <c r="Y42" s="2317"/>
      <c r="Z42" s="1742"/>
      <c r="AA42" s="53">
        <v>50</v>
      </c>
      <c r="AB42" s="50" t="s">
        <v>74</v>
      </c>
      <c r="AC42" s="689">
        <v>49.994999999999997</v>
      </c>
      <c r="AD42" s="71" t="s">
        <v>74</v>
      </c>
      <c r="AE42" s="50"/>
    </row>
    <row r="43" spans="1:31" outlineLevel="1">
      <c r="A43" s="2316">
        <v>300</v>
      </c>
      <c r="B43" s="2319" t="s">
        <v>1848</v>
      </c>
      <c r="C43" s="44">
        <v>300</v>
      </c>
      <c r="D43" s="50" t="s">
        <v>74</v>
      </c>
      <c r="E43" s="46">
        <v>299.95909999999998</v>
      </c>
      <c r="F43" s="71" t="s">
        <v>74</v>
      </c>
      <c r="G43" s="50"/>
      <c r="H43" s="54" t="e">
        <f>((Y43/1.732)^2+((M43/1000000*ABS(E43)+#REF!/1000000*Z43)/2)^2)^0.5*2</f>
        <v>#REF!</v>
      </c>
      <c r="I43" s="685">
        <v>4.5</v>
      </c>
      <c r="J43" s="686">
        <v>0.5</v>
      </c>
      <c r="K43" s="686" t="e">
        <f t="shared" ca="1" si="0"/>
        <v>#VALUE!</v>
      </c>
      <c r="L43" s="686">
        <v>1000</v>
      </c>
      <c r="O43" s="2318"/>
      <c r="P43" s="1743"/>
      <c r="Q43" s="53">
        <v>10</v>
      </c>
      <c r="R43" s="50" t="s">
        <v>74</v>
      </c>
      <c r="S43" s="46">
        <v>10.00094</v>
      </c>
      <c r="T43" s="71" t="s">
        <v>74</v>
      </c>
      <c r="U43" s="50"/>
      <c r="V43" s="54" t="e">
        <f>((#REF!/1.732)^2+((#REF!/1000000*ABS(S43)+#REF!/1000000*#REF!)/2)^2)^0.5*2</f>
        <v>#REF!</v>
      </c>
      <c r="Y43" s="2318"/>
      <c r="Z43" s="1743"/>
      <c r="AA43" s="53">
        <v>10</v>
      </c>
      <c r="AB43" s="50" t="s">
        <v>74</v>
      </c>
      <c r="AC43" s="689">
        <v>10.00094</v>
      </c>
      <c r="AD43" s="71" t="s">
        <v>74</v>
      </c>
      <c r="AE43" s="50"/>
    </row>
    <row r="44" spans="1:31" outlineLevel="1">
      <c r="A44" s="2317"/>
      <c r="B44" s="1742"/>
      <c r="C44" s="44">
        <v>200</v>
      </c>
      <c r="D44" s="50" t="s">
        <v>74</v>
      </c>
      <c r="E44" s="46">
        <v>199.97219999999999</v>
      </c>
      <c r="F44" s="71" t="s">
        <v>74</v>
      </c>
      <c r="G44" s="50"/>
      <c r="H44" s="54" t="e">
        <f>((Y44/1.732)^2+((M44/1000000*ABS(E44)+#REF!/1000000*Z44)/2)^2)^0.5*2</f>
        <v>#REF!</v>
      </c>
      <c r="I44" s="685">
        <v>4.5</v>
      </c>
      <c r="J44" s="686">
        <v>0.5</v>
      </c>
      <c r="K44" s="686" t="e">
        <f t="shared" ca="1" si="0"/>
        <v>#VALUE!</v>
      </c>
      <c r="L44" s="686">
        <v>1000</v>
      </c>
      <c r="O44" s="2316">
        <v>300</v>
      </c>
      <c r="P44" s="2319" t="s">
        <v>1848</v>
      </c>
      <c r="Q44" s="44">
        <v>300</v>
      </c>
      <c r="R44" s="50" t="s">
        <v>74</v>
      </c>
      <c r="S44" s="46">
        <v>299.95909999999998</v>
      </c>
      <c r="T44" s="71" t="s">
        <v>74</v>
      </c>
      <c r="U44" s="50"/>
      <c r="V44" s="54" t="e">
        <f>((#REF!/1.732)^2+((#REF!/1000000*ABS(S44)+#REF!/1000000*#REF!)/2)^2)^0.5*2</f>
        <v>#REF!</v>
      </c>
      <c r="Y44" s="2316">
        <v>300</v>
      </c>
      <c r="Z44" s="2319" t="s">
        <v>1848</v>
      </c>
      <c r="AA44" s="44">
        <v>300</v>
      </c>
      <c r="AB44" s="50" t="s">
        <v>74</v>
      </c>
      <c r="AC44" s="689">
        <v>299.95909999999998</v>
      </c>
      <c r="AD44" s="71" t="s">
        <v>74</v>
      </c>
      <c r="AE44" s="50"/>
    </row>
    <row r="45" spans="1:31" outlineLevel="1">
      <c r="A45" s="2318"/>
      <c r="B45" s="1743"/>
      <c r="C45" s="44">
        <v>100</v>
      </c>
      <c r="D45" s="50" t="s">
        <v>74</v>
      </c>
      <c r="E45" s="46">
        <v>99.986500000000007</v>
      </c>
      <c r="F45" s="71" t="s">
        <v>74</v>
      </c>
      <c r="G45" s="50"/>
      <c r="H45" s="54" t="e">
        <f>((Y45/1.732)^2+((M45/1000000*ABS(E45)+#REF!/1000000*Z45)/2)^2)^0.5*2</f>
        <v>#REF!</v>
      </c>
      <c r="I45" s="685">
        <v>4.5</v>
      </c>
      <c r="J45" s="686">
        <v>0.5</v>
      </c>
      <c r="K45" s="686" t="e">
        <f t="shared" ca="1" si="0"/>
        <v>#VALUE!</v>
      </c>
      <c r="L45" s="686">
        <v>1000</v>
      </c>
      <c r="O45" s="2317"/>
      <c r="P45" s="1742"/>
      <c r="Q45" s="44">
        <v>200</v>
      </c>
      <c r="R45" s="50" t="s">
        <v>74</v>
      </c>
      <c r="S45" s="46">
        <v>199.97219999999999</v>
      </c>
      <c r="T45" s="71" t="s">
        <v>74</v>
      </c>
      <c r="U45" s="50"/>
      <c r="V45" s="54" t="e">
        <f>((#REF!/1.732)^2+((#REF!/1000000*ABS(S45)+#REF!/1000000*#REF!)/2)^2)^0.5*2</f>
        <v>#REF!</v>
      </c>
      <c r="Y45" s="2317"/>
      <c r="Z45" s="1742"/>
      <c r="AA45" s="44">
        <v>200</v>
      </c>
      <c r="AB45" s="50" t="s">
        <v>74</v>
      </c>
      <c r="AC45" s="689">
        <v>199.97219999999999</v>
      </c>
      <c r="AD45" s="71" t="s">
        <v>74</v>
      </c>
      <c r="AE45" s="50"/>
    </row>
    <row r="46" spans="1:31" outlineLevel="1">
      <c r="A46" s="2316">
        <v>1000</v>
      </c>
      <c r="B46" s="2319" t="s">
        <v>1848</v>
      </c>
      <c r="C46" s="55">
        <v>1000</v>
      </c>
      <c r="D46" s="50" t="s">
        <v>74</v>
      </c>
      <c r="E46" s="56">
        <v>999.84469999999999</v>
      </c>
      <c r="F46" s="71" t="s">
        <v>74</v>
      </c>
      <c r="G46" s="50"/>
      <c r="H46" s="57" t="e">
        <f>((Y46/1.732)^2+((M46/1000000*ABS(E46)+#REF!/1000000*Z46)/2)^2)^0.5*2</f>
        <v>#REF!</v>
      </c>
      <c r="I46" s="685">
        <v>4.5</v>
      </c>
      <c r="J46" s="686">
        <v>0.5</v>
      </c>
      <c r="K46" s="686" t="e">
        <f t="shared" ca="1" si="0"/>
        <v>#VALUE!</v>
      </c>
      <c r="L46" s="686">
        <v>1000</v>
      </c>
      <c r="O46" s="2318"/>
      <c r="P46" s="1743"/>
      <c r="Q46" s="44">
        <v>100</v>
      </c>
      <c r="R46" s="50" t="s">
        <v>74</v>
      </c>
      <c r="S46" s="46">
        <v>99.986500000000007</v>
      </c>
      <c r="T46" s="71" t="s">
        <v>74</v>
      </c>
      <c r="U46" s="50"/>
      <c r="V46" s="54" t="e">
        <f>((#REF!/1.732)^2+((#REF!/1000000*ABS(S46)+#REF!/1000000*#REF!)/2)^2)^0.5*2</f>
        <v>#REF!</v>
      </c>
      <c r="Y46" s="2318"/>
      <c r="Z46" s="1743"/>
      <c r="AA46" s="44">
        <v>100</v>
      </c>
      <c r="AB46" s="50" t="s">
        <v>74</v>
      </c>
      <c r="AC46" s="689">
        <v>99.986500000000007</v>
      </c>
      <c r="AD46" s="71" t="s">
        <v>74</v>
      </c>
      <c r="AE46" s="50"/>
    </row>
    <row r="47" spans="1:31" outlineLevel="1">
      <c r="A47" s="2317"/>
      <c r="B47" s="1742"/>
      <c r="C47" s="55">
        <v>500</v>
      </c>
      <c r="D47" s="50" t="s">
        <v>74</v>
      </c>
      <c r="E47" s="56">
        <v>499.9051</v>
      </c>
      <c r="F47" s="71" t="s">
        <v>74</v>
      </c>
      <c r="G47" s="50"/>
      <c r="H47" s="57" t="e">
        <f>((Y47/1.732)^2+((M47/1000000*ABS(E47)+#REF!/1000000*Z47)/2)^2)^0.5*2</f>
        <v>#REF!</v>
      </c>
      <c r="I47" s="685">
        <v>4.5</v>
      </c>
      <c r="J47" s="686">
        <v>0.5</v>
      </c>
      <c r="K47" s="686" t="e">
        <f t="shared" ca="1" si="0"/>
        <v>#VALUE!</v>
      </c>
      <c r="L47" s="686">
        <v>1000</v>
      </c>
      <c r="O47" s="2316">
        <v>1000</v>
      </c>
      <c r="P47" s="2319" t="s">
        <v>1848</v>
      </c>
      <c r="Q47" s="55">
        <v>1000</v>
      </c>
      <c r="R47" s="50" t="s">
        <v>74</v>
      </c>
      <c r="S47" s="56">
        <v>999.84469999999999</v>
      </c>
      <c r="T47" s="71" t="s">
        <v>74</v>
      </c>
      <c r="U47" s="50"/>
      <c r="V47" s="57" t="e">
        <f>((#REF!/1.732)^2+((#REF!/1000000*ABS(S47)+#REF!/1000000*#REF!)/2)^2)^0.5*2</f>
        <v>#REF!</v>
      </c>
      <c r="Y47" s="2316">
        <v>1000</v>
      </c>
      <c r="Z47" s="2319" t="s">
        <v>1848</v>
      </c>
      <c r="AA47" s="55">
        <v>1000</v>
      </c>
      <c r="AB47" s="50" t="s">
        <v>74</v>
      </c>
      <c r="AC47" s="691">
        <v>999.84469999999999</v>
      </c>
      <c r="AD47" s="71" t="s">
        <v>74</v>
      </c>
      <c r="AE47" s="50"/>
    </row>
    <row r="48" spans="1:31" outlineLevel="1">
      <c r="A48" s="2318"/>
      <c r="B48" s="1743"/>
      <c r="C48" s="55">
        <v>100</v>
      </c>
      <c r="D48" s="50" t="s">
        <v>74</v>
      </c>
      <c r="E48" s="56">
        <v>99.965900000000005</v>
      </c>
      <c r="F48" s="71" t="s">
        <v>74</v>
      </c>
      <c r="G48" s="50"/>
      <c r="H48" s="57" t="e">
        <f>((Y48/1.732)^2+((M48/1000000*ABS(E48)+#REF!/1000000*Z48)/2)^2)^0.5*2</f>
        <v>#REF!</v>
      </c>
      <c r="I48" s="685">
        <v>4.5</v>
      </c>
      <c r="J48" s="686">
        <v>0.5</v>
      </c>
      <c r="K48" s="686" t="e">
        <f t="shared" ca="1" si="0"/>
        <v>#VALUE!</v>
      </c>
      <c r="L48" s="686">
        <v>1000</v>
      </c>
      <c r="O48" s="2317"/>
      <c r="P48" s="1742"/>
      <c r="Q48" s="55">
        <v>500</v>
      </c>
      <c r="R48" s="50" t="s">
        <v>74</v>
      </c>
      <c r="S48" s="56">
        <v>499.9051</v>
      </c>
      <c r="T48" s="71" t="s">
        <v>74</v>
      </c>
      <c r="U48" s="50"/>
      <c r="V48" s="57" t="e">
        <f>((#REF!/1.732)^2+((#REF!/1000000*ABS(S48)+#REF!/1000000*#REF!)/2)^2)^0.5*2</f>
        <v>#REF!</v>
      </c>
      <c r="Y48" s="2317"/>
      <c r="Z48" s="1742"/>
      <c r="AA48" s="55">
        <v>500</v>
      </c>
      <c r="AB48" s="50" t="s">
        <v>74</v>
      </c>
      <c r="AC48" s="691">
        <v>499.9051</v>
      </c>
      <c r="AD48" s="71" t="s">
        <v>74</v>
      </c>
      <c r="AE48" s="50"/>
    </row>
    <row r="49" spans="4:31" outlineLevel="1">
      <c r="I49" s="679"/>
      <c r="J49" s="679"/>
      <c r="K49" s="679"/>
      <c r="L49" s="679"/>
      <c r="O49" s="2318"/>
      <c r="P49" s="1743"/>
      <c r="Q49" s="55">
        <v>100</v>
      </c>
      <c r="R49" s="50" t="s">
        <v>74</v>
      </c>
      <c r="S49" s="56">
        <v>99.965900000000005</v>
      </c>
      <c r="T49" s="71" t="s">
        <v>74</v>
      </c>
      <c r="U49" s="50"/>
      <c r="V49" s="57" t="e">
        <f>((#REF!/1.732)^2+((#REF!/1000000*ABS(S49)+#REF!/1000000*#REF!)/2)^2)^0.5*2</f>
        <v>#REF!</v>
      </c>
      <c r="Y49" s="2318"/>
      <c r="Z49" s="1743"/>
      <c r="AA49" s="55">
        <v>100</v>
      </c>
      <c r="AB49" s="50" t="s">
        <v>74</v>
      </c>
      <c r="AC49" s="56">
        <v>99.965900000000005</v>
      </c>
      <c r="AD49" s="71" t="s">
        <v>74</v>
      </c>
      <c r="AE49" s="50"/>
    </row>
    <row r="50" spans="4:31" outlineLevel="1"/>
    <row r="51" spans="4:31" outlineLevel="1">
      <c r="D51" s="692" t="s">
        <v>1850</v>
      </c>
    </row>
    <row r="52" spans="4:31">
      <c r="D52" s="157" t="s">
        <v>1851</v>
      </c>
    </row>
  </sheetData>
  <mergeCells count="61">
    <mergeCell ref="O47:O49"/>
    <mergeCell ref="P47:P49"/>
    <mergeCell ref="Y47:Y49"/>
    <mergeCell ref="Z47:Z49"/>
    <mergeCell ref="O41:O43"/>
    <mergeCell ref="P41:P43"/>
    <mergeCell ref="Y41:Y43"/>
    <mergeCell ref="Z41:Z43"/>
    <mergeCell ref="O44:O46"/>
    <mergeCell ref="P44:P46"/>
    <mergeCell ref="O25:O34"/>
    <mergeCell ref="P25:P34"/>
    <mergeCell ref="Y25:Y34"/>
    <mergeCell ref="Z25:Z34"/>
    <mergeCell ref="Y44:Y46"/>
    <mergeCell ref="Z44:Z46"/>
    <mergeCell ref="O35:O37"/>
    <mergeCell ref="P35:P37"/>
    <mergeCell ref="Y35:Y37"/>
    <mergeCell ref="Z35:Z37"/>
    <mergeCell ref="O38:O40"/>
    <mergeCell ref="P38:P40"/>
    <mergeCell ref="Y38:Y40"/>
    <mergeCell ref="Z38:Z40"/>
    <mergeCell ref="O20:V20"/>
    <mergeCell ref="Y20:AE20"/>
    <mergeCell ref="O22:V22"/>
    <mergeCell ref="Y22:AE22"/>
    <mergeCell ref="O23:P24"/>
    <mergeCell ref="Q23:R24"/>
    <mergeCell ref="S23:T24"/>
    <mergeCell ref="U23:U24"/>
    <mergeCell ref="V23:V24"/>
    <mergeCell ref="Y23:Z24"/>
    <mergeCell ref="AA23:AB24"/>
    <mergeCell ref="AC23:AD24"/>
    <mergeCell ref="AE23:AE24"/>
    <mergeCell ref="A24:A33"/>
    <mergeCell ref="B24:B33"/>
    <mergeCell ref="A34:A36"/>
    <mergeCell ref="B34:B36"/>
    <mergeCell ref="A46:A48"/>
    <mergeCell ref="B46:B48"/>
    <mergeCell ref="A37:A39"/>
    <mergeCell ref="B37:B39"/>
    <mergeCell ref="A40:A42"/>
    <mergeCell ref="B40:B42"/>
    <mergeCell ref="A43:A45"/>
    <mergeCell ref="B43:B45"/>
    <mergeCell ref="I22:J23"/>
    <mergeCell ref="K22:K23"/>
    <mergeCell ref="L22:L23"/>
    <mergeCell ref="A1:D1"/>
    <mergeCell ref="A3:C3"/>
    <mergeCell ref="A20:D20"/>
    <mergeCell ref="A21:H21"/>
    <mergeCell ref="A22:B23"/>
    <mergeCell ref="C22:D23"/>
    <mergeCell ref="E22:F23"/>
    <mergeCell ref="H22:H23"/>
    <mergeCell ref="G22:G23"/>
  </mergeCells>
  <phoneticPr fontId="2" type="noConversion"/>
  <conditionalFormatting sqref="E24">
    <cfRule type="expression" dxfId="184" priority="33" stopIfTrue="1">
      <formula>ABS(E24-$C24)/$C24&gt;0.02</formula>
    </cfRule>
  </conditionalFormatting>
  <conditionalFormatting sqref="E25">
    <cfRule type="expression" dxfId="183" priority="32" stopIfTrue="1">
      <formula>ABS(E25-$C25)/$C25&gt;0.02</formula>
    </cfRule>
  </conditionalFormatting>
  <conditionalFormatting sqref="E26:E33">
    <cfRule type="expression" dxfId="182" priority="31" stopIfTrue="1">
      <formula>ABS(E26-$C26)/$C26&gt;0.02</formula>
    </cfRule>
  </conditionalFormatting>
  <conditionalFormatting sqref="E34">
    <cfRule type="expression" dxfId="181" priority="30" stopIfTrue="1">
      <formula>ABS(E34-$C34)/$C34&gt;0.02</formula>
    </cfRule>
  </conditionalFormatting>
  <conditionalFormatting sqref="E35:E36">
    <cfRule type="expression" dxfId="180" priority="29" stopIfTrue="1">
      <formula>ABS(E35-$C35)/$C35&gt;0.02</formula>
    </cfRule>
  </conditionalFormatting>
  <conditionalFormatting sqref="E37">
    <cfRule type="expression" dxfId="179" priority="28" stopIfTrue="1">
      <formula>ABS(E37-$C37)/$C37&gt;0.02</formula>
    </cfRule>
  </conditionalFormatting>
  <conditionalFormatting sqref="E38:E39">
    <cfRule type="expression" dxfId="178" priority="27" stopIfTrue="1">
      <formula>ABS(E38-$C38)/$C38&gt;0.02</formula>
    </cfRule>
  </conditionalFormatting>
  <conditionalFormatting sqref="E41:E45">
    <cfRule type="expression" dxfId="177" priority="26" stopIfTrue="1">
      <formula>ABS(E41-$C41)/$C41&gt;0.02</formula>
    </cfRule>
  </conditionalFormatting>
  <conditionalFormatting sqref="E40">
    <cfRule type="expression" dxfId="176" priority="25" stopIfTrue="1">
      <formula>ABS(E40-$C40)/$C40&gt;0.02</formula>
    </cfRule>
  </conditionalFormatting>
  <conditionalFormatting sqref="E46">
    <cfRule type="expression" dxfId="175" priority="24" stopIfTrue="1">
      <formula>ABS(E46-$C46)/$C46&gt;0.02</formula>
    </cfRule>
  </conditionalFormatting>
  <conditionalFormatting sqref="E47:E48">
    <cfRule type="expression" dxfId="174" priority="23" stopIfTrue="1">
      <formula>ABS(E47-$C47)/$C47&gt;0.02</formula>
    </cfRule>
  </conditionalFormatting>
  <conditionalFormatting sqref="AC25">
    <cfRule type="expression" dxfId="173" priority="22" stopIfTrue="1">
      <formula>ABS(AC25-$C25)/$C25&gt;0.02</formula>
    </cfRule>
  </conditionalFormatting>
  <conditionalFormatting sqref="AC26">
    <cfRule type="expression" dxfId="172" priority="21" stopIfTrue="1">
      <formula>ABS(AC26-$C26)/$C26&gt;0.02</formula>
    </cfRule>
  </conditionalFormatting>
  <conditionalFormatting sqref="AC27:AC34">
    <cfRule type="expression" dxfId="171" priority="20" stopIfTrue="1">
      <formula>ABS(AC27-$C27)/$C27&gt;0.02</formula>
    </cfRule>
  </conditionalFormatting>
  <conditionalFormatting sqref="AC35">
    <cfRule type="expression" dxfId="170" priority="19" stopIfTrue="1">
      <formula>ABS(AC35-$C35)/$C35&gt;0.02</formula>
    </cfRule>
  </conditionalFormatting>
  <conditionalFormatting sqref="AC36:AC37">
    <cfRule type="expression" dxfId="169" priority="18" stopIfTrue="1">
      <formula>ABS(AC36-$C36)/$C36&gt;0.02</formula>
    </cfRule>
  </conditionalFormatting>
  <conditionalFormatting sqref="AC38">
    <cfRule type="expression" dxfId="168" priority="17" stopIfTrue="1">
      <formula>ABS(AC38-$C38)/$C38&gt;0.02</formula>
    </cfRule>
  </conditionalFormatting>
  <conditionalFormatting sqref="AC39:AC40">
    <cfRule type="expression" dxfId="167" priority="16" stopIfTrue="1">
      <formula>ABS(AC39-$C39)/$C39&gt;0.02</formula>
    </cfRule>
  </conditionalFormatting>
  <conditionalFormatting sqref="AC42:AC46">
    <cfRule type="expression" dxfId="166" priority="15" stopIfTrue="1">
      <formula>ABS(AC42-$C42)/$C42&gt;0.02</formula>
    </cfRule>
  </conditionalFormatting>
  <conditionalFormatting sqref="AC41">
    <cfRule type="expression" dxfId="165" priority="14" stopIfTrue="1">
      <formula>ABS(AC41-$C41)/$C41&gt;0.02</formula>
    </cfRule>
  </conditionalFormatting>
  <conditionalFormatting sqref="AC47">
    <cfRule type="expression" dxfId="164" priority="13" stopIfTrue="1">
      <formula>ABS(AC47-$C47)/$C47&gt;0.02</formula>
    </cfRule>
  </conditionalFormatting>
  <conditionalFormatting sqref="AC48:AC49">
    <cfRule type="expression" dxfId="163" priority="12" stopIfTrue="1">
      <formula>ABS(AC48-$C48)/$C48&gt;0.02</formula>
    </cfRule>
  </conditionalFormatting>
  <conditionalFormatting sqref="S25">
    <cfRule type="expression" dxfId="162" priority="11" stopIfTrue="1">
      <formula>ABS(S25-$C25)/$C25&gt;0.02</formula>
    </cfRule>
  </conditionalFormatting>
  <conditionalFormatting sqref="S26">
    <cfRule type="expression" dxfId="161" priority="10" stopIfTrue="1">
      <formula>ABS(S26-$C26)/$C26&gt;0.02</formula>
    </cfRule>
  </conditionalFormatting>
  <conditionalFormatting sqref="S27:S34">
    <cfRule type="expression" dxfId="160" priority="9" stopIfTrue="1">
      <formula>ABS(S27-$C27)/$C27&gt;0.02</formula>
    </cfRule>
  </conditionalFormatting>
  <conditionalFormatting sqref="S35">
    <cfRule type="expression" dxfId="159" priority="8" stopIfTrue="1">
      <formula>ABS(S35-$C35)/$C35&gt;0.02</formula>
    </cfRule>
  </conditionalFormatting>
  <conditionalFormatting sqref="S36:S37">
    <cfRule type="expression" dxfId="158" priority="7" stopIfTrue="1">
      <formula>ABS(S36-$C36)/$C36&gt;0.02</formula>
    </cfRule>
  </conditionalFormatting>
  <conditionalFormatting sqref="S38">
    <cfRule type="expression" dxfId="157" priority="6" stopIfTrue="1">
      <formula>ABS(S38-$C38)/$C38&gt;0.02</formula>
    </cfRule>
  </conditionalFormatting>
  <conditionalFormatting sqref="S39:S40">
    <cfRule type="expression" dxfId="156" priority="5" stopIfTrue="1">
      <formula>ABS(S39-$C39)/$C39&gt;0.02</formula>
    </cfRule>
  </conditionalFormatting>
  <conditionalFormatting sqref="S42:S46">
    <cfRule type="expression" dxfId="155" priority="4" stopIfTrue="1">
      <formula>ABS(S42-$C42)/$C42&gt;0.02</formula>
    </cfRule>
  </conditionalFormatting>
  <conditionalFormatting sqref="S41">
    <cfRule type="expression" dxfId="154" priority="3" stopIfTrue="1">
      <formula>ABS(S41-$C41)/$C41&gt;0.02</formula>
    </cfRule>
  </conditionalFormatting>
  <conditionalFormatting sqref="S47">
    <cfRule type="expression" dxfId="153" priority="2" stopIfTrue="1">
      <formula>ABS(S47-$C47)/$C47&gt;0.02</formula>
    </cfRule>
  </conditionalFormatting>
  <conditionalFormatting sqref="S48:S49">
    <cfRule type="expression" dxfId="152" priority="1" stopIfTrue="1">
      <formula>ABS(S48-$C48)/$C48&gt;0.02</formula>
    </cfRule>
  </conditionalFormatting>
  <pageMargins left="0.75" right="0.75" top="1" bottom="1" header="0.5" footer="0.5"/>
  <drawing r:id="rId1"/>
  <legacyDrawing r:id="rId2"/>
</worksheet>
</file>

<file path=xl/worksheets/sheet16.xml><?xml version="1.0" encoding="utf-8"?>
<worksheet xmlns="http://schemas.openxmlformats.org/spreadsheetml/2006/main" xmlns:r="http://schemas.openxmlformats.org/officeDocument/2006/relationships">
  <dimension ref="A1:AJ82"/>
  <sheetViews>
    <sheetView workbookViewId="0">
      <selection sqref="A1:C1"/>
    </sheetView>
  </sheetViews>
  <sheetFormatPr defaultRowHeight="14.25" outlineLevelRow="1"/>
  <cols>
    <col min="1" max="1" width="20.625" customWidth="1"/>
    <col min="2" max="2" width="15.875" customWidth="1"/>
    <col min="3" max="3" width="14.25" customWidth="1"/>
    <col min="4" max="4" width="30.875" customWidth="1"/>
    <col min="6" max="6" width="9.5" bestFit="1" customWidth="1"/>
    <col min="8" max="8" width="10.5" bestFit="1" customWidth="1"/>
    <col min="10" max="10" width="14.625" customWidth="1"/>
    <col min="11" max="11" width="16.75" customWidth="1"/>
    <col min="26" max="26" width="11" customWidth="1"/>
    <col min="27" max="27" width="18.625" customWidth="1"/>
  </cols>
  <sheetData>
    <row r="1" spans="1:5">
      <c r="A1" s="2326" t="s">
        <v>1916</v>
      </c>
      <c r="B1" s="2296"/>
      <c r="C1" s="2296"/>
    </row>
    <row r="3" spans="1:5" outlineLevel="1">
      <c r="A3" s="2327" t="s">
        <v>1852</v>
      </c>
      <c r="B3" s="1713"/>
      <c r="C3" s="1713"/>
      <c r="D3" s="1832"/>
    </row>
    <row r="4" spans="1:5" ht="18.75" outlineLevel="1">
      <c r="A4" s="5" t="s">
        <v>33</v>
      </c>
      <c r="B4" s="6" t="s">
        <v>69</v>
      </c>
      <c r="C4" s="6" t="s">
        <v>70</v>
      </c>
      <c r="D4" s="1" t="s">
        <v>1853</v>
      </c>
    </row>
    <row r="5" spans="1:5" outlineLevel="1">
      <c r="A5" s="41" t="s">
        <v>1854</v>
      </c>
      <c r="B5" s="6" t="s">
        <v>72</v>
      </c>
      <c r="C5" s="6" t="s">
        <v>72</v>
      </c>
      <c r="D5" s="1" t="s">
        <v>1855</v>
      </c>
    </row>
    <row r="6" spans="1:5" outlineLevel="1">
      <c r="A6" s="1667" t="s">
        <v>4403</v>
      </c>
      <c r="B6" s="6" t="s">
        <v>72</v>
      </c>
      <c r="C6" s="6" t="s">
        <v>72</v>
      </c>
      <c r="D6" s="1" t="s">
        <v>1856</v>
      </c>
    </row>
    <row r="7" spans="1:5" outlineLevel="1">
      <c r="A7" s="7" t="s">
        <v>1917</v>
      </c>
      <c r="B7" s="6" t="s">
        <v>72</v>
      </c>
      <c r="C7" s="6" t="s">
        <v>1857</v>
      </c>
      <c r="D7" s="74" t="s">
        <v>1858</v>
      </c>
      <c r="E7" s="60"/>
    </row>
    <row r="8" spans="1:5" outlineLevel="1">
      <c r="A8" s="6" t="s">
        <v>1859</v>
      </c>
      <c r="B8" s="6" t="s">
        <v>72</v>
      </c>
      <c r="C8" s="6" t="s">
        <v>1857</v>
      </c>
      <c r="D8" s="1" t="s">
        <v>1855</v>
      </c>
    </row>
    <row r="9" spans="1:5" outlineLevel="1">
      <c r="A9" s="41" t="s">
        <v>1860</v>
      </c>
      <c r="B9" s="6" t="s">
        <v>72</v>
      </c>
      <c r="C9" s="6" t="s">
        <v>1857</v>
      </c>
      <c r="D9" s="1" t="s">
        <v>1855</v>
      </c>
    </row>
    <row r="10" spans="1:5" outlineLevel="1">
      <c r="A10" s="6" t="s">
        <v>1861</v>
      </c>
      <c r="B10" s="6" t="s">
        <v>72</v>
      </c>
      <c r="C10" s="6" t="s">
        <v>1857</v>
      </c>
      <c r="D10" s="1" t="s">
        <v>1855</v>
      </c>
    </row>
    <row r="11" spans="1:5" outlineLevel="1">
      <c r="A11" s="41" t="s">
        <v>1862</v>
      </c>
      <c r="B11" s="6" t="s">
        <v>72</v>
      </c>
      <c r="C11" s="6" t="s">
        <v>1857</v>
      </c>
      <c r="D11" s="1" t="s">
        <v>1855</v>
      </c>
    </row>
    <row r="12" spans="1:5" outlineLevel="1">
      <c r="A12" s="41" t="s">
        <v>1863</v>
      </c>
      <c r="B12" s="6" t="s">
        <v>72</v>
      </c>
      <c r="C12" s="6" t="s">
        <v>1857</v>
      </c>
      <c r="D12" s="1" t="s">
        <v>1855</v>
      </c>
    </row>
    <row r="13" spans="1:5" outlineLevel="1">
      <c r="A13" s="41" t="s">
        <v>1864</v>
      </c>
      <c r="B13" s="6" t="s">
        <v>72</v>
      </c>
      <c r="C13" s="6" t="s">
        <v>1857</v>
      </c>
      <c r="D13" s="1" t="s">
        <v>1855</v>
      </c>
    </row>
    <row r="14" spans="1:5" outlineLevel="1">
      <c r="A14" s="6"/>
      <c r="B14" s="6"/>
      <c r="C14" s="6"/>
      <c r="D14" s="2"/>
    </row>
    <row r="15" spans="1:5" outlineLevel="1">
      <c r="A15" s="6"/>
      <c r="B15" s="6"/>
      <c r="C15" s="6"/>
      <c r="D15" s="2"/>
    </row>
    <row r="16" spans="1:5" outlineLevel="1">
      <c r="A16" s="6"/>
      <c r="B16" s="6"/>
      <c r="C16" s="6"/>
      <c r="D16" s="2"/>
    </row>
    <row r="17" spans="1:36" outlineLevel="1">
      <c r="A17" t="s">
        <v>73</v>
      </c>
    </row>
    <row r="21" spans="1:36">
      <c r="A21" s="2299" t="s">
        <v>1865</v>
      </c>
      <c r="B21" s="2328"/>
      <c r="C21" s="2328"/>
      <c r="D21" s="2328"/>
      <c r="E21" s="2328"/>
      <c r="L21" t="s">
        <v>1866</v>
      </c>
    </row>
    <row r="22" spans="1:36">
      <c r="A22" s="16" t="s">
        <v>4405</v>
      </c>
      <c r="K22" s="256"/>
      <c r="L22" t="s">
        <v>1867</v>
      </c>
      <c r="T22" s="2341" t="s">
        <v>1868</v>
      </c>
      <c r="U22" s="2342"/>
      <c r="V22" s="2342"/>
      <c r="W22" s="2342"/>
      <c r="X22" s="2343"/>
      <c r="Y22" s="2343"/>
      <c r="Z22" s="2343"/>
      <c r="AD22" s="33" t="s">
        <v>1869</v>
      </c>
    </row>
    <row r="23" spans="1:36" ht="14.25" customHeight="1" outlineLevel="1">
      <c r="A23" s="2301" t="s">
        <v>1870</v>
      </c>
      <c r="B23" s="2302"/>
      <c r="C23" s="2329" t="s">
        <v>4404</v>
      </c>
      <c r="D23" s="2330" t="s">
        <v>4406</v>
      </c>
      <c r="E23" s="2331"/>
      <c r="F23" s="2332" t="s">
        <v>4407</v>
      </c>
      <c r="G23" s="2333"/>
      <c r="H23" s="2332" t="s">
        <v>4408</v>
      </c>
      <c r="I23" s="2334"/>
      <c r="J23" s="2234" t="s">
        <v>1873</v>
      </c>
      <c r="K23" s="2" t="s">
        <v>1874</v>
      </c>
      <c r="L23" s="2294" t="s">
        <v>1875</v>
      </c>
      <c r="M23" s="2294"/>
      <c r="N23" s="1749" t="s">
        <v>1876</v>
      </c>
      <c r="O23" s="2295" t="s">
        <v>1861</v>
      </c>
      <c r="P23" s="2295" t="s">
        <v>1870</v>
      </c>
      <c r="Q23" s="219"/>
      <c r="R23" s="219"/>
      <c r="S23" s="219"/>
      <c r="T23" s="2301" t="s">
        <v>1870</v>
      </c>
      <c r="U23" s="2302"/>
      <c r="V23" s="2301" t="s">
        <v>1871</v>
      </c>
      <c r="W23" s="2344"/>
      <c r="X23" s="2234" t="s">
        <v>1872</v>
      </c>
      <c r="Y23" s="2334"/>
      <c r="Z23" s="2234" t="s">
        <v>1873</v>
      </c>
      <c r="AA23" s="2" t="s">
        <v>1874</v>
      </c>
      <c r="AD23" s="2301" t="s">
        <v>1870</v>
      </c>
      <c r="AE23" s="2302"/>
      <c r="AF23" s="2346" t="s">
        <v>1871</v>
      </c>
      <c r="AG23" s="2331"/>
      <c r="AH23" s="2234" t="s">
        <v>1872</v>
      </c>
      <c r="AI23" s="2334"/>
      <c r="AJ23" s="2234" t="s">
        <v>1873</v>
      </c>
    </row>
    <row r="24" spans="1:36" ht="14.25" customHeight="1" outlineLevel="1">
      <c r="A24" s="2303"/>
      <c r="B24" s="2304"/>
      <c r="C24" s="1749"/>
      <c r="D24" s="2331"/>
      <c r="E24" s="2331"/>
      <c r="F24" s="2333"/>
      <c r="G24" s="2333"/>
      <c r="H24" s="2334"/>
      <c r="I24" s="2334"/>
      <c r="J24" s="2338"/>
      <c r="K24" s="2" t="s">
        <v>1877</v>
      </c>
      <c r="L24" s="2294"/>
      <c r="M24" s="2294"/>
      <c r="N24" s="1749"/>
      <c r="O24" s="2295"/>
      <c r="P24" s="2295"/>
      <c r="Q24" s="219"/>
      <c r="R24" s="219"/>
      <c r="S24" s="219"/>
      <c r="T24" s="2303"/>
      <c r="U24" s="2304"/>
      <c r="V24" s="2303"/>
      <c r="W24" s="2345"/>
      <c r="X24" s="2334"/>
      <c r="Y24" s="2334"/>
      <c r="Z24" s="2338"/>
      <c r="AA24" s="2" t="s">
        <v>1877</v>
      </c>
      <c r="AD24" s="2303"/>
      <c r="AE24" s="2304"/>
      <c r="AF24" s="2331"/>
      <c r="AG24" s="2331"/>
      <c r="AH24" s="2334"/>
      <c r="AI24" s="2334"/>
      <c r="AJ24" s="2338"/>
    </row>
    <row r="25" spans="1:36" outlineLevel="1">
      <c r="A25" s="2312">
        <v>200</v>
      </c>
      <c r="B25" s="2335" t="s">
        <v>1878</v>
      </c>
      <c r="C25" s="2336">
        <v>0.01</v>
      </c>
      <c r="D25" s="693">
        <v>200</v>
      </c>
      <c r="E25" s="2" t="s">
        <v>1878</v>
      </c>
      <c r="F25" s="694">
        <v>1.999922</v>
      </c>
      <c r="G25" s="2" t="s">
        <v>1879</v>
      </c>
      <c r="H25" s="695">
        <f>F25/$C$25</f>
        <v>199.9922</v>
      </c>
      <c r="I25" s="696" t="str">
        <f>E25</f>
        <v>mA</v>
      </c>
      <c r="J25" s="696"/>
      <c r="K25" s="2" t="e">
        <f t="shared" ref="K25:K34" si="0">((T25/1.732)^2+((Q25/1000000*ABS(H25)+R25/1000000*U25)/2)^2++(S25/2)^2)^0.5*2</f>
        <v>#VALUE!</v>
      </c>
      <c r="L25" s="686">
        <v>85</v>
      </c>
      <c r="M25" s="686">
        <v>10</v>
      </c>
      <c r="N25" s="686">
        <v>1.0000000000000001E-5</v>
      </c>
      <c r="O25" s="686" t="e">
        <f ca="1">10^(-IF(CELL("format",I25)="G",0,VALUE(REPLACE(CELL("format",I25),1,1,))))/2</f>
        <v>#VALUE!</v>
      </c>
      <c r="P25" s="686">
        <v>2</v>
      </c>
      <c r="T25" s="2312">
        <v>200</v>
      </c>
      <c r="U25" s="2335" t="s">
        <v>1880</v>
      </c>
      <c r="V25" s="62">
        <v>200</v>
      </c>
      <c r="W25" t="s">
        <v>1881</v>
      </c>
      <c r="X25" s="695" t="e">
        <f>#REF!*100</f>
        <v>#REF!</v>
      </c>
      <c r="Y25" s="696" t="str">
        <f t="shared" ref="Y25:Y34" si="1">W25</f>
        <v>mA</v>
      </c>
      <c r="Z25" s="696"/>
      <c r="AA25" s="2" t="e">
        <f>((AJ25/1.732)^2+((AG25/1000000*ABS(X25)+AH25/1000000*#REF!)/2)^2++(AI25/2)^2)^0.5*2</f>
        <v>#VALUE!</v>
      </c>
      <c r="AD25" s="2312">
        <v>200</v>
      </c>
      <c r="AE25" s="2335" t="s">
        <v>1882</v>
      </c>
      <c r="AF25" s="133">
        <v>200</v>
      </c>
      <c r="AG25" s="638" t="s">
        <v>1882</v>
      </c>
      <c r="AH25" s="697" t="e">
        <f>#REF!*100</f>
        <v>#REF!</v>
      </c>
      <c r="AI25" s="63" t="str">
        <f t="shared" ref="AI25:AI34" si="2">AG25</f>
        <v>mA</v>
      </c>
      <c r="AJ25" s="696"/>
    </row>
    <row r="26" spans="1:36" outlineLevel="1">
      <c r="A26" s="2313"/>
      <c r="B26" s="2315"/>
      <c r="C26" s="1749"/>
      <c r="D26" s="693">
        <v>180</v>
      </c>
      <c r="E26" s="2" t="s">
        <v>1878</v>
      </c>
      <c r="F26" s="694">
        <v>1.7999057000000001</v>
      </c>
      <c r="G26" s="2" t="s">
        <v>1879</v>
      </c>
      <c r="H26" s="695">
        <f t="shared" ref="H26:H34" si="3">F26/$C$25</f>
        <v>179.99056999999999</v>
      </c>
      <c r="I26" s="696" t="str">
        <f t="shared" ref="I26:I34" si="4">E26</f>
        <v>mA</v>
      </c>
      <c r="J26" s="696"/>
      <c r="K26" s="2">
        <f t="shared" si="0"/>
        <v>0</v>
      </c>
      <c r="L26" s="686">
        <v>85</v>
      </c>
      <c r="M26" s="686">
        <v>10</v>
      </c>
      <c r="N26" s="686">
        <v>1.0000000000000001E-5</v>
      </c>
      <c r="O26" s="686" t="e">
        <f t="shared" ref="O26:O49" ca="1" si="5">10^(-IF(CELL("format",I26)="G",0,VALUE(REPLACE(CELL("format",I26),1,1,))))/2</f>
        <v>#VALUE!</v>
      </c>
      <c r="P26" s="686">
        <v>2</v>
      </c>
      <c r="T26" s="2313"/>
      <c r="U26" s="2315"/>
      <c r="V26" s="62">
        <v>180</v>
      </c>
      <c r="W26" t="s">
        <v>1883</v>
      </c>
      <c r="X26" s="695" t="e">
        <f>#REF!*100</f>
        <v>#REF!</v>
      </c>
      <c r="Y26" s="696" t="str">
        <f t="shared" si="1"/>
        <v>mA</v>
      </c>
      <c r="Z26" s="696"/>
      <c r="AA26" s="2" t="e">
        <f>((AJ26/1.732)^2+((AG26/1000000*ABS(X26)+AH26/1000000*#REF!)/2)^2++(AI26/2)^2)^0.5*2</f>
        <v>#VALUE!</v>
      </c>
      <c r="AD26" s="2313"/>
      <c r="AE26" s="2315"/>
      <c r="AF26" s="133">
        <v>180</v>
      </c>
      <c r="AG26" s="638" t="s">
        <v>1884</v>
      </c>
      <c r="AH26" s="697" t="e">
        <f>#REF!*100</f>
        <v>#REF!</v>
      </c>
      <c r="AI26" s="63" t="str">
        <f t="shared" si="2"/>
        <v>mA</v>
      </c>
      <c r="AJ26" s="696"/>
    </row>
    <row r="27" spans="1:36" outlineLevel="1">
      <c r="A27" s="2313"/>
      <c r="B27" s="2315"/>
      <c r="C27" s="1749"/>
      <c r="D27" s="693">
        <v>160</v>
      </c>
      <c r="E27" s="2" t="s">
        <v>1885</v>
      </c>
      <c r="F27" s="694">
        <v>1.5998979</v>
      </c>
      <c r="G27" s="2" t="s">
        <v>1886</v>
      </c>
      <c r="H27" s="695">
        <f t="shared" si="3"/>
        <v>159.98979</v>
      </c>
      <c r="I27" s="696" t="str">
        <f t="shared" si="4"/>
        <v>mA</v>
      </c>
      <c r="J27" s="696"/>
      <c r="K27" s="2">
        <f t="shared" si="0"/>
        <v>0</v>
      </c>
      <c r="L27" s="686">
        <v>85</v>
      </c>
      <c r="M27" s="686">
        <v>10</v>
      </c>
      <c r="N27" s="686">
        <v>1.0000000000000001E-5</v>
      </c>
      <c r="O27" s="686" t="e">
        <f t="shared" ca="1" si="5"/>
        <v>#VALUE!</v>
      </c>
      <c r="P27" s="686">
        <v>2</v>
      </c>
      <c r="T27" s="2313"/>
      <c r="U27" s="2315"/>
      <c r="V27" s="62">
        <v>160</v>
      </c>
      <c r="W27" t="s">
        <v>1885</v>
      </c>
      <c r="X27" s="695" t="e">
        <f>#REF!*100</f>
        <v>#REF!</v>
      </c>
      <c r="Y27" s="696" t="str">
        <f t="shared" si="1"/>
        <v>mA</v>
      </c>
      <c r="Z27" s="696"/>
      <c r="AA27" s="2" t="e">
        <f>((AJ27/1.732)^2+((AG27/1000000*ABS(X27)+AH27/1000000*#REF!)/2)^2++(AI27/2)^2)^0.5*2</f>
        <v>#VALUE!</v>
      </c>
      <c r="AD27" s="2313"/>
      <c r="AE27" s="2315"/>
      <c r="AF27" s="133">
        <v>160</v>
      </c>
      <c r="AG27" s="638" t="s">
        <v>1883</v>
      </c>
      <c r="AH27" s="697" t="e">
        <f>#REF!*100</f>
        <v>#REF!</v>
      </c>
      <c r="AI27" s="63" t="str">
        <f t="shared" si="2"/>
        <v>mA</v>
      </c>
      <c r="AJ27" s="696"/>
    </row>
    <row r="28" spans="1:36" outlineLevel="1">
      <c r="A28" s="2313"/>
      <c r="B28" s="2315"/>
      <c r="C28" s="1749"/>
      <c r="D28" s="693">
        <v>140</v>
      </c>
      <c r="E28" s="2" t="s">
        <v>1887</v>
      </c>
      <c r="F28" s="694">
        <v>1.3991009999999999</v>
      </c>
      <c r="G28" s="2" t="s">
        <v>1888</v>
      </c>
      <c r="H28" s="695">
        <f t="shared" si="3"/>
        <v>139.9101</v>
      </c>
      <c r="I28" s="696" t="str">
        <f t="shared" si="4"/>
        <v>mA</v>
      </c>
      <c r="J28" s="696"/>
      <c r="K28" s="2">
        <f t="shared" si="0"/>
        <v>0</v>
      </c>
      <c r="L28" s="686">
        <v>85</v>
      </c>
      <c r="M28" s="686">
        <v>10</v>
      </c>
      <c r="N28" s="686">
        <v>1.0000000000000001E-5</v>
      </c>
      <c r="O28" s="686" t="e">
        <f t="shared" ca="1" si="5"/>
        <v>#VALUE!</v>
      </c>
      <c r="P28" s="686">
        <v>2</v>
      </c>
      <c r="T28" s="2313"/>
      <c r="U28" s="2315"/>
      <c r="V28" s="62">
        <v>140</v>
      </c>
      <c r="W28" t="s">
        <v>1887</v>
      </c>
      <c r="X28" s="695" t="e">
        <f>#REF!*100</f>
        <v>#REF!</v>
      </c>
      <c r="Y28" s="696" t="str">
        <f t="shared" si="1"/>
        <v>mA</v>
      </c>
      <c r="Z28" s="696"/>
      <c r="AA28" s="2" t="e">
        <f>((AJ28/1.732)^2+((AG28/1000000*ABS(X28)+AH28/1000000*#REF!)/2)^2++(AI28/2)^2)^0.5*2</f>
        <v>#VALUE!</v>
      </c>
      <c r="AD28" s="2313"/>
      <c r="AE28" s="2315"/>
      <c r="AF28" s="133">
        <v>140</v>
      </c>
      <c r="AG28" s="638" t="s">
        <v>1885</v>
      </c>
      <c r="AH28" s="697" t="e">
        <f>#REF!*100</f>
        <v>#REF!</v>
      </c>
      <c r="AI28" s="63" t="str">
        <f t="shared" si="2"/>
        <v>mA</v>
      </c>
      <c r="AJ28" s="696"/>
    </row>
    <row r="29" spans="1:36" outlineLevel="1">
      <c r="A29" s="2313"/>
      <c r="B29" s="2315"/>
      <c r="C29" s="1749"/>
      <c r="D29" s="693">
        <v>120</v>
      </c>
      <c r="E29" s="2" t="s">
        <v>1883</v>
      </c>
      <c r="F29" s="694">
        <v>1.1999275</v>
      </c>
      <c r="G29" s="2" t="s">
        <v>1889</v>
      </c>
      <c r="H29" s="695">
        <f t="shared" si="3"/>
        <v>119.99275</v>
      </c>
      <c r="I29" s="696" t="str">
        <f t="shared" si="4"/>
        <v>mA</v>
      </c>
      <c r="J29" s="696"/>
      <c r="K29" s="2">
        <f t="shared" si="0"/>
        <v>0</v>
      </c>
      <c r="L29" s="686">
        <v>85</v>
      </c>
      <c r="M29" s="686">
        <v>10</v>
      </c>
      <c r="N29" s="686">
        <v>1.0000000000000001E-5</v>
      </c>
      <c r="O29" s="686" t="e">
        <f t="shared" ca="1" si="5"/>
        <v>#VALUE!</v>
      </c>
      <c r="P29" s="686">
        <v>2</v>
      </c>
      <c r="T29" s="2313"/>
      <c r="U29" s="2315"/>
      <c r="V29" s="62">
        <v>120</v>
      </c>
      <c r="W29" t="s">
        <v>1883</v>
      </c>
      <c r="X29" s="695" t="e">
        <f>#REF!*100</f>
        <v>#REF!</v>
      </c>
      <c r="Y29" s="696" t="str">
        <f t="shared" si="1"/>
        <v>mA</v>
      </c>
      <c r="Z29" s="696"/>
      <c r="AA29" s="2" t="e">
        <f>((AJ29/1.732)^2+((AG29/1000000*ABS(X29)+AH29/1000000*#REF!)/2)^2++(AI29/2)^2)^0.5*2</f>
        <v>#VALUE!</v>
      </c>
      <c r="AD29" s="2313"/>
      <c r="AE29" s="2315"/>
      <c r="AF29" s="133">
        <v>120</v>
      </c>
      <c r="AG29" s="638" t="s">
        <v>1890</v>
      </c>
      <c r="AH29" s="697" t="e">
        <f>#REF!*100</f>
        <v>#REF!</v>
      </c>
      <c r="AI29" s="63" t="str">
        <f t="shared" si="2"/>
        <v>mA</v>
      </c>
      <c r="AJ29" s="696"/>
    </row>
    <row r="30" spans="1:36" outlineLevel="1">
      <c r="A30" s="2313"/>
      <c r="B30" s="2315"/>
      <c r="C30" s="1749"/>
      <c r="D30" s="693">
        <v>100</v>
      </c>
      <c r="E30" s="2" t="s">
        <v>1891</v>
      </c>
      <c r="F30" s="694">
        <v>0.99993770000000004</v>
      </c>
      <c r="G30" s="2" t="s">
        <v>1892</v>
      </c>
      <c r="H30" s="695">
        <f t="shared" si="3"/>
        <v>99.993769999999998</v>
      </c>
      <c r="I30" s="696" t="str">
        <f t="shared" si="4"/>
        <v>mA</v>
      </c>
      <c r="J30" s="696"/>
      <c r="K30" s="2">
        <f t="shared" si="0"/>
        <v>0</v>
      </c>
      <c r="L30" s="686">
        <v>85</v>
      </c>
      <c r="M30" s="686">
        <v>10</v>
      </c>
      <c r="N30" s="686">
        <v>1.0000000000000001E-5</v>
      </c>
      <c r="O30" s="686" t="e">
        <f t="shared" ca="1" si="5"/>
        <v>#VALUE!</v>
      </c>
      <c r="P30" s="686">
        <v>2</v>
      </c>
      <c r="T30" s="2313"/>
      <c r="U30" s="2315"/>
      <c r="V30" s="62">
        <v>100</v>
      </c>
      <c r="W30" t="s">
        <v>1891</v>
      </c>
      <c r="X30" s="695" t="e">
        <f>#REF!*100</f>
        <v>#REF!</v>
      </c>
      <c r="Y30" s="696" t="str">
        <f t="shared" si="1"/>
        <v>mA</v>
      </c>
      <c r="Z30" s="696"/>
      <c r="AA30" s="2" t="e">
        <f>((AJ30/1.732)^2+((AG30/1000000*ABS(X30)+AH30/1000000*#REF!)/2)^2++(AI30/2)^2)^0.5*2</f>
        <v>#VALUE!</v>
      </c>
      <c r="AD30" s="2313"/>
      <c r="AE30" s="2315"/>
      <c r="AF30" s="133">
        <v>100</v>
      </c>
      <c r="AG30" s="638" t="s">
        <v>1883</v>
      </c>
      <c r="AH30" s="697" t="e">
        <f>#REF!*100</f>
        <v>#REF!</v>
      </c>
      <c r="AI30" s="63" t="str">
        <f t="shared" si="2"/>
        <v>mA</v>
      </c>
      <c r="AJ30" s="696"/>
    </row>
    <row r="31" spans="1:36" outlineLevel="1">
      <c r="A31" s="2313"/>
      <c r="B31" s="2315"/>
      <c r="C31" s="1749"/>
      <c r="D31" s="693">
        <v>80</v>
      </c>
      <c r="E31" s="2" t="s">
        <v>1893</v>
      </c>
      <c r="F31" s="694">
        <v>0.79994200000000004</v>
      </c>
      <c r="G31" s="2" t="s">
        <v>1894</v>
      </c>
      <c r="H31" s="695">
        <f t="shared" si="3"/>
        <v>79.994200000000006</v>
      </c>
      <c r="I31" s="696" t="str">
        <f t="shared" si="4"/>
        <v>mA</v>
      </c>
      <c r="J31" s="696"/>
      <c r="K31" s="2">
        <f t="shared" si="0"/>
        <v>0</v>
      </c>
      <c r="L31" s="686">
        <v>85</v>
      </c>
      <c r="M31" s="686">
        <v>10</v>
      </c>
      <c r="N31" s="686">
        <v>1.0000000000000001E-5</v>
      </c>
      <c r="O31" s="686" t="e">
        <f t="shared" ca="1" si="5"/>
        <v>#VALUE!</v>
      </c>
      <c r="P31" s="686">
        <v>2</v>
      </c>
      <c r="T31" s="2313"/>
      <c r="U31" s="2315"/>
      <c r="V31" s="62">
        <v>80</v>
      </c>
      <c r="W31" t="s">
        <v>1893</v>
      </c>
      <c r="X31" s="695" t="e">
        <f>#REF!*100</f>
        <v>#REF!</v>
      </c>
      <c r="Y31" s="696" t="str">
        <f t="shared" si="1"/>
        <v>mA</v>
      </c>
      <c r="Z31" s="696"/>
      <c r="AA31" s="2" t="e">
        <f>((AJ31/1.732)^2+((AG31/1000000*ABS(X31)+AH31/1000000*#REF!)/2)^2++(AI31/2)^2)^0.5*2</f>
        <v>#VALUE!</v>
      </c>
      <c r="AD31" s="2313"/>
      <c r="AE31" s="2315"/>
      <c r="AF31" s="133">
        <v>80</v>
      </c>
      <c r="AG31" s="638" t="s">
        <v>1895</v>
      </c>
      <c r="AH31" s="697" t="e">
        <f>#REF!*100</f>
        <v>#REF!</v>
      </c>
      <c r="AI31" s="63" t="str">
        <f t="shared" si="2"/>
        <v>mA</v>
      </c>
      <c r="AJ31" s="696"/>
    </row>
    <row r="32" spans="1:36" outlineLevel="1">
      <c r="A32" s="2313"/>
      <c r="B32" s="2315"/>
      <c r="C32" s="1749"/>
      <c r="D32" s="693">
        <v>60</v>
      </c>
      <c r="E32" s="2" t="s">
        <v>1896</v>
      </c>
      <c r="F32" s="694">
        <v>0.59996490000000002</v>
      </c>
      <c r="G32" s="2" t="s">
        <v>1897</v>
      </c>
      <c r="H32" s="695">
        <f t="shared" si="3"/>
        <v>59.996490000000001</v>
      </c>
      <c r="I32" s="696" t="str">
        <f t="shared" si="4"/>
        <v>mA</v>
      </c>
      <c r="J32" s="696"/>
      <c r="K32" s="2">
        <f t="shared" si="0"/>
        <v>0</v>
      </c>
      <c r="L32" s="686">
        <v>85</v>
      </c>
      <c r="M32" s="686">
        <v>10</v>
      </c>
      <c r="N32" s="686">
        <v>1.0000000000000001E-5</v>
      </c>
      <c r="O32" s="686" t="e">
        <f t="shared" ca="1" si="5"/>
        <v>#VALUE!</v>
      </c>
      <c r="P32" s="686">
        <v>2</v>
      </c>
      <c r="T32" s="2313"/>
      <c r="U32" s="2315"/>
      <c r="V32" s="62">
        <v>60</v>
      </c>
      <c r="W32" t="s">
        <v>1896</v>
      </c>
      <c r="X32" s="695" t="e">
        <f>#REF!*100</f>
        <v>#REF!</v>
      </c>
      <c r="Y32" s="696" t="str">
        <f t="shared" si="1"/>
        <v>mA</v>
      </c>
      <c r="Z32" s="696"/>
      <c r="AA32" s="2" t="e">
        <f>((AJ32/1.732)^2+((AG32/1000000*ABS(X32)+AH32/1000000*#REF!)/2)^2++(AI32/2)^2)^0.5*2</f>
        <v>#VALUE!</v>
      </c>
      <c r="AD32" s="2313"/>
      <c r="AE32" s="2315"/>
      <c r="AF32" s="133">
        <v>60</v>
      </c>
      <c r="AG32" s="638" t="s">
        <v>1893</v>
      </c>
      <c r="AH32" s="697" t="e">
        <f>#REF!*100</f>
        <v>#REF!</v>
      </c>
      <c r="AI32" s="63" t="str">
        <f t="shared" si="2"/>
        <v>mA</v>
      </c>
      <c r="AJ32" s="696"/>
    </row>
    <row r="33" spans="1:36" outlineLevel="1">
      <c r="A33" s="2313"/>
      <c r="B33" s="2315"/>
      <c r="C33" s="1749"/>
      <c r="D33" s="693">
        <v>40</v>
      </c>
      <c r="E33" s="2" t="s">
        <v>1885</v>
      </c>
      <c r="F33" s="694">
        <v>0.39998250000000002</v>
      </c>
      <c r="G33" s="2" t="s">
        <v>1886</v>
      </c>
      <c r="H33" s="695">
        <f t="shared" si="3"/>
        <v>39.998249999999999</v>
      </c>
      <c r="I33" s="696" t="str">
        <f t="shared" si="4"/>
        <v>mA</v>
      </c>
      <c r="J33" s="696"/>
      <c r="K33" s="2">
        <f t="shared" si="0"/>
        <v>0</v>
      </c>
      <c r="L33" s="686">
        <v>85</v>
      </c>
      <c r="M33" s="686">
        <v>10</v>
      </c>
      <c r="N33" s="686">
        <v>1.0000000000000001E-5</v>
      </c>
      <c r="O33" s="686" t="e">
        <f t="shared" ca="1" si="5"/>
        <v>#VALUE!</v>
      </c>
      <c r="P33" s="686">
        <v>2</v>
      </c>
      <c r="T33" s="2313"/>
      <c r="U33" s="2315"/>
      <c r="V33" s="62">
        <v>40</v>
      </c>
      <c r="W33" t="s">
        <v>1885</v>
      </c>
      <c r="X33" s="695" t="e">
        <f>#REF!*100</f>
        <v>#REF!</v>
      </c>
      <c r="Y33" s="696" t="str">
        <f t="shared" si="1"/>
        <v>mA</v>
      </c>
      <c r="Z33" s="696"/>
      <c r="AA33" s="2" t="e">
        <f>((AJ33/1.732)^2+((AG33/1000000*ABS(X33)+AH33/1000000*#REF!)/2)^2++(AI33/2)^2)^0.5*2</f>
        <v>#VALUE!</v>
      </c>
      <c r="AD33" s="2313"/>
      <c r="AE33" s="2315"/>
      <c r="AF33" s="133">
        <v>40</v>
      </c>
      <c r="AG33" s="638" t="s">
        <v>1898</v>
      </c>
      <c r="AH33" s="697" t="e">
        <f>#REF!*100</f>
        <v>#REF!</v>
      </c>
      <c r="AI33" s="63" t="str">
        <f t="shared" si="2"/>
        <v>mA</v>
      </c>
      <c r="AJ33" s="696"/>
    </row>
    <row r="34" spans="1:36" outlineLevel="1">
      <c r="A34" s="2313"/>
      <c r="B34" s="2315"/>
      <c r="C34" s="2337"/>
      <c r="D34" s="693">
        <v>20</v>
      </c>
      <c r="E34" s="2" t="s">
        <v>1878</v>
      </c>
      <c r="F34" s="694">
        <v>0.1999918</v>
      </c>
      <c r="G34" s="2" t="s">
        <v>1879</v>
      </c>
      <c r="H34" s="695">
        <f t="shared" si="3"/>
        <v>19.999179999999999</v>
      </c>
      <c r="I34" s="696" t="str">
        <f t="shared" si="4"/>
        <v>mA</v>
      </c>
      <c r="J34" s="696"/>
      <c r="K34" s="2">
        <f t="shared" si="0"/>
        <v>0</v>
      </c>
      <c r="L34" s="686">
        <v>85</v>
      </c>
      <c r="M34" s="686">
        <v>10</v>
      </c>
      <c r="N34" s="686">
        <v>1.0000000000000001E-5</v>
      </c>
      <c r="O34" s="686" t="e">
        <f t="shared" ca="1" si="5"/>
        <v>#VALUE!</v>
      </c>
      <c r="P34" s="686">
        <v>2</v>
      </c>
      <c r="T34" s="2313"/>
      <c r="U34" s="2315"/>
      <c r="V34" s="62">
        <v>20</v>
      </c>
      <c r="W34" t="s">
        <v>1878</v>
      </c>
      <c r="X34" s="695" t="e">
        <f>#REF!*100</f>
        <v>#REF!</v>
      </c>
      <c r="Y34" s="696" t="str">
        <f t="shared" si="1"/>
        <v>mA</v>
      </c>
      <c r="Z34" s="696"/>
      <c r="AA34" s="2" t="e">
        <f>((AJ34/1.732)^2+((AG34/1000000*ABS(X34)+AH34/1000000*#REF!)/2)^2++(AI34/2)^2)^0.5*2</f>
        <v>#VALUE!</v>
      </c>
      <c r="AD34" s="2313"/>
      <c r="AE34" s="2315"/>
      <c r="AF34" s="133">
        <v>20</v>
      </c>
      <c r="AG34" s="638" t="s">
        <v>1899</v>
      </c>
      <c r="AH34" s="697" t="e">
        <f>#REF!*100</f>
        <v>#REF!</v>
      </c>
      <c r="AI34" s="63" t="str">
        <f t="shared" si="2"/>
        <v>mA</v>
      </c>
      <c r="AJ34" s="696"/>
    </row>
    <row r="35" spans="1:36" outlineLevel="1">
      <c r="A35" s="2316">
        <v>200</v>
      </c>
      <c r="B35" s="2319" t="s">
        <v>1900</v>
      </c>
      <c r="C35" s="1820" t="s">
        <v>1901</v>
      </c>
      <c r="D35" s="44">
        <v>200</v>
      </c>
      <c r="E35" s="64" t="s">
        <v>77</v>
      </c>
      <c r="F35" s="44">
        <v>199.95872</v>
      </c>
      <c r="G35" s="65" t="s">
        <v>77</v>
      </c>
      <c r="H35" s="44">
        <f t="shared" ref="H35:H46" si="6">F35</f>
        <v>199.95872</v>
      </c>
      <c r="I35" s="65" t="s">
        <v>77</v>
      </c>
      <c r="J35" s="65"/>
      <c r="K35" s="66" t="e">
        <f t="shared" ref="K35:K43" si="7">((T35/1.732)^2+((Q35/1000000*ABS(H35)+R35/1000000*U35)/2)^2)^0.5*2</f>
        <v>#VALUE!</v>
      </c>
      <c r="L35" s="686">
        <v>280</v>
      </c>
      <c r="M35" s="686">
        <v>100</v>
      </c>
      <c r="N35" t="s">
        <v>1902</v>
      </c>
      <c r="O35" s="686" t="e">
        <f t="shared" ca="1" si="5"/>
        <v>#VALUE!</v>
      </c>
      <c r="P35" s="686">
        <v>200</v>
      </c>
      <c r="T35" s="2316">
        <v>200</v>
      </c>
      <c r="U35" s="2319" t="s">
        <v>1903</v>
      </c>
      <c r="V35" s="44">
        <v>200</v>
      </c>
      <c r="W35" s="64" t="s">
        <v>77</v>
      </c>
      <c r="X35" s="44" t="e">
        <f>#REF!</f>
        <v>#REF!</v>
      </c>
      <c r="Y35" s="65" t="s">
        <v>77</v>
      </c>
      <c r="Z35" s="65"/>
      <c r="AA35" s="66" t="e">
        <f>((AJ35/1.732)^2+((AG35/1000000*ABS(X35)+AH35/1000000*#REF!)/2)^2)^0.5*2</f>
        <v>#VALUE!</v>
      </c>
      <c r="AD35" s="2316">
        <v>200</v>
      </c>
      <c r="AE35" s="2319" t="s">
        <v>1904</v>
      </c>
      <c r="AF35" s="44">
        <v>200</v>
      </c>
      <c r="AG35" s="64" t="s">
        <v>77</v>
      </c>
      <c r="AH35" s="44" t="e">
        <f>#REF!</f>
        <v>#REF!</v>
      </c>
      <c r="AI35" s="65" t="s">
        <v>77</v>
      </c>
      <c r="AJ35" s="65"/>
    </row>
    <row r="36" spans="1:36" outlineLevel="1">
      <c r="A36" s="2317"/>
      <c r="B36" s="1742"/>
      <c r="C36" s="2339"/>
      <c r="D36" s="44">
        <v>100</v>
      </c>
      <c r="E36" s="64" t="s">
        <v>77</v>
      </c>
      <c r="F36" s="44">
        <v>99.979259999999996</v>
      </c>
      <c r="G36" s="65" t="s">
        <v>77</v>
      </c>
      <c r="H36" s="44">
        <f t="shared" si="6"/>
        <v>99.979259999999996</v>
      </c>
      <c r="I36" s="65" t="s">
        <v>77</v>
      </c>
      <c r="J36" s="65"/>
      <c r="K36" s="66">
        <f t="shared" si="7"/>
        <v>0</v>
      </c>
      <c r="L36" s="686">
        <v>280</v>
      </c>
      <c r="M36" s="686">
        <v>100</v>
      </c>
      <c r="N36" t="s">
        <v>1905</v>
      </c>
      <c r="O36" s="686" t="e">
        <f t="shared" ca="1" si="5"/>
        <v>#VALUE!</v>
      </c>
      <c r="P36" s="686">
        <v>200</v>
      </c>
      <c r="T36" s="2317"/>
      <c r="U36" s="1742"/>
      <c r="V36" s="44">
        <v>100</v>
      </c>
      <c r="W36" s="64" t="s">
        <v>77</v>
      </c>
      <c r="X36" s="44" t="e">
        <f>#REF!</f>
        <v>#REF!</v>
      </c>
      <c r="Y36" s="65" t="s">
        <v>77</v>
      </c>
      <c r="Z36" s="65"/>
      <c r="AA36" s="66" t="e">
        <f>((AJ36/1.732)^2+((AG36/1000000*ABS(X36)+AH36/1000000*#REF!)/2)^2)^0.5*2</f>
        <v>#VALUE!</v>
      </c>
      <c r="AD36" s="2317"/>
      <c r="AE36" s="1742"/>
      <c r="AF36" s="44">
        <v>100</v>
      </c>
      <c r="AG36" s="64" t="s">
        <v>77</v>
      </c>
      <c r="AH36" s="44" t="e">
        <f>#REF!</f>
        <v>#REF!</v>
      </c>
      <c r="AI36" s="65" t="s">
        <v>77</v>
      </c>
      <c r="AJ36" s="65"/>
    </row>
    <row r="37" spans="1:36" outlineLevel="1">
      <c r="A37" s="2318"/>
      <c r="B37" s="1743"/>
      <c r="C37" s="2340"/>
      <c r="D37" s="44">
        <v>20</v>
      </c>
      <c r="E37" s="64" t="s">
        <v>77</v>
      </c>
      <c r="F37" s="44">
        <v>19.996320000000001</v>
      </c>
      <c r="G37" s="65" t="s">
        <v>77</v>
      </c>
      <c r="H37" s="44">
        <f t="shared" si="6"/>
        <v>19.996320000000001</v>
      </c>
      <c r="I37" s="65" t="s">
        <v>77</v>
      </c>
      <c r="J37" s="65"/>
      <c r="K37" s="66">
        <f t="shared" si="7"/>
        <v>0</v>
      </c>
      <c r="L37" s="686">
        <v>280</v>
      </c>
      <c r="M37" s="686">
        <v>100</v>
      </c>
      <c r="N37" t="s">
        <v>1906</v>
      </c>
      <c r="O37" s="686" t="e">
        <f t="shared" ca="1" si="5"/>
        <v>#VALUE!</v>
      </c>
      <c r="P37" s="686">
        <v>200</v>
      </c>
      <c r="T37" s="2318"/>
      <c r="U37" s="1743"/>
      <c r="V37" s="44">
        <v>20</v>
      </c>
      <c r="W37" s="64" t="s">
        <v>77</v>
      </c>
      <c r="X37" s="44" t="e">
        <f>#REF!</f>
        <v>#REF!</v>
      </c>
      <c r="Y37" s="65" t="s">
        <v>77</v>
      </c>
      <c r="Z37" s="65"/>
      <c r="AA37" s="66" t="e">
        <f>((AJ37/1.732)^2+((AG37/1000000*ABS(X37)+AH37/1000000*#REF!)/2)^2)^0.5*2</f>
        <v>#VALUE!</v>
      </c>
      <c r="AD37" s="2318"/>
      <c r="AE37" s="1743"/>
      <c r="AF37" s="44">
        <v>20</v>
      </c>
      <c r="AG37" s="64" t="s">
        <v>77</v>
      </c>
      <c r="AH37" s="44" t="e">
        <f>#REF!</f>
        <v>#REF!</v>
      </c>
      <c r="AI37" s="65" t="s">
        <v>77</v>
      </c>
      <c r="AJ37" s="65"/>
    </row>
    <row r="38" spans="1:36" outlineLevel="1">
      <c r="A38" s="2316">
        <v>2</v>
      </c>
      <c r="B38" s="2319" t="s">
        <v>1884</v>
      </c>
      <c r="C38" s="2339" t="s">
        <v>1905</v>
      </c>
      <c r="D38" s="49">
        <v>2</v>
      </c>
      <c r="E38" s="67" t="s">
        <v>78</v>
      </c>
      <c r="F38" s="49">
        <v>1.9996263999999999</v>
      </c>
      <c r="G38" s="65" t="s">
        <v>78</v>
      </c>
      <c r="H38" s="49">
        <f t="shared" si="6"/>
        <v>1.9996263999999999</v>
      </c>
      <c r="I38" s="65" t="s">
        <v>78</v>
      </c>
      <c r="J38" s="65"/>
      <c r="K38" s="68" t="e">
        <f t="shared" si="7"/>
        <v>#VALUE!</v>
      </c>
      <c r="L38" s="686">
        <v>280</v>
      </c>
      <c r="M38" s="686">
        <v>100</v>
      </c>
      <c r="N38" t="s">
        <v>1905</v>
      </c>
      <c r="O38" s="686" t="e">
        <f t="shared" ca="1" si="5"/>
        <v>#VALUE!</v>
      </c>
      <c r="P38" s="686">
        <v>2</v>
      </c>
      <c r="T38" s="2316">
        <v>2</v>
      </c>
      <c r="U38" s="2319" t="s">
        <v>1883</v>
      </c>
      <c r="V38" s="49">
        <v>2</v>
      </c>
      <c r="W38" s="67" t="s">
        <v>78</v>
      </c>
      <c r="X38" s="49" t="e">
        <f>#REF!</f>
        <v>#REF!</v>
      </c>
      <c r="Y38" s="65" t="s">
        <v>78</v>
      </c>
      <c r="Z38" s="65"/>
      <c r="AA38" s="68" t="e">
        <f>((AJ38/1.732)^2+((AG38/1000000*ABS(X38)+AH38/1000000*#REF!)/2)^2)^0.5*2</f>
        <v>#VALUE!</v>
      </c>
      <c r="AD38" s="2316">
        <v>2</v>
      </c>
      <c r="AE38" s="2319" t="s">
        <v>1883</v>
      </c>
      <c r="AF38" s="49">
        <v>2</v>
      </c>
      <c r="AG38" s="67" t="s">
        <v>78</v>
      </c>
      <c r="AH38" s="49" t="e">
        <f>#REF!</f>
        <v>#REF!</v>
      </c>
      <c r="AI38" s="65" t="s">
        <v>78</v>
      </c>
      <c r="AJ38" s="65"/>
    </row>
    <row r="39" spans="1:36" outlineLevel="1">
      <c r="A39" s="2317"/>
      <c r="B39" s="1742"/>
      <c r="C39" s="2339"/>
      <c r="D39" s="49">
        <v>1</v>
      </c>
      <c r="E39" s="67" t="s">
        <v>78</v>
      </c>
      <c r="F39" s="49">
        <v>0.99981439999999999</v>
      </c>
      <c r="G39" s="65" t="s">
        <v>78</v>
      </c>
      <c r="H39" s="49">
        <f t="shared" si="6"/>
        <v>0.99981439999999999</v>
      </c>
      <c r="I39" s="65" t="s">
        <v>78</v>
      </c>
      <c r="J39" s="65"/>
      <c r="K39" s="68">
        <f t="shared" si="7"/>
        <v>0</v>
      </c>
      <c r="L39" s="686">
        <v>280</v>
      </c>
      <c r="M39" s="686">
        <v>100</v>
      </c>
      <c r="N39" t="s">
        <v>1905</v>
      </c>
      <c r="O39" s="686" t="e">
        <f t="shared" ca="1" si="5"/>
        <v>#VALUE!</v>
      </c>
      <c r="P39" s="686">
        <v>2</v>
      </c>
      <c r="T39" s="2317"/>
      <c r="U39" s="1742"/>
      <c r="V39" s="49">
        <v>1</v>
      </c>
      <c r="W39" s="67" t="s">
        <v>78</v>
      </c>
      <c r="X39" s="49" t="e">
        <f>#REF!</f>
        <v>#REF!</v>
      </c>
      <c r="Y39" s="65" t="s">
        <v>78</v>
      </c>
      <c r="Z39" s="65"/>
      <c r="AA39" s="68" t="e">
        <f>((AJ39/1.732)^2+((AG39/1000000*ABS(X39)+AH39/1000000*#REF!)/2)^2)^0.5*2</f>
        <v>#VALUE!</v>
      </c>
      <c r="AD39" s="2317"/>
      <c r="AE39" s="1742"/>
      <c r="AF39" s="49">
        <v>1</v>
      </c>
      <c r="AG39" s="67" t="s">
        <v>78</v>
      </c>
      <c r="AH39" s="49" t="e">
        <f>#REF!</f>
        <v>#REF!</v>
      </c>
      <c r="AI39" s="65" t="s">
        <v>78</v>
      </c>
      <c r="AJ39" s="65"/>
    </row>
    <row r="40" spans="1:36" outlineLevel="1">
      <c r="A40" s="2318"/>
      <c r="B40" s="1742"/>
      <c r="C40" s="2340"/>
      <c r="D40" s="49">
        <v>0.2</v>
      </c>
      <c r="E40" s="67" t="s">
        <v>78</v>
      </c>
      <c r="F40" s="49">
        <v>0.19997139999999999</v>
      </c>
      <c r="G40" s="65" t="s">
        <v>78</v>
      </c>
      <c r="H40" s="49">
        <f t="shared" si="6"/>
        <v>0.19997139999999999</v>
      </c>
      <c r="I40" s="65" t="s">
        <v>78</v>
      </c>
      <c r="J40" s="65"/>
      <c r="K40" s="68">
        <f t="shared" si="7"/>
        <v>0</v>
      </c>
      <c r="L40" s="686">
        <v>280</v>
      </c>
      <c r="M40" s="686">
        <v>100</v>
      </c>
      <c r="N40" t="s">
        <v>1907</v>
      </c>
      <c r="O40" s="686" t="e">
        <f t="shared" ca="1" si="5"/>
        <v>#VALUE!</v>
      </c>
      <c r="P40" s="686">
        <v>2</v>
      </c>
      <c r="T40" s="2318"/>
      <c r="U40" s="1742"/>
      <c r="V40" s="49">
        <v>0.2</v>
      </c>
      <c r="W40" s="67" t="s">
        <v>78</v>
      </c>
      <c r="X40" s="49" t="e">
        <f>#REF!</f>
        <v>#REF!</v>
      </c>
      <c r="Y40" s="65" t="s">
        <v>78</v>
      </c>
      <c r="Z40" s="65"/>
      <c r="AA40" s="68" t="e">
        <f>((AJ40/1.732)^2+((AG40/1000000*ABS(X40)+AH40/1000000*#REF!)/2)^2)^0.5*2</f>
        <v>#VALUE!</v>
      </c>
      <c r="AD40" s="2318"/>
      <c r="AE40" s="1742"/>
      <c r="AF40" s="49">
        <v>0.2</v>
      </c>
      <c r="AG40" s="67" t="s">
        <v>78</v>
      </c>
      <c r="AH40" s="49" t="e">
        <f>#REF!</f>
        <v>#REF!</v>
      </c>
      <c r="AI40" s="65" t="s">
        <v>78</v>
      </c>
      <c r="AJ40" s="65"/>
    </row>
    <row r="41" spans="1:36" outlineLevel="1">
      <c r="A41" s="2316">
        <v>20</v>
      </c>
      <c r="B41" s="2319" t="s">
        <v>1878</v>
      </c>
      <c r="C41" s="2339" t="s">
        <v>1908</v>
      </c>
      <c r="D41" s="69">
        <v>20</v>
      </c>
      <c r="E41" s="67" t="s">
        <v>78</v>
      </c>
      <c r="F41" s="69">
        <v>19.991309999999999</v>
      </c>
      <c r="G41" s="65" t="s">
        <v>78</v>
      </c>
      <c r="H41" s="69">
        <f t="shared" si="6"/>
        <v>19.991309999999999</v>
      </c>
      <c r="I41" s="65" t="s">
        <v>78</v>
      </c>
      <c r="J41" s="65"/>
      <c r="K41" s="70" t="e">
        <f t="shared" si="7"/>
        <v>#VALUE!</v>
      </c>
      <c r="L41" s="686">
        <v>280</v>
      </c>
      <c r="M41" s="686">
        <v>100</v>
      </c>
      <c r="N41" t="s">
        <v>1908</v>
      </c>
      <c r="O41" s="686" t="e">
        <f t="shared" ca="1" si="5"/>
        <v>#VALUE!</v>
      </c>
      <c r="P41" s="686">
        <v>20</v>
      </c>
      <c r="T41" s="2316">
        <v>20</v>
      </c>
      <c r="U41" s="2319" t="s">
        <v>1878</v>
      </c>
      <c r="V41" s="69">
        <v>20</v>
      </c>
      <c r="W41" s="67" t="s">
        <v>78</v>
      </c>
      <c r="X41" s="69" t="e">
        <f>#REF!</f>
        <v>#REF!</v>
      </c>
      <c r="Y41" s="65" t="s">
        <v>78</v>
      </c>
      <c r="Z41" s="65"/>
      <c r="AA41" s="70" t="e">
        <f>((AJ41/1.732)^2+((AG41/1000000*ABS(X41)+AH41/1000000*#REF!)/2)^2)^0.5*2</f>
        <v>#VALUE!</v>
      </c>
      <c r="AD41" s="2316">
        <v>20</v>
      </c>
      <c r="AE41" s="2319" t="s">
        <v>1909</v>
      </c>
      <c r="AF41" s="69">
        <v>20</v>
      </c>
      <c r="AG41" s="67" t="s">
        <v>78</v>
      </c>
      <c r="AH41" s="69" t="e">
        <f>#REF!</f>
        <v>#REF!</v>
      </c>
      <c r="AI41" s="65" t="s">
        <v>78</v>
      </c>
      <c r="AJ41" s="65"/>
    </row>
    <row r="42" spans="1:36" outlineLevel="1">
      <c r="A42" s="2317"/>
      <c r="B42" s="1742"/>
      <c r="C42" s="2339"/>
      <c r="D42" s="69">
        <v>10</v>
      </c>
      <c r="E42" s="67" t="s">
        <v>78</v>
      </c>
      <c r="F42" s="69">
        <v>9.9996679999999998</v>
      </c>
      <c r="G42" s="65" t="s">
        <v>78</v>
      </c>
      <c r="H42" s="69">
        <f t="shared" si="6"/>
        <v>9.9996679999999998</v>
      </c>
      <c r="I42" s="65" t="s">
        <v>78</v>
      </c>
      <c r="J42" s="65"/>
      <c r="K42" s="70">
        <f t="shared" si="7"/>
        <v>0</v>
      </c>
      <c r="L42" s="686">
        <v>280</v>
      </c>
      <c r="M42" s="686">
        <v>100</v>
      </c>
      <c r="N42" t="s">
        <v>1910</v>
      </c>
      <c r="O42" s="686" t="e">
        <f t="shared" ca="1" si="5"/>
        <v>#VALUE!</v>
      </c>
      <c r="P42" s="686">
        <v>20</v>
      </c>
      <c r="T42" s="2317"/>
      <c r="U42" s="1742"/>
      <c r="V42" s="69">
        <v>10</v>
      </c>
      <c r="W42" s="67" t="s">
        <v>78</v>
      </c>
      <c r="X42" s="69" t="e">
        <f>#REF!</f>
        <v>#REF!</v>
      </c>
      <c r="Y42" s="65" t="s">
        <v>78</v>
      </c>
      <c r="Z42" s="65"/>
      <c r="AA42" s="70" t="e">
        <f>((AJ42/1.732)^2+((AG42/1000000*ABS(X42)+AH42/1000000*#REF!)/2)^2)^0.5*2</f>
        <v>#VALUE!</v>
      </c>
      <c r="AD42" s="2317"/>
      <c r="AE42" s="1742"/>
      <c r="AF42" s="69">
        <v>10</v>
      </c>
      <c r="AG42" s="67" t="s">
        <v>78</v>
      </c>
      <c r="AH42" s="69" t="e">
        <f>#REF!</f>
        <v>#REF!</v>
      </c>
      <c r="AI42" s="65" t="s">
        <v>78</v>
      </c>
      <c r="AJ42" s="65"/>
    </row>
    <row r="43" spans="1:36" outlineLevel="1">
      <c r="A43" s="2318"/>
      <c r="B43" s="1742"/>
      <c r="C43" s="2340"/>
      <c r="D43" s="69">
        <v>2</v>
      </c>
      <c r="E43" s="67" t="s">
        <v>78</v>
      </c>
      <c r="F43" s="69">
        <v>2.0003160000000002</v>
      </c>
      <c r="G43" s="65" t="s">
        <v>78</v>
      </c>
      <c r="H43" s="69">
        <f t="shared" si="6"/>
        <v>2.0003160000000002</v>
      </c>
      <c r="I43" s="65" t="s">
        <v>78</v>
      </c>
      <c r="J43" s="65"/>
      <c r="K43" s="70">
        <f t="shared" si="7"/>
        <v>0</v>
      </c>
      <c r="L43" s="686">
        <v>280</v>
      </c>
      <c r="M43" s="686">
        <v>100</v>
      </c>
      <c r="N43" t="s">
        <v>1905</v>
      </c>
      <c r="O43" s="686" t="e">
        <f t="shared" ca="1" si="5"/>
        <v>#VALUE!</v>
      </c>
      <c r="P43" s="686">
        <v>20</v>
      </c>
      <c r="T43" s="2318"/>
      <c r="U43" s="1742"/>
      <c r="V43" s="69">
        <v>2</v>
      </c>
      <c r="W43" s="67" t="s">
        <v>78</v>
      </c>
      <c r="X43" s="69" t="e">
        <f>#REF!</f>
        <v>#REF!</v>
      </c>
      <c r="Y43" s="65" t="s">
        <v>78</v>
      </c>
      <c r="Z43" s="65"/>
      <c r="AA43" s="70" t="e">
        <f>((AJ43/1.732)^2+((AG43/1000000*ABS(X43)+AH43/1000000*#REF!)/2)^2)^0.5*2</f>
        <v>#VALUE!</v>
      </c>
      <c r="AD43" s="2318"/>
      <c r="AE43" s="1742"/>
      <c r="AF43" s="69">
        <v>2</v>
      </c>
      <c r="AG43" s="67" t="s">
        <v>78</v>
      </c>
      <c r="AH43" s="69" t="e">
        <f>#REF!</f>
        <v>#REF!</v>
      </c>
      <c r="AI43" s="65" t="s">
        <v>78</v>
      </c>
      <c r="AJ43" s="65"/>
    </row>
    <row r="44" spans="1:36" outlineLevel="1">
      <c r="A44" s="2316">
        <v>2</v>
      </c>
      <c r="B44" s="2319" t="s">
        <v>1911</v>
      </c>
      <c r="C44" s="2339">
        <v>1E-3</v>
      </c>
      <c r="D44" s="49">
        <v>2</v>
      </c>
      <c r="E44" s="71" t="s">
        <v>79</v>
      </c>
      <c r="F44" s="49">
        <v>1.9995350000000001</v>
      </c>
      <c r="G44" s="65" t="s">
        <v>1912</v>
      </c>
      <c r="H44" s="49">
        <f t="shared" si="6"/>
        <v>1.9995350000000001</v>
      </c>
      <c r="I44" s="72" t="s">
        <v>79</v>
      </c>
      <c r="J44" s="72"/>
      <c r="K44" s="73" t="e">
        <f>((T44/1.732)^2+((Q44/1000000*ABS(H44)+R44/1000000*U44)/2)^2+(S44/2)^2)^0.5*2</f>
        <v>#VALUE!</v>
      </c>
      <c r="L44" s="686">
        <v>110</v>
      </c>
      <c r="M44" s="686">
        <v>20</v>
      </c>
      <c r="N44" s="686">
        <v>1E-4</v>
      </c>
      <c r="O44" s="686" t="e">
        <f t="shared" ca="1" si="5"/>
        <v>#VALUE!</v>
      </c>
      <c r="P44" s="686">
        <v>200</v>
      </c>
      <c r="T44" s="2316">
        <v>2</v>
      </c>
      <c r="U44" s="2319" t="s">
        <v>1911</v>
      </c>
      <c r="V44" s="49">
        <v>2</v>
      </c>
      <c r="W44" s="71" t="s">
        <v>79</v>
      </c>
      <c r="X44" s="49" t="e">
        <f>#REF!</f>
        <v>#REF!</v>
      </c>
      <c r="Y44" s="72" t="s">
        <v>79</v>
      </c>
      <c r="Z44" s="72"/>
      <c r="AA44" s="73" t="e">
        <f>((AJ44/1.732)^2+((AG44/1000000*ABS(X44)+AH44/1000000*#REF!)/2)^2+(AI44/2)^2)^0.5*2</f>
        <v>#VALUE!</v>
      </c>
      <c r="AD44" s="2316">
        <v>2</v>
      </c>
      <c r="AE44" s="2319" t="s">
        <v>1913</v>
      </c>
      <c r="AF44" s="49">
        <v>2</v>
      </c>
      <c r="AG44" s="71" t="s">
        <v>79</v>
      </c>
      <c r="AH44" s="49" t="e">
        <f>#REF!</f>
        <v>#REF!</v>
      </c>
      <c r="AI44" s="72" t="s">
        <v>79</v>
      </c>
      <c r="AJ44" s="72"/>
    </row>
    <row r="45" spans="1:36" outlineLevel="1">
      <c r="A45" s="2317"/>
      <c r="B45" s="1742"/>
      <c r="C45" s="2339"/>
      <c r="D45" s="49">
        <v>1</v>
      </c>
      <c r="E45" s="71" t="s">
        <v>79</v>
      </c>
      <c r="F45" s="49">
        <v>0.999525</v>
      </c>
      <c r="G45" s="65" t="s">
        <v>1914</v>
      </c>
      <c r="H45" s="49">
        <f t="shared" si="6"/>
        <v>0.999525</v>
      </c>
      <c r="I45" s="72" t="s">
        <v>79</v>
      </c>
      <c r="J45" s="72"/>
      <c r="K45" s="73">
        <f>((T45/1.732)^2+((Q45/1000000*ABS(H45)+R45/1000000*U45)/2)^2+(S45/2)^2)^0.5*2</f>
        <v>0</v>
      </c>
      <c r="L45" s="686">
        <v>110</v>
      </c>
      <c r="M45" s="686">
        <v>20</v>
      </c>
      <c r="N45" s="686">
        <v>1E-4</v>
      </c>
      <c r="O45" s="686" t="e">
        <f t="shared" ca="1" si="5"/>
        <v>#VALUE!</v>
      </c>
      <c r="P45" s="686">
        <v>200</v>
      </c>
      <c r="T45" s="2317"/>
      <c r="U45" s="1742"/>
      <c r="V45" s="49">
        <v>1</v>
      </c>
      <c r="W45" s="71" t="s">
        <v>79</v>
      </c>
      <c r="X45" s="49" t="e">
        <f>#REF!</f>
        <v>#REF!</v>
      </c>
      <c r="Y45" s="72" t="s">
        <v>79</v>
      </c>
      <c r="Z45" s="72"/>
      <c r="AA45" s="73" t="e">
        <f>((AJ45/1.732)^2+((AG45/1000000*ABS(X45)+AH45/1000000*#REF!)/2)^2+(AI45/2)^2)^0.5*2</f>
        <v>#VALUE!</v>
      </c>
      <c r="AD45" s="2317"/>
      <c r="AE45" s="1742"/>
      <c r="AF45" s="49">
        <v>1</v>
      </c>
      <c r="AG45" s="71" t="s">
        <v>79</v>
      </c>
      <c r="AH45" s="49" t="e">
        <f>#REF!</f>
        <v>#REF!</v>
      </c>
      <c r="AI45" s="72" t="s">
        <v>79</v>
      </c>
      <c r="AJ45" s="72"/>
    </row>
    <row r="46" spans="1:36" outlineLevel="1">
      <c r="A46" s="2318"/>
      <c r="B46" s="1743"/>
      <c r="C46" s="2340"/>
      <c r="D46" s="49">
        <v>0.2</v>
      </c>
      <c r="E46" s="71" t="s">
        <v>79</v>
      </c>
      <c r="F46" s="49">
        <v>0.19925200000000001</v>
      </c>
      <c r="G46" s="65" t="s">
        <v>1915</v>
      </c>
      <c r="H46" s="49">
        <f t="shared" si="6"/>
        <v>0.19925200000000001</v>
      </c>
      <c r="I46" s="72" t="s">
        <v>79</v>
      </c>
      <c r="J46" s="72"/>
      <c r="K46" s="73">
        <f>((T46/1.732)^2+((Q46/1000000*ABS(H46)+R46/1000000*U46)/2)^2+(S46/2)^2)^0.5*2</f>
        <v>0</v>
      </c>
      <c r="L46" s="2">
        <v>110</v>
      </c>
      <c r="M46" s="2">
        <v>20</v>
      </c>
      <c r="N46" s="2">
        <v>1E-4</v>
      </c>
      <c r="O46" s="2" t="e">
        <f t="shared" ca="1" si="5"/>
        <v>#VALUE!</v>
      </c>
      <c r="P46" s="2">
        <v>200</v>
      </c>
      <c r="T46" s="2318"/>
      <c r="U46" s="1743"/>
      <c r="V46" s="49">
        <v>0.2</v>
      </c>
      <c r="W46" s="71" t="s">
        <v>79</v>
      </c>
      <c r="X46" s="49" t="e">
        <f>#REF!</f>
        <v>#REF!</v>
      </c>
      <c r="Y46" s="72" t="s">
        <v>79</v>
      </c>
      <c r="Z46" s="72"/>
      <c r="AA46" s="73" t="e">
        <f>((AJ46/1.732)^2+((AG46/1000000*ABS(X46)+AH46/1000000*#REF!)/2)^2+(AI46/2)^2)^0.5*2</f>
        <v>#VALUE!</v>
      </c>
      <c r="AD46" s="2318"/>
      <c r="AE46" s="1743"/>
      <c r="AF46" s="49">
        <v>0.2</v>
      </c>
      <c r="AG46" s="71" t="s">
        <v>79</v>
      </c>
      <c r="AH46" s="49" t="e">
        <f>#REF!</f>
        <v>#REF!</v>
      </c>
      <c r="AI46" s="72" t="s">
        <v>79</v>
      </c>
      <c r="AJ46" s="72"/>
    </row>
    <row r="47" spans="1:36" outlineLevel="1">
      <c r="L47" s="2">
        <v>110</v>
      </c>
      <c r="M47" s="2">
        <v>20</v>
      </c>
      <c r="N47" s="2">
        <v>1E-4</v>
      </c>
      <c r="O47" s="2">
        <f t="shared" ca="1" si="5"/>
        <v>0.5</v>
      </c>
      <c r="P47" s="2">
        <v>200</v>
      </c>
    </row>
    <row r="48" spans="1:36" outlineLevel="1">
      <c r="L48" s="2">
        <v>110</v>
      </c>
      <c r="M48" s="2">
        <v>20</v>
      </c>
      <c r="N48" s="2">
        <v>1E-4</v>
      </c>
      <c r="O48" s="2">
        <f t="shared" ca="1" si="5"/>
        <v>0.5</v>
      </c>
      <c r="P48" s="2">
        <v>200</v>
      </c>
    </row>
    <row r="49" spans="1:16" outlineLevel="1">
      <c r="A49" s="157"/>
      <c r="L49" s="2">
        <v>110</v>
      </c>
      <c r="M49" s="2">
        <v>20</v>
      </c>
      <c r="N49" s="2">
        <v>1E-4</v>
      </c>
      <c r="O49" s="2">
        <f t="shared" ca="1" si="5"/>
        <v>0.5</v>
      </c>
      <c r="P49" s="2">
        <v>200</v>
      </c>
    </row>
    <row r="50" spans="1:16" outlineLevel="1">
      <c r="B50" s="157"/>
    </row>
    <row r="52" spans="1:16">
      <c r="A52" s="1749" t="str">
        <f xml:space="preserve">                                      [4]原始记录!A53&amp;[4]原始记录!C55&amp;[4]原始记录!E55&amp;[4]原始记录!F55&amp;[4]原始记录!I55</f>
        <v/>
      </c>
      <c r="B52" s="1749"/>
      <c r="C52" s="1749"/>
      <c r="D52" s="1749"/>
      <c r="E52" s="1749"/>
      <c r="F52" s="1749"/>
      <c r="G52" s="1749"/>
      <c r="H52" s="1749"/>
      <c r="I52" s="1749"/>
      <c r="J52" s="1749"/>
    </row>
    <row r="54" spans="1:16">
      <c r="A54" s="1749" t="s">
        <v>4303</v>
      </c>
      <c r="B54" s="1749"/>
      <c r="C54" s="1749"/>
      <c r="D54" s="1749"/>
      <c r="E54" s="1749"/>
      <c r="F54" s="1749"/>
      <c r="G54" s="1749"/>
      <c r="H54" s="1749"/>
      <c r="I54" s="1749"/>
      <c r="J54" s="1749"/>
    </row>
    <row r="55" spans="1:16">
      <c r="A55" s="1749" t="s">
        <v>4310</v>
      </c>
      <c r="B55" s="1749"/>
      <c r="C55" s="1749"/>
      <c r="D55" s="1749"/>
      <c r="E55" s="1749"/>
      <c r="F55" s="1749"/>
      <c r="G55" s="1749"/>
      <c r="H55" s="1749"/>
      <c r="I55" s="1749"/>
      <c r="J55" s="1749"/>
    </row>
    <row r="56" spans="1:16">
      <c r="A56" s="1749" t="s">
        <v>4118</v>
      </c>
      <c r="B56" s="1749"/>
      <c r="C56" s="1749" t="s">
        <v>4311</v>
      </c>
      <c r="D56" s="1749" t="s">
        <v>4304</v>
      </c>
      <c r="E56" s="1749"/>
      <c r="F56" s="1749" t="s">
        <v>4312</v>
      </c>
      <c r="G56" s="1749"/>
      <c r="H56" s="1749" t="s">
        <v>4305</v>
      </c>
      <c r="I56" s="1749"/>
      <c r="J56" s="1749" t="s">
        <v>4248</v>
      </c>
      <c r="K56" s="1749" t="s">
        <v>4313</v>
      </c>
      <c r="L56" s="1749"/>
      <c r="M56" s="1749" t="s">
        <v>4314</v>
      </c>
      <c r="N56" s="1749" t="s">
        <v>4306</v>
      </c>
      <c r="O56" s="1749" t="s">
        <v>4118</v>
      </c>
    </row>
    <row r="57" spans="1:16">
      <c r="A57" s="1749"/>
      <c r="B57" s="1749"/>
      <c r="C57" s="1749"/>
      <c r="D57" s="1749"/>
      <c r="E57" s="1749"/>
      <c r="F57" s="1749"/>
      <c r="G57" s="1749"/>
      <c r="H57" s="1749"/>
      <c r="I57" s="1749"/>
      <c r="J57" s="1749"/>
      <c r="K57" s="1749"/>
      <c r="L57" s="1749"/>
      <c r="M57" s="1749"/>
      <c r="N57" s="1749"/>
      <c r="O57" s="1749"/>
    </row>
    <row r="58" spans="1:16">
      <c r="A58" s="1749">
        <v>200</v>
      </c>
      <c r="B58" s="1749" t="s">
        <v>4315</v>
      </c>
      <c r="C58" s="1749" t="s">
        <v>4316</v>
      </c>
      <c r="D58">
        <v>200</v>
      </c>
      <c r="E58" t="str">
        <f>B$58</f>
        <v>mA</v>
      </c>
      <c r="F58">
        <v>1.999922</v>
      </c>
      <c r="G58" t="s">
        <v>4121</v>
      </c>
      <c r="H58">
        <f>F58*100</f>
        <v>199.9922</v>
      </c>
      <c r="I58" t="str">
        <f>E58</f>
        <v>mA</v>
      </c>
      <c r="J58">
        <f ca="1">((N58/1.732)^2+((K58/1000000*ABS(H58)+L58/1000000*O58)/2)^2++(M58/2)^2)^0.5*2</f>
        <v>0.5776179948444603</v>
      </c>
      <c r="K58" s="2">
        <v>85</v>
      </c>
      <c r="L58" s="2">
        <v>10</v>
      </c>
      <c r="M58" s="2">
        <v>1.0000000000000001E-5</v>
      </c>
      <c r="N58" s="2">
        <f ca="1">10^(-IF(CELL("format",H58)="G",0,VALUE(REPLACE(CELL("format",H58),1,1,))))/2</f>
        <v>0.5</v>
      </c>
      <c r="O58" s="2">
        <v>2</v>
      </c>
    </row>
    <row r="59" spans="1:16">
      <c r="A59" s="1749"/>
      <c r="B59" s="1749"/>
      <c r="C59" s="1749"/>
      <c r="D59">
        <v>180</v>
      </c>
      <c r="E59" t="str">
        <f t="shared" ref="E59:E67" si="8">B$58</f>
        <v>mA</v>
      </c>
      <c r="F59">
        <v>1.7999057000000001</v>
      </c>
      <c r="G59" t="s">
        <v>4121</v>
      </c>
      <c r="H59">
        <f t="shared" ref="H59:H67" si="9">F59*100</f>
        <v>179.99056999999999</v>
      </c>
      <c r="I59" t="str">
        <f t="shared" ref="I59:I67" si="10">E59</f>
        <v>mA</v>
      </c>
      <c r="J59">
        <f t="shared" ref="J59:J67" ca="1" si="11">((N59/1.732)^2+((K59/1000000*ABS(H59)+L59/1000000*O59)/2)^2++(M59/2)^2)^0.5*2</f>
        <v>0.5775704008840532</v>
      </c>
      <c r="K59" s="2">
        <v>85</v>
      </c>
      <c r="L59" s="2">
        <v>10</v>
      </c>
      <c r="M59" s="2">
        <v>1.0000000000000001E-5</v>
      </c>
      <c r="N59" s="2">
        <f t="shared" ref="N59:N82" ca="1" si="12">10^(-IF(CELL("format",H59)="G",0,VALUE(REPLACE(CELL("format",H59),1,1,))))/2</f>
        <v>0.5</v>
      </c>
      <c r="O59" s="2">
        <v>2</v>
      </c>
    </row>
    <row r="60" spans="1:16">
      <c r="A60" s="1749"/>
      <c r="B60" s="1749"/>
      <c r="C60" s="1749"/>
      <c r="D60">
        <v>160</v>
      </c>
      <c r="E60" t="str">
        <f t="shared" si="8"/>
        <v>mA</v>
      </c>
      <c r="F60">
        <v>1.5998979</v>
      </c>
      <c r="G60" t="s">
        <v>4121</v>
      </c>
      <c r="H60">
        <f t="shared" si="9"/>
        <v>159.98979</v>
      </c>
      <c r="I60" t="str">
        <f t="shared" si="10"/>
        <v>mA</v>
      </c>
      <c r="J60">
        <f t="shared" ca="1" si="11"/>
        <v>0.5775278096306139</v>
      </c>
      <c r="K60" s="2">
        <v>85</v>
      </c>
      <c r="L60" s="2">
        <v>10</v>
      </c>
      <c r="M60" s="2">
        <v>1.0000000000000001E-5</v>
      </c>
      <c r="N60" s="2">
        <f t="shared" ca="1" si="12"/>
        <v>0.5</v>
      </c>
      <c r="O60" s="2">
        <v>2</v>
      </c>
    </row>
    <row r="61" spans="1:16">
      <c r="A61" s="1749"/>
      <c r="B61" s="1749"/>
      <c r="C61" s="1749"/>
      <c r="D61">
        <v>140</v>
      </c>
      <c r="E61" t="str">
        <f t="shared" si="8"/>
        <v>mA</v>
      </c>
      <c r="F61">
        <v>1.3991009999999999</v>
      </c>
      <c r="G61" t="s">
        <v>4121</v>
      </c>
      <c r="H61">
        <f t="shared" si="9"/>
        <v>139.9101</v>
      </c>
      <c r="I61" t="str">
        <f t="shared" si="10"/>
        <v>mA</v>
      </c>
      <c r="J61">
        <f t="shared" ca="1" si="11"/>
        <v>0.57749008166482652</v>
      </c>
      <c r="K61" s="2">
        <v>85</v>
      </c>
      <c r="L61" s="2">
        <v>10</v>
      </c>
      <c r="M61" s="2">
        <v>1.0000000000000001E-5</v>
      </c>
      <c r="N61" s="2">
        <f t="shared" ca="1" si="12"/>
        <v>0.5</v>
      </c>
      <c r="O61" s="2">
        <v>2</v>
      </c>
    </row>
    <row r="62" spans="1:16">
      <c r="A62" s="1749"/>
      <c r="B62" s="1749"/>
      <c r="C62" s="1749"/>
      <c r="D62">
        <v>120</v>
      </c>
      <c r="E62" t="str">
        <f t="shared" si="8"/>
        <v>mA</v>
      </c>
      <c r="F62">
        <v>1.1999275</v>
      </c>
      <c r="G62" t="s">
        <v>4121</v>
      </c>
      <c r="H62">
        <f t="shared" si="9"/>
        <v>119.99275</v>
      </c>
      <c r="I62" t="str">
        <f t="shared" si="10"/>
        <v>mA</v>
      </c>
      <c r="J62">
        <f t="shared" ca="1" si="11"/>
        <v>0.57745763995330879</v>
      </c>
      <c r="K62" s="2">
        <v>85</v>
      </c>
      <c r="L62" s="2">
        <v>10</v>
      </c>
      <c r="M62" s="2">
        <v>1.0000000000000001E-5</v>
      </c>
      <c r="N62" s="2">
        <f t="shared" ca="1" si="12"/>
        <v>0.5</v>
      </c>
      <c r="O62" s="2">
        <v>2</v>
      </c>
    </row>
    <row r="63" spans="1:16">
      <c r="A63" s="1749"/>
      <c r="B63" s="1749"/>
      <c r="C63" s="1749"/>
      <c r="D63">
        <v>100</v>
      </c>
      <c r="E63" t="str">
        <f t="shared" si="8"/>
        <v>mA</v>
      </c>
      <c r="F63">
        <v>0.99993770000000004</v>
      </c>
      <c r="G63" t="s">
        <v>4121</v>
      </c>
      <c r="H63">
        <f t="shared" si="9"/>
        <v>99.993769999999998</v>
      </c>
      <c r="I63" t="str">
        <f t="shared" si="10"/>
        <v>mA</v>
      </c>
      <c r="J63">
        <f t="shared" ca="1" si="11"/>
        <v>0.57743005768055045</v>
      </c>
      <c r="K63" s="2">
        <v>85</v>
      </c>
      <c r="L63" s="2">
        <v>10</v>
      </c>
      <c r="M63" s="2">
        <v>1.0000000000000001E-5</v>
      </c>
      <c r="N63" s="2">
        <f t="shared" ca="1" si="12"/>
        <v>0.5</v>
      </c>
      <c r="O63" s="2">
        <v>2</v>
      </c>
    </row>
    <row r="64" spans="1:16">
      <c r="A64" s="1749"/>
      <c r="B64" s="1749"/>
      <c r="C64" s="1749"/>
      <c r="D64">
        <v>80</v>
      </c>
      <c r="E64" t="str">
        <f t="shared" si="8"/>
        <v>mA</v>
      </c>
      <c r="F64">
        <v>0.79994200000000004</v>
      </c>
      <c r="G64" t="s">
        <v>4121</v>
      </c>
      <c r="H64">
        <f t="shared" si="9"/>
        <v>79.994200000000006</v>
      </c>
      <c r="I64" t="str">
        <f t="shared" si="10"/>
        <v>mA</v>
      </c>
      <c r="J64">
        <f t="shared" ca="1" si="11"/>
        <v>0.57740747813995141</v>
      </c>
      <c r="K64" s="2">
        <v>85</v>
      </c>
      <c r="L64" s="2">
        <v>10</v>
      </c>
      <c r="M64" s="2">
        <v>1.0000000000000001E-5</v>
      </c>
      <c r="N64" s="2">
        <f t="shared" ca="1" si="12"/>
        <v>0.5</v>
      </c>
      <c r="O64" s="2">
        <v>2</v>
      </c>
    </row>
    <row r="65" spans="1:15">
      <c r="A65" s="1749"/>
      <c r="B65" s="1749"/>
      <c r="C65" s="1749"/>
      <c r="D65">
        <v>60</v>
      </c>
      <c r="E65" t="str">
        <f t="shared" si="8"/>
        <v>mA</v>
      </c>
      <c r="F65">
        <v>0.59996490000000002</v>
      </c>
      <c r="G65" t="s">
        <v>4121</v>
      </c>
      <c r="H65">
        <f t="shared" si="9"/>
        <v>59.996490000000001</v>
      </c>
      <c r="I65" t="str">
        <f t="shared" si="10"/>
        <v>mA</v>
      </c>
      <c r="J65">
        <f t="shared" ca="1" si="11"/>
        <v>0.57738990420789349</v>
      </c>
      <c r="K65" s="2">
        <v>85</v>
      </c>
      <c r="L65" s="2">
        <v>10</v>
      </c>
      <c r="M65" s="2">
        <v>1.0000000000000001E-5</v>
      </c>
      <c r="N65" s="2">
        <f t="shared" ca="1" si="12"/>
        <v>0.5</v>
      </c>
      <c r="O65" s="2">
        <v>2</v>
      </c>
    </row>
    <row r="66" spans="1:15">
      <c r="A66" s="1749"/>
      <c r="B66" s="1749"/>
      <c r="C66" s="1749"/>
      <c r="D66">
        <v>40</v>
      </c>
      <c r="E66" t="str">
        <f t="shared" si="8"/>
        <v>mA</v>
      </c>
      <c r="F66">
        <v>0.39998250000000002</v>
      </c>
      <c r="G66" t="s">
        <v>4121</v>
      </c>
      <c r="H66">
        <f t="shared" si="9"/>
        <v>39.998249999999999</v>
      </c>
      <c r="I66" t="str">
        <f t="shared" si="10"/>
        <v>mA</v>
      </c>
      <c r="J66">
        <f t="shared" ca="1" si="11"/>
        <v>0.577377333741798</v>
      </c>
      <c r="K66" s="2">
        <v>85</v>
      </c>
      <c r="L66" s="2">
        <v>10</v>
      </c>
      <c r="M66" s="2">
        <v>1.0000000000000001E-5</v>
      </c>
      <c r="N66" s="2">
        <f t="shared" ca="1" si="12"/>
        <v>0.5</v>
      </c>
      <c r="O66" s="2">
        <v>2</v>
      </c>
    </row>
    <row r="67" spans="1:15">
      <c r="A67" s="1749"/>
      <c r="B67" s="1749"/>
      <c r="C67" s="1749"/>
      <c r="D67">
        <v>20</v>
      </c>
      <c r="E67" t="str">
        <f t="shared" si="8"/>
        <v>mA</v>
      </c>
      <c r="F67">
        <v>0.1999918</v>
      </c>
      <c r="G67" t="s">
        <v>4121</v>
      </c>
      <c r="H67">
        <f t="shared" si="9"/>
        <v>19.999179999999999</v>
      </c>
      <c r="I67" t="str">
        <f t="shared" si="10"/>
        <v>mA</v>
      </c>
      <c r="J67">
        <f t="shared" ca="1" si="11"/>
        <v>0.57736976739040669</v>
      </c>
      <c r="K67" s="2">
        <v>85</v>
      </c>
      <c r="L67" s="2">
        <v>10</v>
      </c>
      <c r="M67" s="2">
        <v>1.0000000000000001E-5</v>
      </c>
      <c r="N67" s="2">
        <f t="shared" ca="1" si="12"/>
        <v>0.5</v>
      </c>
      <c r="O67" s="2">
        <v>2</v>
      </c>
    </row>
    <row r="68" spans="1:15">
      <c r="A68" s="2316">
        <v>200</v>
      </c>
      <c r="B68" s="2319" t="s">
        <v>4307</v>
      </c>
      <c r="C68" s="1749" t="s">
        <v>4162</v>
      </c>
      <c r="D68" s="44">
        <v>200</v>
      </c>
      <c r="E68" s="64" t="s">
        <v>77</v>
      </c>
      <c r="F68" s="44">
        <v>199.95872</v>
      </c>
      <c r="G68" s="65" t="s">
        <v>77</v>
      </c>
      <c r="H68" s="44">
        <f t="shared" ref="H68:H82" si="13">F68</f>
        <v>199.95872</v>
      </c>
      <c r="I68" s="65" t="s">
        <v>77</v>
      </c>
      <c r="J68" s="66">
        <f ca="1">((N68/1.732)^2+((K68/1000000*ABS(H68)+L68/1000000*O68)/2)^2)^0.5*2</f>
        <v>7.5990635013050437E-2</v>
      </c>
      <c r="K68" s="2">
        <v>280</v>
      </c>
      <c r="L68" s="2">
        <v>100</v>
      </c>
      <c r="M68" t="s">
        <v>4162</v>
      </c>
      <c r="N68" s="2">
        <f t="shared" ca="1" si="12"/>
        <v>5.0000000000000001E-4</v>
      </c>
      <c r="O68" s="2">
        <v>200</v>
      </c>
    </row>
    <row r="69" spans="1:15">
      <c r="A69" s="2317"/>
      <c r="B69" s="1742"/>
      <c r="C69" s="1749"/>
      <c r="D69" s="44">
        <v>100</v>
      </c>
      <c r="E69" s="64" t="s">
        <v>77</v>
      </c>
      <c r="F69" s="44">
        <v>99.979259999999996</v>
      </c>
      <c r="G69" s="65" t="s">
        <v>77</v>
      </c>
      <c r="H69" s="44">
        <f t="shared" si="13"/>
        <v>99.979259999999996</v>
      </c>
      <c r="I69" s="65" t="s">
        <v>77</v>
      </c>
      <c r="J69" s="66">
        <f t="shared" ref="J69:J76" ca="1" si="14">((N69/1.732)^2+((K69/1000000*ABS(H69)+L69/1000000*O69)/2)^2)^0.5*2</f>
        <v>4.7997665520456388E-2</v>
      </c>
      <c r="K69" s="2">
        <v>280</v>
      </c>
      <c r="L69" s="2">
        <v>100</v>
      </c>
      <c r="M69" t="s">
        <v>4162</v>
      </c>
      <c r="N69" s="2">
        <f t="shared" ca="1" si="12"/>
        <v>5.0000000000000001E-4</v>
      </c>
      <c r="O69" s="2">
        <v>200</v>
      </c>
    </row>
    <row r="70" spans="1:15">
      <c r="A70" s="2318"/>
      <c r="B70" s="1743"/>
      <c r="C70" s="1749"/>
      <c r="D70" s="44">
        <v>20</v>
      </c>
      <c r="E70" s="64" t="s">
        <v>77</v>
      </c>
      <c r="F70" s="44">
        <v>19.996320000000001</v>
      </c>
      <c r="G70" s="65" t="s">
        <v>77</v>
      </c>
      <c r="H70" s="44">
        <f t="shared" si="13"/>
        <v>19.996320000000001</v>
      </c>
      <c r="I70" s="65" t="s">
        <v>77</v>
      </c>
      <c r="J70" s="66">
        <f t="shared" ca="1" si="14"/>
        <v>2.5605479832874846E-2</v>
      </c>
      <c r="K70" s="2">
        <v>280</v>
      </c>
      <c r="L70" s="2">
        <v>100</v>
      </c>
      <c r="M70" t="s">
        <v>4162</v>
      </c>
      <c r="N70" s="2">
        <f t="shared" ca="1" si="12"/>
        <v>5.0000000000000001E-4</v>
      </c>
      <c r="O70" s="2">
        <v>200</v>
      </c>
    </row>
    <row r="71" spans="1:15">
      <c r="A71" s="2316">
        <v>2</v>
      </c>
      <c r="B71" s="2319" t="s">
        <v>4308</v>
      </c>
      <c r="C71" s="1749" t="s">
        <v>4162</v>
      </c>
      <c r="D71" s="49">
        <v>2</v>
      </c>
      <c r="E71" s="67" t="s">
        <v>78</v>
      </c>
      <c r="F71" s="49">
        <v>1.9996263999999999</v>
      </c>
      <c r="G71" s="65" t="s">
        <v>78</v>
      </c>
      <c r="H71" s="49">
        <f t="shared" si="13"/>
        <v>1.9996263999999999</v>
      </c>
      <c r="I71" s="65" t="s">
        <v>78</v>
      </c>
      <c r="J71" s="68">
        <f t="shared" ca="1" si="14"/>
        <v>7.5991732581369474E-4</v>
      </c>
      <c r="K71" s="2">
        <v>280</v>
      </c>
      <c r="L71" s="2">
        <v>100</v>
      </c>
      <c r="M71" t="s">
        <v>4162</v>
      </c>
      <c r="N71" s="2">
        <f t="shared" ca="1" si="12"/>
        <v>5.0000000000000004E-6</v>
      </c>
      <c r="O71" s="2">
        <v>2</v>
      </c>
    </row>
    <row r="72" spans="1:15">
      <c r="A72" s="2317"/>
      <c r="B72" s="1742"/>
      <c r="C72" s="1749"/>
      <c r="D72" s="49">
        <v>1</v>
      </c>
      <c r="E72" s="67" t="s">
        <v>78</v>
      </c>
      <c r="F72" s="49">
        <v>0.99981439999999999</v>
      </c>
      <c r="G72" s="65" t="s">
        <v>78</v>
      </c>
      <c r="H72" s="49">
        <f t="shared" si="13"/>
        <v>0.99981439999999999</v>
      </c>
      <c r="I72" s="65" t="s">
        <v>78</v>
      </c>
      <c r="J72" s="68">
        <f t="shared" ca="1" si="14"/>
        <v>4.7998275876293372E-4</v>
      </c>
      <c r="K72" s="2">
        <v>280</v>
      </c>
      <c r="L72" s="2">
        <v>100</v>
      </c>
      <c r="M72" t="s">
        <v>4162</v>
      </c>
      <c r="N72" s="2">
        <f t="shared" ca="1" si="12"/>
        <v>5.0000000000000004E-6</v>
      </c>
      <c r="O72" s="2">
        <v>2</v>
      </c>
    </row>
    <row r="73" spans="1:15">
      <c r="A73" s="2318"/>
      <c r="B73" s="1742"/>
      <c r="C73" s="1749"/>
      <c r="D73" s="49">
        <v>0.2</v>
      </c>
      <c r="E73" s="67" t="s">
        <v>78</v>
      </c>
      <c r="F73" s="49">
        <v>0.19997139999999999</v>
      </c>
      <c r="G73" s="65" t="s">
        <v>78</v>
      </c>
      <c r="H73" s="49">
        <f t="shared" si="13"/>
        <v>0.19997139999999999</v>
      </c>
      <c r="I73" s="65" t="s">
        <v>78</v>
      </c>
      <c r="J73" s="68">
        <f t="shared" ca="1" si="14"/>
        <v>2.5605709374499215E-4</v>
      </c>
      <c r="K73" s="2">
        <v>280</v>
      </c>
      <c r="L73" s="2">
        <v>100</v>
      </c>
      <c r="M73" t="s">
        <v>4162</v>
      </c>
      <c r="N73" s="2">
        <f t="shared" ca="1" si="12"/>
        <v>5.0000000000000004E-6</v>
      </c>
      <c r="O73" s="2">
        <v>2</v>
      </c>
    </row>
    <row r="74" spans="1:15">
      <c r="A74" s="2316">
        <v>20</v>
      </c>
      <c r="B74" s="2319" t="s">
        <v>4308</v>
      </c>
      <c r="C74" s="1749" t="s">
        <v>4162</v>
      </c>
      <c r="D74" s="69">
        <v>20</v>
      </c>
      <c r="E74" s="67" t="s">
        <v>78</v>
      </c>
      <c r="F74" s="69">
        <v>19.991309999999999</v>
      </c>
      <c r="G74" s="65" t="s">
        <v>78</v>
      </c>
      <c r="H74" s="69">
        <f t="shared" si="13"/>
        <v>19.991309999999999</v>
      </c>
      <c r="I74" s="65" t="s">
        <v>78</v>
      </c>
      <c r="J74" s="70">
        <f t="shared" ca="1" si="14"/>
        <v>7.5977861781812862E-3</v>
      </c>
      <c r="K74" s="2">
        <v>280</v>
      </c>
      <c r="L74" s="2">
        <v>100</v>
      </c>
      <c r="M74" t="s">
        <v>4162</v>
      </c>
      <c r="N74" s="2">
        <f t="shared" ca="1" si="12"/>
        <v>5.0000000000000002E-5</v>
      </c>
      <c r="O74" s="2">
        <v>20</v>
      </c>
    </row>
    <row r="75" spans="1:15">
      <c r="A75" s="2317"/>
      <c r="B75" s="1742"/>
      <c r="C75" s="1749"/>
      <c r="D75" s="69">
        <v>10</v>
      </c>
      <c r="E75" s="67" t="s">
        <v>78</v>
      </c>
      <c r="F75" s="69">
        <v>9.9996679999999998</v>
      </c>
      <c r="G75" s="65" t="s">
        <v>78</v>
      </c>
      <c r="H75" s="69">
        <f t="shared" si="13"/>
        <v>9.9996679999999998</v>
      </c>
      <c r="I75" s="65" t="s">
        <v>78</v>
      </c>
      <c r="J75" s="70">
        <f t="shared" ca="1" si="14"/>
        <v>4.8002542767588809E-3</v>
      </c>
      <c r="K75" s="2">
        <v>280</v>
      </c>
      <c r="L75" s="2">
        <v>100</v>
      </c>
      <c r="M75" t="s">
        <v>4162</v>
      </c>
      <c r="N75" s="2">
        <f t="shared" ca="1" si="12"/>
        <v>5.0000000000000002E-5</v>
      </c>
      <c r="O75" s="2">
        <v>20</v>
      </c>
    </row>
    <row r="76" spans="1:15">
      <c r="A76" s="2318"/>
      <c r="B76" s="1742"/>
      <c r="C76" s="1749"/>
      <c r="D76" s="69">
        <v>2</v>
      </c>
      <c r="E76" s="67" t="s">
        <v>78</v>
      </c>
      <c r="F76" s="69">
        <v>2.0003160000000002</v>
      </c>
      <c r="G76" s="65" t="s">
        <v>78</v>
      </c>
      <c r="H76" s="69">
        <f t="shared" si="13"/>
        <v>2.0003160000000002</v>
      </c>
      <c r="I76" s="65" t="s">
        <v>78</v>
      </c>
      <c r="J76" s="70">
        <f t="shared" ca="1" si="14"/>
        <v>2.5607394545968695E-3</v>
      </c>
      <c r="K76" s="2">
        <v>280</v>
      </c>
      <c r="L76" s="2">
        <v>100</v>
      </c>
      <c r="M76" t="s">
        <v>4162</v>
      </c>
      <c r="N76" s="2">
        <f t="shared" ca="1" si="12"/>
        <v>5.0000000000000002E-5</v>
      </c>
      <c r="O76" s="2">
        <v>20</v>
      </c>
    </row>
    <row r="77" spans="1:15">
      <c r="A77" s="2316">
        <v>2</v>
      </c>
      <c r="B77" s="2319" t="s">
        <v>4317</v>
      </c>
      <c r="C77" s="1749">
        <v>1E-3</v>
      </c>
      <c r="D77" s="49">
        <v>2</v>
      </c>
      <c r="E77" s="71" t="s">
        <v>79</v>
      </c>
      <c r="F77" s="49">
        <v>1.9995350000000001</v>
      </c>
      <c r="G77" s="65" t="s">
        <v>4309</v>
      </c>
      <c r="H77" s="49">
        <f t="shared" si="13"/>
        <v>1.9995350000000001</v>
      </c>
      <c r="I77" s="72" t="s">
        <v>79</v>
      </c>
      <c r="J77" s="73">
        <f t="shared" ref="J77:J82" ca="1" si="15">((N77/1.732)^2+((K77/1000000*ABS(H77)+L77/1000000*O77)/2)^2+(M77/2)^2)^0.5*2</f>
        <v>4.2211374808107504E-3</v>
      </c>
      <c r="K77" s="2">
        <v>110</v>
      </c>
      <c r="L77" s="2">
        <v>20</v>
      </c>
      <c r="M77" s="2">
        <v>1E-4</v>
      </c>
      <c r="N77" s="2">
        <f t="shared" ca="1" si="12"/>
        <v>5.0000000000000004E-6</v>
      </c>
      <c r="O77" s="2">
        <v>200</v>
      </c>
    </row>
    <row r="78" spans="1:15">
      <c r="A78" s="2317"/>
      <c r="B78" s="1742"/>
      <c r="C78" s="1749"/>
      <c r="D78" s="49">
        <v>1</v>
      </c>
      <c r="E78" s="71" t="s">
        <v>79</v>
      </c>
      <c r="F78" s="49">
        <v>0.999525</v>
      </c>
      <c r="G78" s="65" t="s">
        <v>4309</v>
      </c>
      <c r="H78" s="49">
        <f t="shared" si="13"/>
        <v>0.999525</v>
      </c>
      <c r="I78" s="72" t="s">
        <v>79</v>
      </c>
      <c r="J78" s="73">
        <f t="shared" ca="1" si="15"/>
        <v>4.1111681847157584E-3</v>
      </c>
      <c r="K78" s="2">
        <v>110</v>
      </c>
      <c r="L78" s="2">
        <v>20</v>
      </c>
      <c r="M78" s="2">
        <v>1E-4</v>
      </c>
      <c r="N78" s="2">
        <f t="shared" ca="1" si="12"/>
        <v>5.0000000000000004E-6</v>
      </c>
      <c r="O78" s="2">
        <v>200</v>
      </c>
    </row>
    <row r="79" spans="1:15">
      <c r="A79" s="2318"/>
      <c r="B79" s="1743"/>
      <c r="C79" s="1749"/>
      <c r="D79" s="49">
        <v>0.2</v>
      </c>
      <c r="E79" s="71" t="s">
        <v>79</v>
      </c>
      <c r="F79" s="49">
        <v>0.19925200000000001</v>
      </c>
      <c r="G79" s="65" t="s">
        <v>4309</v>
      </c>
      <c r="H79" s="49">
        <f t="shared" si="13"/>
        <v>0.19925200000000001</v>
      </c>
      <c r="I79" s="72" t="s">
        <v>79</v>
      </c>
      <c r="J79" s="73">
        <f t="shared" ca="1" si="15"/>
        <v>4.0231648588815007E-3</v>
      </c>
      <c r="K79" s="2">
        <v>110</v>
      </c>
      <c r="L79" s="2">
        <v>20</v>
      </c>
      <c r="M79" s="2">
        <v>1E-4</v>
      </c>
      <c r="N79" s="2">
        <f t="shared" ca="1" si="12"/>
        <v>5.0000000000000004E-6</v>
      </c>
      <c r="O79" s="2">
        <v>200</v>
      </c>
    </row>
    <row r="80" spans="1:15">
      <c r="A80" s="2347">
        <v>20</v>
      </c>
      <c r="B80" s="2319" t="s">
        <v>4317</v>
      </c>
      <c r="C80" s="1749">
        <v>1E-3</v>
      </c>
      <c r="D80" s="69">
        <v>20</v>
      </c>
      <c r="E80" s="72" t="s">
        <v>79</v>
      </c>
      <c r="F80" s="69">
        <v>19.99803</v>
      </c>
      <c r="G80" s="65" t="s">
        <v>4309</v>
      </c>
      <c r="H80" s="69">
        <f t="shared" si="13"/>
        <v>19.99803</v>
      </c>
      <c r="I80" s="72" t="s">
        <v>79</v>
      </c>
      <c r="J80" s="95">
        <f t="shared" ca="1" si="15"/>
        <v>6.2008585289344614E-3</v>
      </c>
      <c r="K80" s="2">
        <v>110</v>
      </c>
      <c r="L80" s="2">
        <v>20</v>
      </c>
      <c r="M80" s="2">
        <v>1E-4</v>
      </c>
      <c r="N80" s="2">
        <f t="shared" ca="1" si="12"/>
        <v>5.0000000000000002E-5</v>
      </c>
      <c r="O80" s="2">
        <v>200</v>
      </c>
    </row>
    <row r="81" spans="1:15">
      <c r="A81" s="2348"/>
      <c r="B81" s="1742"/>
      <c r="C81" s="1749"/>
      <c r="D81" s="69">
        <v>10</v>
      </c>
      <c r="E81" s="72" t="s">
        <v>79</v>
      </c>
      <c r="F81" s="69">
        <v>9.9960000000000004</v>
      </c>
      <c r="G81" s="65" t="s">
        <v>4309</v>
      </c>
      <c r="H81" s="69">
        <f t="shared" si="13"/>
        <v>9.9960000000000004</v>
      </c>
      <c r="I81" s="72" t="s">
        <v>79</v>
      </c>
      <c r="J81" s="95">
        <f t="shared" ca="1" si="15"/>
        <v>5.1008671539749363E-3</v>
      </c>
      <c r="K81" s="2">
        <v>110</v>
      </c>
      <c r="L81" s="2">
        <v>20</v>
      </c>
      <c r="M81" s="2">
        <v>1E-4</v>
      </c>
      <c r="N81" s="2">
        <f t="shared" ca="1" si="12"/>
        <v>5.0000000000000002E-5</v>
      </c>
      <c r="O81" s="2">
        <v>200</v>
      </c>
    </row>
    <row r="82" spans="1:15">
      <c r="A82" s="2349"/>
      <c r="B82" s="1743"/>
      <c r="C82" s="1749"/>
      <c r="D82" s="69">
        <v>2</v>
      </c>
      <c r="E82" s="72" t="s">
        <v>79</v>
      </c>
      <c r="F82" s="69">
        <v>1.99603</v>
      </c>
      <c r="G82" s="65" t="s">
        <v>4309</v>
      </c>
      <c r="H82" s="69">
        <f t="shared" si="13"/>
        <v>1.99603</v>
      </c>
      <c r="I82" s="72" t="s">
        <v>79</v>
      </c>
      <c r="J82" s="95">
        <f t="shared" ca="1" si="15"/>
        <v>4.2211429698136571E-3</v>
      </c>
      <c r="K82" s="2">
        <v>110</v>
      </c>
      <c r="L82" s="2">
        <v>20</v>
      </c>
      <c r="M82" s="2">
        <v>1E-4</v>
      </c>
      <c r="N82" s="2">
        <f t="shared" ca="1" si="12"/>
        <v>5.0000000000000002E-5</v>
      </c>
      <c r="O82" s="2">
        <v>200</v>
      </c>
    </row>
  </sheetData>
  <mergeCells count="88">
    <mergeCell ref="O56:O57"/>
    <mergeCell ref="A80:A82"/>
    <mergeCell ref="B80:B82"/>
    <mergeCell ref="C80:C82"/>
    <mergeCell ref="A52:J52"/>
    <mergeCell ref="A54:J54"/>
    <mergeCell ref="A55:J55"/>
    <mergeCell ref="A56:B57"/>
    <mergeCell ref="C56:C57"/>
    <mergeCell ref="D56:E57"/>
    <mergeCell ref="F56:G57"/>
    <mergeCell ref="H56:I57"/>
    <mergeCell ref="J56:J57"/>
    <mergeCell ref="K56:L57"/>
    <mergeCell ref="M56:M57"/>
    <mergeCell ref="N56:N57"/>
    <mergeCell ref="B58:B67"/>
    <mergeCell ref="C58:C67"/>
    <mergeCell ref="A68:A70"/>
    <mergeCell ref="B68:B70"/>
    <mergeCell ref="C68:C70"/>
    <mergeCell ref="A77:A79"/>
    <mergeCell ref="B77:B79"/>
    <mergeCell ref="C77:C79"/>
    <mergeCell ref="T41:T43"/>
    <mergeCell ref="U41:U43"/>
    <mergeCell ref="A41:A43"/>
    <mergeCell ref="B41:B43"/>
    <mergeCell ref="C41:C43"/>
    <mergeCell ref="A44:A46"/>
    <mergeCell ref="A71:A73"/>
    <mergeCell ref="B71:B73"/>
    <mergeCell ref="C71:C73"/>
    <mergeCell ref="A74:A76"/>
    <mergeCell ref="B74:B76"/>
    <mergeCell ref="C74:C76"/>
    <mergeCell ref="A58:A67"/>
    <mergeCell ref="AJ23:AJ24"/>
    <mergeCell ref="AE41:AE43"/>
    <mergeCell ref="T44:T46"/>
    <mergeCell ref="U44:U46"/>
    <mergeCell ref="AD44:AD46"/>
    <mergeCell ref="AE44:AE46"/>
    <mergeCell ref="T35:T37"/>
    <mergeCell ref="U35:U37"/>
    <mergeCell ref="AD35:AD37"/>
    <mergeCell ref="AE35:AE37"/>
    <mergeCell ref="T38:T40"/>
    <mergeCell ref="AD41:AD43"/>
    <mergeCell ref="U38:U40"/>
    <mergeCell ref="AD38:AD40"/>
    <mergeCell ref="AE38:AE40"/>
    <mergeCell ref="AF23:AG24"/>
    <mergeCell ref="AH23:AI24"/>
    <mergeCell ref="T25:T34"/>
    <mergeCell ref="U25:U34"/>
    <mergeCell ref="AD25:AD34"/>
    <mergeCell ref="AE25:AE34"/>
    <mergeCell ref="AD23:AE24"/>
    <mergeCell ref="T22:Z22"/>
    <mergeCell ref="T23:U24"/>
    <mergeCell ref="V23:W24"/>
    <mergeCell ref="X23:Y24"/>
    <mergeCell ref="Z23:Z24"/>
    <mergeCell ref="A25:A34"/>
    <mergeCell ref="B25:B34"/>
    <mergeCell ref="C25:C34"/>
    <mergeCell ref="J23:J24"/>
    <mergeCell ref="B44:B46"/>
    <mergeCell ref="C44:C46"/>
    <mergeCell ref="A35:A37"/>
    <mergeCell ref="B35:B37"/>
    <mergeCell ref="C35:C37"/>
    <mergeCell ref="A38:A40"/>
    <mergeCell ref="B38:B40"/>
    <mergeCell ref="C38:C40"/>
    <mergeCell ref="L23:M24"/>
    <mergeCell ref="N23:N24"/>
    <mergeCell ref="O23:O24"/>
    <mergeCell ref="P23:P24"/>
    <mergeCell ref="A1:C1"/>
    <mergeCell ref="A3:D3"/>
    <mergeCell ref="A21:E21"/>
    <mergeCell ref="A23:B24"/>
    <mergeCell ref="C23:C24"/>
    <mergeCell ref="D23:E24"/>
    <mergeCell ref="F23:G24"/>
    <mergeCell ref="H23:I24"/>
  </mergeCells>
  <phoneticPr fontId="216" type="noConversion"/>
  <conditionalFormatting sqref="H25:H34">
    <cfRule type="expression" dxfId="151" priority="36" stopIfTrue="1">
      <formula>ABS(H25-$D25)/$D25&gt;0.02</formula>
    </cfRule>
  </conditionalFormatting>
  <conditionalFormatting sqref="H35">
    <cfRule type="expression" dxfId="150" priority="34" stopIfTrue="1">
      <formula>ABS(H35-$D35)/$D35&gt;0.02</formula>
    </cfRule>
  </conditionalFormatting>
  <conditionalFormatting sqref="H36:H37">
    <cfRule type="expression" dxfId="149" priority="33" stopIfTrue="1">
      <formula>ABS(H36-$D36)/$D36&gt;0.02</formula>
    </cfRule>
  </conditionalFormatting>
  <conditionalFormatting sqref="H38">
    <cfRule type="expression" dxfId="148" priority="32" stopIfTrue="1">
      <formula>ABS(H38-$D38)/$D38&gt;0.02</formula>
    </cfRule>
  </conditionalFormatting>
  <conditionalFormatting sqref="X25">
    <cfRule type="expression" dxfId="147" priority="31" stopIfTrue="1">
      <formula>ABS(X25-$D25)/$D25&gt;0.02</formula>
    </cfRule>
  </conditionalFormatting>
  <conditionalFormatting sqref="X26:X34">
    <cfRule type="expression" dxfId="146" priority="30" stopIfTrue="1">
      <formula>ABS(X26-$D26)/$D26&gt;0.02</formula>
    </cfRule>
  </conditionalFormatting>
  <conditionalFormatting sqref="X35">
    <cfRule type="expression" dxfId="145" priority="29" stopIfTrue="1">
      <formula>ABS(X35-$D35)/$D35&gt;0.02</formula>
    </cfRule>
  </conditionalFormatting>
  <conditionalFormatting sqref="X36:X37">
    <cfRule type="expression" dxfId="144" priority="28" stopIfTrue="1">
      <formula>ABS(X36-$D36)/$D36&gt;0.02</formula>
    </cfRule>
  </conditionalFormatting>
  <conditionalFormatting sqref="X38">
    <cfRule type="expression" dxfId="143" priority="27" stopIfTrue="1">
      <formula>ABS(X38-$D38)/$D38&gt;0.02</formula>
    </cfRule>
  </conditionalFormatting>
  <conditionalFormatting sqref="AH25">
    <cfRule type="expression" dxfId="142" priority="26" stopIfTrue="1">
      <formula>ABS(AH25-$D25)/$D25&gt;0.02</formula>
    </cfRule>
  </conditionalFormatting>
  <conditionalFormatting sqref="AH26:AH34">
    <cfRule type="expression" dxfId="141" priority="25" stopIfTrue="1">
      <formula>ABS(AH26-$D26)/$D26&gt;0.02</formula>
    </cfRule>
  </conditionalFormatting>
  <conditionalFormatting sqref="AH35">
    <cfRule type="expression" dxfId="140" priority="24" stopIfTrue="1">
      <formula>ABS(AH35-$D35)/$D35&gt;0.02</formula>
    </cfRule>
  </conditionalFormatting>
  <conditionalFormatting sqref="AH36:AH37">
    <cfRule type="expression" dxfId="139" priority="23" stopIfTrue="1">
      <formula>ABS(AH36-$D36)/$D36&gt;0.02</formula>
    </cfRule>
  </conditionalFormatting>
  <conditionalFormatting sqref="AH38">
    <cfRule type="expression" dxfId="138" priority="22" stopIfTrue="1">
      <formula>ABS(AH38-$D38)/$D38&gt;0.02</formula>
    </cfRule>
  </conditionalFormatting>
  <conditionalFormatting sqref="H58">
    <cfRule type="expression" dxfId="137" priority="5" stopIfTrue="1">
      <formula>ABS(H58-$D58)/$D58&gt;0.02</formula>
    </cfRule>
  </conditionalFormatting>
  <conditionalFormatting sqref="H59:H67">
    <cfRule type="expression" dxfId="136" priority="4" stopIfTrue="1">
      <formula>ABS(H59-$D59)/$D59&gt;0.02</formula>
    </cfRule>
  </conditionalFormatting>
  <conditionalFormatting sqref="H68">
    <cfRule type="expression" dxfId="135" priority="3" stopIfTrue="1">
      <formula>ABS(H68-$D68)/$D68&gt;0.02</formula>
    </cfRule>
  </conditionalFormatting>
  <conditionalFormatting sqref="H69:H70">
    <cfRule type="expression" dxfId="134" priority="2" stopIfTrue="1">
      <formula>ABS(H69-$D69)/$D69&gt;0.02</formula>
    </cfRule>
  </conditionalFormatting>
  <conditionalFormatting sqref="H71">
    <cfRule type="expression" dxfId="133" priority="1" stopIfTrue="1">
      <formula>ABS(H71-$D71)/$D71&gt;0.02</formula>
    </cfRule>
  </conditionalFormatting>
  <pageMargins left="0.75" right="0.75" top="1" bottom="1" header="0.5" footer="0.5"/>
  <drawing r:id="rId1"/>
  <legacyDrawing r:id="rId2"/>
</worksheet>
</file>

<file path=xl/worksheets/sheet17.xml><?xml version="1.0" encoding="utf-8"?>
<worksheet xmlns="http://schemas.openxmlformats.org/spreadsheetml/2006/main" xmlns:r="http://schemas.openxmlformats.org/officeDocument/2006/relationships">
  <dimension ref="A1:BD95"/>
  <sheetViews>
    <sheetView topLeftCell="A82" workbookViewId="0">
      <selection activeCell="A11" sqref="A11:E12"/>
    </sheetView>
  </sheetViews>
  <sheetFormatPr defaultRowHeight="14.25" outlineLevelRow="1"/>
  <cols>
    <col min="1" max="1" width="24.375" customWidth="1"/>
    <col min="2" max="2" width="22.875" customWidth="1"/>
    <col min="3" max="3" width="17.25" customWidth="1"/>
    <col min="4" max="4" width="19.625" customWidth="1"/>
    <col min="5" max="5" width="30.125" customWidth="1"/>
    <col min="40" max="40" width="12" customWidth="1"/>
  </cols>
  <sheetData>
    <row r="1" spans="1:25">
      <c r="B1" s="153" t="s">
        <v>1918</v>
      </c>
    </row>
    <row r="2" spans="1:25" outlineLevel="1">
      <c r="A2" s="2434" t="s">
        <v>1919</v>
      </c>
      <c r="B2" s="2298"/>
      <c r="C2" s="2298"/>
      <c r="D2" s="2"/>
    </row>
    <row r="3" spans="1:25" ht="18.75" outlineLevel="1">
      <c r="A3" s="699" t="s">
        <v>1920</v>
      </c>
      <c r="B3" s="699"/>
      <c r="C3" s="6" t="s">
        <v>69</v>
      </c>
      <c r="D3" s="6" t="s">
        <v>70</v>
      </c>
      <c r="E3" s="700" t="s">
        <v>1921</v>
      </c>
    </row>
    <row r="4" spans="1:25" outlineLevel="1">
      <c r="A4" s="698" t="s">
        <v>1922</v>
      </c>
      <c r="B4" s="698"/>
      <c r="C4" s="6" t="s">
        <v>72</v>
      </c>
      <c r="D4" s="6" t="s">
        <v>72</v>
      </c>
      <c r="E4" s="61" t="s">
        <v>1923</v>
      </c>
    </row>
    <row r="5" spans="1:25" outlineLevel="1">
      <c r="A5" s="698" t="s">
        <v>1924</v>
      </c>
      <c r="B5" s="698"/>
      <c r="C5" s="6" t="s">
        <v>72</v>
      </c>
      <c r="D5" s="6" t="s">
        <v>72</v>
      </c>
      <c r="E5" s="61" t="s">
        <v>1923</v>
      </c>
    </row>
    <row r="6" spans="1:25" outlineLevel="1">
      <c r="A6" t="s">
        <v>3431</v>
      </c>
      <c r="B6" s="1364" t="s">
        <v>3432</v>
      </c>
      <c r="C6" s="6" t="s">
        <v>72</v>
      </c>
      <c r="D6" s="6" t="s">
        <v>72</v>
      </c>
      <c r="E6" s="61" t="s">
        <v>1925</v>
      </c>
    </row>
    <row r="7" spans="1:25">
      <c r="B7" s="1362" t="s">
        <v>3433</v>
      </c>
    </row>
    <row r="8" spans="1:25">
      <c r="B8" s="1362" t="s">
        <v>3434</v>
      </c>
    </row>
    <row r="9" spans="1:25">
      <c r="A9" s="2435" t="s">
        <v>1926</v>
      </c>
      <c r="B9" s="2436"/>
      <c r="C9" s="2436"/>
      <c r="D9" s="2436"/>
    </row>
    <row r="10" spans="1:25">
      <c r="E10" s="702"/>
      <c r="L10" s="703" t="s">
        <v>1927</v>
      </c>
      <c r="U10" s="703" t="s">
        <v>1928</v>
      </c>
    </row>
    <row r="11" spans="1:25" ht="14.25" customHeight="1" outlineLevel="1">
      <c r="A11" s="2394" t="s">
        <v>1929</v>
      </c>
      <c r="B11" s="2394" t="s">
        <v>1930</v>
      </c>
      <c r="C11" s="2395" t="s">
        <v>1931</v>
      </c>
      <c r="D11" s="2397" t="s">
        <v>1932</v>
      </c>
      <c r="E11" s="2399" t="s">
        <v>1933</v>
      </c>
      <c r="F11" s="2403" t="s">
        <v>1934</v>
      </c>
      <c r="G11" s="2437" t="s">
        <v>1935</v>
      </c>
      <c r="H11" s="2438"/>
      <c r="I11" s="2438" t="s">
        <v>1936</v>
      </c>
      <c r="L11" s="2394" t="s">
        <v>1929</v>
      </c>
      <c r="M11" s="2394" t="s">
        <v>1930</v>
      </c>
      <c r="N11" s="2395" t="s">
        <v>1931</v>
      </c>
      <c r="O11" s="2397" t="s">
        <v>1937</v>
      </c>
      <c r="P11" s="2399" t="s">
        <v>1938</v>
      </c>
      <c r="Q11" s="2403" t="s">
        <v>1939</v>
      </c>
      <c r="U11" s="2394" t="s">
        <v>1929</v>
      </c>
      <c r="V11" s="2394" t="s">
        <v>1930</v>
      </c>
      <c r="W11" s="2395" t="s">
        <v>1931</v>
      </c>
      <c r="X11" s="2397" t="s">
        <v>1937</v>
      </c>
      <c r="Y11" s="2399" t="s">
        <v>1938</v>
      </c>
    </row>
    <row r="12" spans="1:25" outlineLevel="1">
      <c r="A12" s="2303"/>
      <c r="B12" s="2303"/>
      <c r="C12" s="2396"/>
      <c r="D12" s="2398"/>
      <c r="E12" s="2400"/>
      <c r="F12" s="2404"/>
      <c r="G12" s="2437"/>
      <c r="H12" s="2438"/>
      <c r="I12" s="2439"/>
      <c r="L12" s="2303"/>
      <c r="M12" s="2303"/>
      <c r="N12" s="2396"/>
      <c r="O12" s="2398"/>
      <c r="P12" s="2400"/>
      <c r="Q12" s="2404"/>
      <c r="U12" s="2303"/>
      <c r="V12" s="2303"/>
      <c r="W12" s="2396"/>
      <c r="X12" s="2398"/>
      <c r="Y12" s="2400"/>
    </row>
    <row r="13" spans="1:25" outlineLevel="1">
      <c r="A13" s="2401">
        <v>10</v>
      </c>
      <c r="B13" s="75">
        <v>10</v>
      </c>
      <c r="C13" s="707">
        <v>60</v>
      </c>
      <c r="D13" s="76">
        <v>9.9946000000000002</v>
      </c>
      <c r="E13" s="76"/>
      <c r="F13" s="708">
        <f t="shared" ref="F13:F34" ca="1" si="0">((I13/1.732)^2+((G13/1000000*ABS(D13)+H13)/2)^2)^0.5*2</f>
        <v>5.0308109480416978E-4</v>
      </c>
      <c r="G13" s="686">
        <v>45</v>
      </c>
      <c r="H13" s="709">
        <v>5.0000000000000002E-5</v>
      </c>
      <c r="I13" s="686">
        <f t="shared" ref="I13:I18" ca="1" si="1">10^(-IF(CELL("format",D13)="G",0,VALUE(REPLACE(CELL("format",D13),1,1,))))/2</f>
        <v>5.0000000000000002E-5</v>
      </c>
      <c r="L13" s="2401">
        <v>10</v>
      </c>
      <c r="M13" s="75">
        <v>10</v>
      </c>
      <c r="N13" s="707">
        <v>60</v>
      </c>
      <c r="O13" s="76">
        <v>9.9946000000000002</v>
      </c>
      <c r="P13" s="76"/>
      <c r="Q13" s="708">
        <f t="shared" ref="Q13:Q34" si="2">((T13/1.732)^2+((R13/1000000*ABS(O13)+S13)/2)^2)^0.5*2</f>
        <v>0</v>
      </c>
      <c r="U13" s="2401">
        <v>10</v>
      </c>
      <c r="V13" s="75">
        <v>10</v>
      </c>
      <c r="W13" s="707">
        <v>60</v>
      </c>
      <c r="X13" s="76">
        <v>9.9946000000000002</v>
      </c>
      <c r="Y13" s="76"/>
    </row>
    <row r="14" spans="1:25" outlineLevel="1">
      <c r="A14" s="2402"/>
      <c r="B14" s="75">
        <v>10</v>
      </c>
      <c r="C14" t="s">
        <v>1940</v>
      </c>
      <c r="D14" s="76">
        <v>9.9999000000000002</v>
      </c>
      <c r="E14" s="76"/>
      <c r="F14" s="708">
        <f t="shared" ca="1" si="0"/>
        <v>5.033180196661075E-4</v>
      </c>
      <c r="G14" s="686">
        <v>45</v>
      </c>
      <c r="H14" s="709">
        <v>5.0000000000000002E-5</v>
      </c>
      <c r="I14" s="686">
        <f t="shared" ca="1" si="1"/>
        <v>5.0000000000000002E-5</v>
      </c>
      <c r="L14" s="2402"/>
      <c r="M14" s="75">
        <v>10</v>
      </c>
      <c r="N14" s="710" t="s">
        <v>1940</v>
      </c>
      <c r="O14" s="76">
        <v>9.9999000000000002</v>
      </c>
      <c r="P14" s="76"/>
      <c r="Q14" s="708">
        <f t="shared" si="2"/>
        <v>0</v>
      </c>
      <c r="U14" s="2402"/>
      <c r="V14" s="75">
        <v>10</v>
      </c>
      <c r="W14" s="710" t="s">
        <v>1940</v>
      </c>
      <c r="X14" s="76">
        <v>9.9999000000000002</v>
      </c>
      <c r="Y14" s="76"/>
    </row>
    <row r="15" spans="1:25" outlineLevel="1">
      <c r="A15" s="2402"/>
      <c r="B15" s="75">
        <f>A$7*0.8</f>
        <v>0</v>
      </c>
      <c r="C15" s="75"/>
      <c r="D15" s="76">
        <v>7.9950000000000001</v>
      </c>
      <c r="E15" s="76"/>
      <c r="F15" s="708">
        <f t="shared" ca="1" si="0"/>
        <v>4.1382252177154659E-4</v>
      </c>
      <c r="G15" s="686">
        <v>45</v>
      </c>
      <c r="H15" s="709">
        <v>5.0000000000000002E-5</v>
      </c>
      <c r="I15" s="686">
        <f t="shared" ca="1" si="1"/>
        <v>5.0000000000000002E-5</v>
      </c>
      <c r="L15" s="2402"/>
      <c r="M15" s="75">
        <f>L$7*0.8</f>
        <v>0</v>
      </c>
      <c r="N15" s="75"/>
      <c r="O15" s="76">
        <v>7.9950000000000001</v>
      </c>
      <c r="P15" s="76"/>
      <c r="Q15" s="708">
        <f t="shared" si="2"/>
        <v>0</v>
      </c>
      <c r="U15" s="2402"/>
      <c r="V15" s="75">
        <f>U$7*0.8</f>
        <v>0</v>
      </c>
      <c r="W15" s="75"/>
      <c r="X15" s="76">
        <v>7.9950000000000001</v>
      </c>
      <c r="Y15" s="76"/>
    </row>
    <row r="16" spans="1:25" outlineLevel="1">
      <c r="A16" s="2402"/>
      <c r="B16" s="75">
        <f>A$7*0.7</f>
        <v>0</v>
      </c>
      <c r="C16" s="75"/>
      <c r="D16" s="76">
        <v>6.9954000000000001</v>
      </c>
      <c r="E16" s="76"/>
      <c r="F16" s="708">
        <f t="shared" ca="1" si="0"/>
        <v>3.6933380802380136E-4</v>
      </c>
      <c r="G16" s="686">
        <v>45</v>
      </c>
      <c r="H16" s="709">
        <v>5.0000000000000002E-5</v>
      </c>
      <c r="I16" s="686">
        <f t="shared" ca="1" si="1"/>
        <v>5.0000000000000002E-5</v>
      </c>
      <c r="L16" s="2402"/>
      <c r="M16" s="75">
        <f>L$7*0.7</f>
        <v>0</v>
      </c>
      <c r="N16" s="75"/>
      <c r="O16" s="76">
        <v>6.9954000000000001</v>
      </c>
      <c r="P16" s="76"/>
      <c r="Q16" s="708">
        <f t="shared" si="2"/>
        <v>0</v>
      </c>
      <c r="U16" s="2402"/>
      <c r="V16" s="75">
        <f>U$7*0.7</f>
        <v>0</v>
      </c>
      <c r="W16" s="75"/>
      <c r="X16" s="76">
        <v>6.9954000000000001</v>
      </c>
      <c r="Y16" s="76"/>
    </row>
    <row r="17" spans="1:25" outlineLevel="1">
      <c r="A17" s="2402"/>
      <c r="B17" s="75">
        <f>A$7*0.6</f>
        <v>0</v>
      </c>
      <c r="C17" s="75"/>
      <c r="D17" s="76">
        <v>5.9958</v>
      </c>
      <c r="E17" s="76"/>
      <c r="F17" s="708">
        <f t="shared" ca="1" si="0"/>
        <v>3.2498092962720469E-4</v>
      </c>
      <c r="G17" s="686">
        <v>45</v>
      </c>
      <c r="H17" s="709">
        <v>5.0000000000000002E-5</v>
      </c>
      <c r="I17" s="686">
        <f t="shared" ca="1" si="1"/>
        <v>5.0000000000000002E-5</v>
      </c>
      <c r="L17" s="2402"/>
      <c r="M17" s="75">
        <f>L$7*0.6</f>
        <v>0</v>
      </c>
      <c r="N17" s="75"/>
      <c r="O17" s="76">
        <v>5.9958</v>
      </c>
      <c r="P17" s="76"/>
      <c r="Q17" s="708">
        <f t="shared" si="2"/>
        <v>0</v>
      </c>
      <c r="U17" s="2402"/>
      <c r="V17" s="75">
        <f>U$7*0.6</f>
        <v>0</v>
      </c>
      <c r="W17" s="75"/>
      <c r="X17" s="76">
        <v>5.9958</v>
      </c>
      <c r="Y17" s="76"/>
    </row>
    <row r="18" spans="1:25" outlineLevel="1">
      <c r="A18" s="2402"/>
      <c r="B18" s="75">
        <f>A$7*0.5</f>
        <v>0</v>
      </c>
      <c r="C18" s="75"/>
      <c r="D18" s="76">
        <v>4.9962999999999997</v>
      </c>
      <c r="E18" s="76"/>
      <c r="F18" s="708">
        <f t="shared" ca="1" si="0"/>
        <v>2.8083265768534142E-4</v>
      </c>
      <c r="G18" s="686">
        <v>45</v>
      </c>
      <c r="H18" s="709">
        <v>5.0000000000000002E-5</v>
      </c>
      <c r="I18" s="686">
        <f t="shared" ca="1" si="1"/>
        <v>5.0000000000000002E-5</v>
      </c>
      <c r="L18" s="2402"/>
      <c r="M18" s="75">
        <f>L$7*0.5</f>
        <v>0</v>
      </c>
      <c r="N18" s="75"/>
      <c r="O18" s="76">
        <v>4.9962999999999997</v>
      </c>
      <c r="P18" s="76"/>
      <c r="Q18" s="708">
        <f t="shared" si="2"/>
        <v>0</v>
      </c>
      <c r="U18" s="2402"/>
      <c r="V18" s="75">
        <f>U$7*0.5</f>
        <v>0</v>
      </c>
      <c r="W18" s="75"/>
      <c r="X18" s="76">
        <v>4.9962999999999997</v>
      </c>
      <c r="Y18" s="76"/>
    </row>
    <row r="19" spans="1:25" outlineLevel="1">
      <c r="A19" s="2402"/>
      <c r="B19" s="75">
        <f>A$7*0.4</f>
        <v>0</v>
      </c>
      <c r="C19" s="75"/>
      <c r="D19" s="711">
        <v>3.9969999999999999</v>
      </c>
      <c r="E19" s="711"/>
      <c r="F19" s="708">
        <f t="shared" si="0"/>
        <v>0</v>
      </c>
      <c r="G19" s="679"/>
      <c r="H19" s="679"/>
      <c r="I19" s="679"/>
      <c r="L19" s="2402"/>
      <c r="M19" s="75">
        <f>L$7*0.4</f>
        <v>0</v>
      </c>
      <c r="N19" s="75"/>
      <c r="O19" s="711">
        <v>3.9969999999999999</v>
      </c>
      <c r="P19" s="711"/>
      <c r="Q19" s="708">
        <f t="shared" si="2"/>
        <v>0</v>
      </c>
      <c r="U19" s="2402"/>
      <c r="V19" s="75">
        <f>U$7*0.4</f>
        <v>0</v>
      </c>
      <c r="W19" s="75"/>
      <c r="X19" s="711">
        <v>3.9969999999999999</v>
      </c>
      <c r="Y19" s="711"/>
    </row>
    <row r="20" spans="1:25" outlineLevel="1">
      <c r="A20" s="2402"/>
      <c r="B20" s="75">
        <f>A$7*0.3</f>
        <v>0</v>
      </c>
      <c r="C20" s="75"/>
      <c r="D20" s="76">
        <v>2.9977999999999998</v>
      </c>
      <c r="E20" s="76"/>
      <c r="F20" s="708">
        <f t="shared" si="0"/>
        <v>0</v>
      </c>
      <c r="L20" s="2402"/>
      <c r="M20" s="75">
        <f>L$7*0.3</f>
        <v>0</v>
      </c>
      <c r="N20" s="75"/>
      <c r="O20" s="76">
        <v>2.9977999999999998</v>
      </c>
      <c r="P20" s="76"/>
      <c r="Q20" s="708">
        <f t="shared" si="2"/>
        <v>0</v>
      </c>
      <c r="U20" s="2402"/>
      <c r="V20" s="75">
        <f>U$7*0.3</f>
        <v>0</v>
      </c>
      <c r="W20" s="75"/>
      <c r="X20" s="76">
        <v>2.9977999999999998</v>
      </c>
      <c r="Y20" s="76"/>
    </row>
    <row r="21" spans="1:25" outlineLevel="1">
      <c r="A21" s="2402"/>
      <c r="B21" s="75">
        <f>A$7*0.2</f>
        <v>0</v>
      </c>
      <c r="C21" s="75"/>
      <c r="D21" s="76">
        <v>1.9987999999999999</v>
      </c>
      <c r="E21" s="76"/>
      <c r="F21" s="708">
        <f t="shared" si="0"/>
        <v>0</v>
      </c>
      <c r="L21" s="2402"/>
      <c r="M21" s="75">
        <f>L$7*0.2</f>
        <v>0</v>
      </c>
      <c r="N21" s="75"/>
      <c r="O21" s="76">
        <v>1.9987999999999999</v>
      </c>
      <c r="P21" s="76"/>
      <c r="Q21" s="708">
        <f t="shared" si="2"/>
        <v>0</v>
      </c>
      <c r="U21" s="2402"/>
      <c r="V21" s="75">
        <f>U$7*0.2</f>
        <v>0</v>
      </c>
      <c r="W21" s="75"/>
      <c r="X21" s="76">
        <v>1.9987999999999999</v>
      </c>
      <c r="Y21" s="76"/>
    </row>
    <row r="22" spans="1:25" outlineLevel="1">
      <c r="A22" s="2402"/>
      <c r="B22" s="75">
        <f>A$7*0.1</f>
        <v>0</v>
      </c>
      <c r="C22" s="75"/>
      <c r="D22" s="76">
        <v>0.99997999999999998</v>
      </c>
      <c r="E22" s="76"/>
      <c r="F22" s="708">
        <f t="shared" si="0"/>
        <v>0</v>
      </c>
      <c r="L22" s="2402"/>
      <c r="M22" s="75">
        <f>L$7*0.1</f>
        <v>0</v>
      </c>
      <c r="N22" s="75"/>
      <c r="O22" s="76">
        <v>0.99997999999999998</v>
      </c>
      <c r="P22" s="76"/>
      <c r="Q22" s="708">
        <f t="shared" si="2"/>
        <v>0</v>
      </c>
      <c r="U22" s="2402"/>
      <c r="V22" s="75">
        <f>U$7*0.1</f>
        <v>0</v>
      </c>
      <c r="W22" s="75"/>
      <c r="X22" s="76">
        <v>0.99997999999999998</v>
      </c>
      <c r="Y22" s="76"/>
    </row>
    <row r="23" spans="1:25" outlineLevel="1">
      <c r="A23" s="2387">
        <v>100</v>
      </c>
      <c r="B23" s="48">
        <f>A$17*1</f>
        <v>0</v>
      </c>
      <c r="C23" s="48"/>
      <c r="D23" s="48">
        <v>99.997</v>
      </c>
      <c r="E23" s="48"/>
      <c r="F23" s="48">
        <f t="shared" si="0"/>
        <v>0</v>
      </c>
      <c r="L23" s="2387">
        <v>100</v>
      </c>
      <c r="M23" s="48">
        <f>L$17*1</f>
        <v>0</v>
      </c>
      <c r="N23" s="48"/>
      <c r="O23" s="48">
        <v>99.997</v>
      </c>
      <c r="P23" s="48"/>
      <c r="Q23" s="712">
        <f t="shared" si="2"/>
        <v>0</v>
      </c>
      <c r="U23" s="2387">
        <v>100</v>
      </c>
      <c r="V23" s="48">
        <f>U$17*1</f>
        <v>0</v>
      </c>
      <c r="W23" s="48"/>
      <c r="X23" s="48">
        <v>99.997</v>
      </c>
      <c r="Y23" s="48"/>
    </row>
    <row r="24" spans="1:25" outlineLevel="1">
      <c r="A24" s="2388"/>
      <c r="B24" s="48">
        <v>50</v>
      </c>
      <c r="C24" s="48"/>
      <c r="D24" s="48">
        <v>49.991</v>
      </c>
      <c r="E24" s="48"/>
      <c r="F24" s="48">
        <f t="shared" si="0"/>
        <v>0</v>
      </c>
      <c r="L24" s="2388"/>
      <c r="M24" s="48">
        <v>50</v>
      </c>
      <c r="N24" s="48"/>
      <c r="O24" s="48">
        <v>49.991</v>
      </c>
      <c r="P24" s="48"/>
      <c r="Q24" s="48">
        <f t="shared" si="2"/>
        <v>0</v>
      </c>
      <c r="U24" s="2388"/>
      <c r="V24" s="48">
        <v>50</v>
      </c>
      <c r="W24" s="48"/>
      <c r="X24" s="48">
        <v>49.991</v>
      </c>
      <c r="Y24" s="48"/>
    </row>
    <row r="25" spans="1:25" outlineLevel="1">
      <c r="A25" s="2388"/>
      <c r="B25" s="48">
        <v>10</v>
      </c>
      <c r="C25" s="48"/>
      <c r="D25" s="48">
        <v>10.002000000000001</v>
      </c>
      <c r="E25" s="48"/>
      <c r="F25" s="48">
        <f t="shared" si="0"/>
        <v>0</v>
      </c>
      <c r="L25" s="2388"/>
      <c r="M25" s="48">
        <v>10</v>
      </c>
      <c r="N25" s="48"/>
      <c r="O25" s="48">
        <v>10.002000000000001</v>
      </c>
      <c r="P25" s="48"/>
      <c r="Q25" s="48">
        <f t="shared" si="2"/>
        <v>0</v>
      </c>
      <c r="U25" s="2388"/>
      <c r="V25" s="48">
        <v>10</v>
      </c>
      <c r="W25" s="48"/>
      <c r="X25" s="48">
        <v>10.002000000000001</v>
      </c>
      <c r="Y25" s="48"/>
    </row>
    <row r="26" spans="1:25" outlineLevel="1">
      <c r="A26" s="2389">
        <v>1</v>
      </c>
      <c r="B26" s="52">
        <f>A$20*1</f>
        <v>0</v>
      </c>
      <c r="C26" s="52"/>
      <c r="D26" s="52">
        <v>0.99997000000000003</v>
      </c>
      <c r="E26" s="52"/>
      <c r="F26" s="77">
        <f t="shared" si="0"/>
        <v>0</v>
      </c>
      <c r="L26" s="2389">
        <v>1</v>
      </c>
      <c r="M26" s="52">
        <f>L$20*1</f>
        <v>0</v>
      </c>
      <c r="N26" s="52"/>
      <c r="O26" s="52">
        <v>0.99997000000000003</v>
      </c>
      <c r="P26" s="52"/>
      <c r="Q26" s="77">
        <f t="shared" si="2"/>
        <v>0</v>
      </c>
      <c r="U26" s="2389">
        <v>1</v>
      </c>
      <c r="V26" s="52">
        <f>U$20*1</f>
        <v>0</v>
      </c>
      <c r="W26" s="52"/>
      <c r="X26" s="52">
        <v>0.99997000000000003</v>
      </c>
      <c r="Y26" s="52"/>
    </row>
    <row r="27" spans="1:25" outlineLevel="1">
      <c r="A27" s="2390"/>
      <c r="B27" s="52">
        <f>A$20*0.5</f>
        <v>0</v>
      </c>
      <c r="C27" s="52"/>
      <c r="D27" s="52">
        <v>0.49989</v>
      </c>
      <c r="E27" s="52"/>
      <c r="F27" s="77">
        <f t="shared" si="0"/>
        <v>0</v>
      </c>
      <c r="L27" s="2390"/>
      <c r="M27" s="52">
        <f>L$20*0.5</f>
        <v>0</v>
      </c>
      <c r="N27" s="52"/>
      <c r="O27" s="52">
        <v>0.49989</v>
      </c>
      <c r="P27" s="52"/>
      <c r="Q27" s="77">
        <f t="shared" si="2"/>
        <v>0</v>
      </c>
      <c r="U27" s="2390"/>
      <c r="V27" s="52">
        <f>U$20*0.5</f>
        <v>0</v>
      </c>
      <c r="W27" s="52"/>
      <c r="X27" s="52">
        <v>0.49989</v>
      </c>
      <c r="Y27" s="52"/>
    </row>
    <row r="28" spans="1:25" outlineLevel="1">
      <c r="A28" s="2390"/>
      <c r="B28" s="52">
        <f>A$20*0.1</f>
        <v>0</v>
      </c>
      <c r="C28" s="52"/>
      <c r="D28" s="52">
        <v>9.9997000000000003E-2</v>
      </c>
      <c r="E28" s="52"/>
      <c r="F28" s="77">
        <f t="shared" si="0"/>
        <v>0</v>
      </c>
      <c r="L28" s="2390"/>
      <c r="M28" s="52">
        <f>L$20*0.1</f>
        <v>0</v>
      </c>
      <c r="N28" s="52"/>
      <c r="O28" s="52">
        <v>9.9997000000000003E-2</v>
      </c>
      <c r="P28" s="52"/>
      <c r="Q28" s="77">
        <f t="shared" si="2"/>
        <v>0</v>
      </c>
      <c r="U28" s="2390"/>
      <c r="V28" s="52">
        <f>U$20*0.1</f>
        <v>0</v>
      </c>
      <c r="W28" s="52"/>
      <c r="X28" s="52">
        <v>9.9997000000000003E-2</v>
      </c>
      <c r="Y28" s="52"/>
    </row>
    <row r="29" spans="1:25" outlineLevel="1">
      <c r="A29" s="2389">
        <v>100</v>
      </c>
      <c r="B29" s="78">
        <f>A$23*1</f>
        <v>100</v>
      </c>
      <c r="C29" s="78"/>
      <c r="D29" s="78">
        <v>99.944999999999993</v>
      </c>
      <c r="E29" s="78"/>
      <c r="F29" s="78">
        <f t="shared" si="0"/>
        <v>0</v>
      </c>
      <c r="L29" s="2389">
        <v>100</v>
      </c>
      <c r="M29" s="78">
        <f>L$23*1</f>
        <v>100</v>
      </c>
      <c r="N29" s="78"/>
      <c r="O29" s="78">
        <v>99.944999999999993</v>
      </c>
      <c r="P29" s="78"/>
      <c r="Q29" s="78">
        <f t="shared" si="2"/>
        <v>0</v>
      </c>
      <c r="U29" s="2389">
        <v>100</v>
      </c>
      <c r="V29" s="78">
        <f>U$23*1</f>
        <v>100</v>
      </c>
      <c r="W29" s="78"/>
      <c r="X29" s="78">
        <v>99.944999999999993</v>
      </c>
      <c r="Y29" s="78"/>
    </row>
    <row r="30" spans="1:25" outlineLevel="1">
      <c r="A30" s="2390"/>
      <c r="B30" s="78">
        <v>50</v>
      </c>
      <c r="C30" s="78"/>
      <c r="D30" s="78">
        <v>49.963000000000001</v>
      </c>
      <c r="E30" s="78"/>
      <c r="F30" s="78">
        <f t="shared" si="0"/>
        <v>0</v>
      </c>
      <c r="L30" s="2390"/>
      <c r="M30" s="78">
        <v>50</v>
      </c>
      <c r="N30" s="78"/>
      <c r="O30" s="78">
        <v>49.963000000000001</v>
      </c>
      <c r="P30" s="78"/>
      <c r="Q30" s="78">
        <f t="shared" si="2"/>
        <v>0</v>
      </c>
      <c r="U30" s="2390"/>
      <c r="V30" s="78">
        <v>50</v>
      </c>
      <c r="W30" s="78"/>
      <c r="X30" s="78">
        <v>49.963000000000001</v>
      </c>
      <c r="Y30" s="78"/>
    </row>
    <row r="31" spans="1:25" outlineLevel="1">
      <c r="A31" s="2390"/>
      <c r="B31" s="79">
        <v>10</v>
      </c>
      <c r="C31" s="79"/>
      <c r="D31" s="79">
        <v>9.9946999999999999</v>
      </c>
      <c r="E31" s="79"/>
      <c r="F31" s="78">
        <f t="shared" si="0"/>
        <v>0</v>
      </c>
      <c r="L31" s="2390"/>
      <c r="M31" s="79">
        <v>10</v>
      </c>
      <c r="N31" s="79"/>
      <c r="O31" s="79">
        <v>9.9946999999999999</v>
      </c>
      <c r="P31" s="79"/>
      <c r="Q31" s="78">
        <f t="shared" si="2"/>
        <v>0</v>
      </c>
      <c r="U31" s="2390"/>
      <c r="V31" s="79">
        <v>10</v>
      </c>
      <c r="W31" s="79"/>
      <c r="X31" s="79">
        <v>9.9946999999999999</v>
      </c>
      <c r="Y31" s="79"/>
    </row>
    <row r="32" spans="1:25" outlineLevel="1">
      <c r="A32" s="2391">
        <v>750</v>
      </c>
      <c r="B32" s="80">
        <f>A$26*1</f>
        <v>1</v>
      </c>
      <c r="C32" s="80"/>
      <c r="D32" s="80">
        <v>749.6</v>
      </c>
      <c r="E32" s="80"/>
      <c r="F32" s="80">
        <f t="shared" si="0"/>
        <v>0</v>
      </c>
      <c r="L32" s="2391">
        <v>750</v>
      </c>
      <c r="M32" s="80">
        <f>L$26*1</f>
        <v>1</v>
      </c>
      <c r="N32" s="80"/>
      <c r="O32" s="80">
        <v>749.6</v>
      </c>
      <c r="P32" s="80"/>
      <c r="Q32" s="80">
        <f t="shared" si="2"/>
        <v>0</v>
      </c>
      <c r="U32" s="2391">
        <v>750</v>
      </c>
      <c r="V32" s="80">
        <f>U$26*1</f>
        <v>1</v>
      </c>
      <c r="W32" s="80"/>
      <c r="X32" s="80">
        <v>749.6</v>
      </c>
      <c r="Y32" s="80"/>
    </row>
    <row r="33" spans="1:56" outlineLevel="1">
      <c r="A33" s="2392"/>
      <c r="B33" s="80">
        <v>500</v>
      </c>
      <c r="C33" s="80"/>
      <c r="D33" s="80">
        <v>499.69</v>
      </c>
      <c r="E33" s="80"/>
      <c r="F33" s="80">
        <f t="shared" si="0"/>
        <v>0</v>
      </c>
      <c r="L33" s="2392"/>
      <c r="M33" s="80">
        <v>500</v>
      </c>
      <c r="N33" s="80"/>
      <c r="O33" s="80">
        <v>499.69</v>
      </c>
      <c r="P33" s="80"/>
      <c r="Q33" s="80">
        <f t="shared" si="2"/>
        <v>0</v>
      </c>
      <c r="U33" s="2392"/>
      <c r="V33" s="80">
        <v>500</v>
      </c>
      <c r="W33" s="80"/>
      <c r="X33" s="80">
        <v>499.69</v>
      </c>
      <c r="Y33" s="80"/>
    </row>
    <row r="34" spans="1:56" outlineLevel="1">
      <c r="A34" s="2393"/>
      <c r="B34" s="80">
        <v>100</v>
      </c>
      <c r="C34" s="80"/>
      <c r="D34" s="80">
        <v>99.942999999999998</v>
      </c>
      <c r="E34" s="80"/>
      <c r="F34" s="80">
        <f t="shared" si="0"/>
        <v>0</v>
      </c>
      <c r="L34" s="2393"/>
      <c r="M34" s="80">
        <v>100</v>
      </c>
      <c r="N34" s="80"/>
      <c r="O34" s="80">
        <v>99.942999999999998</v>
      </c>
      <c r="P34" s="80"/>
      <c r="Q34" s="80">
        <f t="shared" si="2"/>
        <v>0</v>
      </c>
      <c r="U34" s="2393"/>
      <c r="V34" s="80">
        <v>100</v>
      </c>
      <c r="W34" s="80"/>
      <c r="X34" s="80">
        <v>99.942999999999998</v>
      </c>
      <c r="Y34" s="80"/>
    </row>
    <row r="35" spans="1:56" outlineLevel="1"/>
    <row r="36" spans="1:56" outlineLevel="1">
      <c r="A36" s="702"/>
    </row>
    <row r="37" spans="1:56" outlineLevel="1">
      <c r="B37" s="702"/>
    </row>
    <row r="38" spans="1:56">
      <c r="A38" s="703" t="s">
        <v>1941</v>
      </c>
    </row>
    <row r="39" spans="1:56">
      <c r="A39" s="2432" t="s">
        <v>1942</v>
      </c>
      <c r="B39" s="2433"/>
      <c r="C39" s="2433"/>
      <c r="D39" s="2433"/>
      <c r="E39" s="2433"/>
      <c r="F39" s="2433"/>
    </row>
    <row r="40" spans="1:56">
      <c r="Z40" s="703" t="s">
        <v>1943</v>
      </c>
      <c r="AQ40" s="703" t="s">
        <v>1944</v>
      </c>
    </row>
    <row r="41" spans="1:56">
      <c r="A41" s="713" t="s">
        <v>1945</v>
      </c>
      <c r="B41" t="s">
        <v>4221</v>
      </c>
      <c r="C41" s="714"/>
      <c r="D41" s="714"/>
      <c r="E41" s="714"/>
      <c r="F41" s="714"/>
      <c r="G41" s="714"/>
      <c r="H41" s="714"/>
      <c r="I41" s="714"/>
      <c r="J41" s="714"/>
      <c r="K41" s="714"/>
      <c r="L41" s="715"/>
      <c r="M41" s="715"/>
      <c r="N41" s="715"/>
      <c r="O41" s="716"/>
      <c r="P41" t="s">
        <v>1946</v>
      </c>
      <c r="Z41" s="713" t="s">
        <v>1945</v>
      </c>
      <c r="AA41" s="714" t="s">
        <v>120</v>
      </c>
      <c r="AB41" s="714"/>
      <c r="AC41" s="714"/>
      <c r="AD41" s="714"/>
      <c r="AE41" s="714"/>
      <c r="AF41" s="714"/>
      <c r="AG41" s="714"/>
      <c r="AH41" s="714"/>
      <c r="AI41" s="714"/>
      <c r="AJ41" s="714"/>
      <c r="AK41" s="715"/>
      <c r="AL41" s="715"/>
      <c r="AM41" s="715"/>
      <c r="AN41" s="716"/>
      <c r="AQ41" s="713" t="s">
        <v>1945</v>
      </c>
      <c r="AR41" s="714" t="s">
        <v>120</v>
      </c>
      <c r="AS41" s="714"/>
      <c r="AT41" s="714"/>
      <c r="AU41" s="714"/>
      <c r="AV41" s="714"/>
      <c r="AW41" s="714"/>
      <c r="AX41" s="714"/>
      <c r="AY41" s="714"/>
      <c r="AZ41" s="714"/>
      <c r="BA41" s="714"/>
      <c r="BB41" s="715"/>
      <c r="BC41" s="715"/>
      <c r="BD41" s="715"/>
    </row>
    <row r="42" spans="1:56" ht="14.25" customHeight="1">
      <c r="A42" s="2381" t="s">
        <v>1947</v>
      </c>
      <c r="B42" s="2382"/>
      <c r="C42" s="2385" t="s">
        <v>1948</v>
      </c>
      <c r="D42" s="2386"/>
      <c r="E42" s="2386"/>
      <c r="F42" s="2379"/>
      <c r="G42" s="2385" t="s">
        <v>1949</v>
      </c>
      <c r="H42" s="2386"/>
      <c r="I42" s="2386"/>
      <c r="J42" s="2379"/>
      <c r="K42" s="2385" t="s">
        <v>1950</v>
      </c>
      <c r="L42" s="2386"/>
      <c r="M42" s="2386"/>
      <c r="N42" s="2379"/>
      <c r="O42" s="2380" t="s">
        <v>1951</v>
      </c>
      <c r="Z42" s="2381" t="s">
        <v>1947</v>
      </c>
      <c r="AA42" s="2382"/>
      <c r="AB42" s="2385" t="s">
        <v>1948</v>
      </c>
      <c r="AC42" s="2386"/>
      <c r="AD42" s="2386"/>
      <c r="AE42" s="2379"/>
      <c r="AF42" s="2385" t="s">
        <v>1949</v>
      </c>
      <c r="AG42" s="2386"/>
      <c r="AH42" s="2386"/>
      <c r="AI42" s="2379"/>
      <c r="AJ42" s="2385" t="s">
        <v>1950</v>
      </c>
      <c r="AK42" s="2386"/>
      <c r="AL42" s="2386"/>
      <c r="AM42" s="2379"/>
      <c r="AN42" s="2380" t="s">
        <v>1951</v>
      </c>
      <c r="AQ42" s="2381" t="s">
        <v>1947</v>
      </c>
      <c r="AR42" s="2382"/>
      <c r="AS42" s="2385" t="s">
        <v>1948</v>
      </c>
      <c r="AT42" s="2386"/>
      <c r="AU42" s="2386"/>
      <c r="AV42" s="2379"/>
      <c r="AW42" s="2385" t="s">
        <v>1949</v>
      </c>
      <c r="AX42" s="2386"/>
      <c r="AY42" s="2386"/>
      <c r="AZ42" s="2379"/>
      <c r="BA42" s="2385" t="s">
        <v>1950</v>
      </c>
      <c r="BB42" s="2386"/>
      <c r="BC42" s="2386"/>
      <c r="BD42" s="2379"/>
    </row>
    <row r="43" spans="1:56" ht="18.75">
      <c r="A43" s="2383"/>
      <c r="B43" s="2384"/>
      <c r="C43" s="2378" t="s">
        <v>1952</v>
      </c>
      <c r="D43" s="2379"/>
      <c r="E43" s="2378" t="s">
        <v>1953</v>
      </c>
      <c r="F43" s="2379"/>
      <c r="G43" s="2378" t="s">
        <v>1952</v>
      </c>
      <c r="H43" s="2379"/>
      <c r="I43" s="2378" t="s">
        <v>1953</v>
      </c>
      <c r="J43" s="2379"/>
      <c r="K43" s="2378" t="s">
        <v>1952</v>
      </c>
      <c r="L43" s="2379"/>
      <c r="M43" s="2378" t="s">
        <v>1953</v>
      </c>
      <c r="N43" s="2379"/>
      <c r="O43" s="2380"/>
      <c r="P43" t="s">
        <v>1954</v>
      </c>
      <c r="Z43" s="2383"/>
      <c r="AA43" s="2384"/>
      <c r="AB43" s="2378" t="s">
        <v>1952</v>
      </c>
      <c r="AC43" s="2379"/>
      <c r="AD43" s="2378" t="s">
        <v>1953</v>
      </c>
      <c r="AE43" s="2379"/>
      <c r="AF43" s="2378" t="s">
        <v>1952</v>
      </c>
      <c r="AG43" s="2379"/>
      <c r="AH43" s="2378" t="s">
        <v>1953</v>
      </c>
      <c r="AI43" s="2379"/>
      <c r="AJ43" s="2378" t="s">
        <v>1952</v>
      </c>
      <c r="AK43" s="2379"/>
      <c r="AL43" s="2378" t="s">
        <v>1953</v>
      </c>
      <c r="AM43" s="2379"/>
      <c r="AN43" s="2380"/>
      <c r="AQ43" s="2383"/>
      <c r="AR43" s="2384"/>
      <c r="AS43" s="2378" t="s">
        <v>1952</v>
      </c>
      <c r="AT43" s="2379"/>
      <c r="AU43" s="2378" t="s">
        <v>1953</v>
      </c>
      <c r="AV43" s="2379"/>
      <c r="AW43" s="2378" t="s">
        <v>1952</v>
      </c>
      <c r="AX43" s="2379"/>
      <c r="AY43" s="2378" t="s">
        <v>1953</v>
      </c>
      <c r="AZ43" s="2379"/>
      <c r="BA43" s="2378" t="s">
        <v>1952</v>
      </c>
      <c r="BB43" s="2379"/>
      <c r="BC43" s="2378" t="s">
        <v>1953</v>
      </c>
      <c r="BD43" s="2379"/>
    </row>
    <row r="44" spans="1:56">
      <c r="A44" s="2369">
        <v>200</v>
      </c>
      <c r="B44" s="2370"/>
      <c r="C44" s="2350">
        <v>99.2</v>
      </c>
      <c r="D44" s="2350"/>
      <c r="E44" s="2350">
        <v>99.7</v>
      </c>
      <c r="F44" s="2350"/>
      <c r="G44" s="2351">
        <v>99.95</v>
      </c>
      <c r="H44" s="2351"/>
      <c r="I44" s="2351">
        <v>99.94</v>
      </c>
      <c r="J44" s="2351"/>
      <c r="K44" s="2352" t="e">
        <f>(C44-G44)/$A$43*100</f>
        <v>#DIV/0!</v>
      </c>
      <c r="L44" s="2353"/>
      <c r="M44" s="2352" t="e">
        <f>(E44-I44)/$A$43*100</f>
        <v>#DIV/0!</v>
      </c>
      <c r="N44" s="2353"/>
      <c r="O44" s="1749">
        <f>2*(0.00002^2+0.00005^2+0.00029^2)^0.5</f>
        <v>5.8991524815010506E-4</v>
      </c>
      <c r="P44" s="702" t="s">
        <v>1955</v>
      </c>
      <c r="Z44" s="2369">
        <v>200</v>
      </c>
      <c r="AA44" s="2370"/>
      <c r="AB44" s="2350">
        <v>99.2</v>
      </c>
      <c r="AC44" s="2350"/>
      <c r="AD44" s="2350">
        <v>99.7</v>
      </c>
      <c r="AE44" s="2350"/>
      <c r="AF44" s="2351">
        <v>99.95</v>
      </c>
      <c r="AG44" s="2351"/>
      <c r="AH44" s="2351">
        <v>99.94</v>
      </c>
      <c r="AI44" s="2351"/>
      <c r="AJ44" s="2352" t="e">
        <f>(AB44-AF44)/$A$43*100</f>
        <v>#DIV/0!</v>
      </c>
      <c r="AK44" s="2353"/>
      <c r="AL44" s="2352" t="e">
        <f>(AD44-AH44)/$A$43*100</f>
        <v>#DIV/0!</v>
      </c>
      <c r="AM44" s="2353"/>
      <c r="AN44" s="2375">
        <f>2*(0.00002^2+0.00005^2+0.00029^2)^0.5</f>
        <v>5.8991524815010506E-4</v>
      </c>
      <c r="AQ44" s="2369">
        <v>200</v>
      </c>
      <c r="AR44" s="2370"/>
      <c r="AS44" s="2350">
        <v>99.2</v>
      </c>
      <c r="AT44" s="2350"/>
      <c r="AU44" s="2350">
        <v>99.7</v>
      </c>
      <c r="AV44" s="2350"/>
      <c r="AW44" s="2351">
        <v>99.95</v>
      </c>
      <c r="AX44" s="2351"/>
      <c r="AY44" s="2351">
        <v>99.94</v>
      </c>
      <c r="AZ44" s="2351"/>
      <c r="BA44" s="2352" t="e">
        <f>(AS44-AW44)/$A$43*100</f>
        <v>#DIV/0!</v>
      </c>
      <c r="BB44" s="2353"/>
      <c r="BC44" s="2352" t="e">
        <f>(AU44-AY44)/$A$43*100</f>
        <v>#DIV/0!</v>
      </c>
      <c r="BD44" s="2353"/>
    </row>
    <row r="45" spans="1:56">
      <c r="A45" s="2371"/>
      <c r="B45" s="2372"/>
      <c r="C45" s="2350">
        <v>89.1</v>
      </c>
      <c r="D45" s="2350"/>
      <c r="E45" s="2350">
        <v>89.8</v>
      </c>
      <c r="F45" s="2350"/>
      <c r="G45" s="2351">
        <v>89.96</v>
      </c>
      <c r="H45" s="2351"/>
      <c r="I45" s="2351">
        <v>89.93</v>
      </c>
      <c r="J45" s="2351"/>
      <c r="K45" s="2352" t="e">
        <f t="shared" ref="K45:K70" si="3">(C45-G45)/$A$43*100</f>
        <v>#DIV/0!</v>
      </c>
      <c r="L45" s="2353"/>
      <c r="M45" s="2352" t="e">
        <f t="shared" ref="M45:M70" si="4">(E45-I45)/$A$43*100</f>
        <v>#DIV/0!</v>
      </c>
      <c r="N45" s="2353"/>
      <c r="O45" s="1749"/>
      <c r="P45" s="721" t="s">
        <v>1956</v>
      </c>
      <c r="Z45" s="2371"/>
      <c r="AA45" s="2372"/>
      <c r="AB45" s="2350">
        <v>89.1</v>
      </c>
      <c r="AC45" s="2350"/>
      <c r="AD45" s="2350">
        <v>89.8</v>
      </c>
      <c r="AE45" s="2350"/>
      <c r="AF45" s="2351">
        <v>89.96</v>
      </c>
      <c r="AG45" s="2351"/>
      <c r="AH45" s="2351">
        <v>89.93</v>
      </c>
      <c r="AI45" s="2351"/>
      <c r="AJ45" s="2352" t="e">
        <f t="shared" ref="AJ45:AJ70" si="5">(AB45-AF45)/$A$43*100</f>
        <v>#DIV/0!</v>
      </c>
      <c r="AK45" s="2353"/>
      <c r="AL45" s="2352" t="e">
        <f t="shared" ref="AL45:AL70" si="6">(AD45-AH45)/$A$43*100</f>
        <v>#DIV/0!</v>
      </c>
      <c r="AM45" s="2353"/>
      <c r="AN45" s="2376"/>
      <c r="AQ45" s="2371"/>
      <c r="AR45" s="2372"/>
      <c r="AS45" s="2350">
        <v>89.1</v>
      </c>
      <c r="AT45" s="2350"/>
      <c r="AU45" s="2350">
        <v>89.8</v>
      </c>
      <c r="AV45" s="2350"/>
      <c r="AW45" s="2351">
        <v>89.96</v>
      </c>
      <c r="AX45" s="2351"/>
      <c r="AY45" s="2351">
        <v>89.93</v>
      </c>
      <c r="AZ45" s="2351"/>
      <c r="BA45" s="2352" t="e">
        <f t="shared" ref="BA45:BA70" si="7">(AS45-AW45)/$A$43*100</f>
        <v>#DIV/0!</v>
      </c>
      <c r="BB45" s="2353"/>
      <c r="BC45" s="2352" t="e">
        <f t="shared" ref="BC45:BC70" si="8">(AU45-AY45)/$A$43*100</f>
        <v>#DIV/0!</v>
      </c>
      <c r="BD45" s="2353"/>
    </row>
    <row r="46" spans="1:56" ht="18.75">
      <c r="A46" s="2371"/>
      <c r="B46" s="2372"/>
      <c r="C46" s="2350">
        <v>79.3</v>
      </c>
      <c r="D46" s="2350"/>
      <c r="E46" s="2350">
        <v>79.900000000000006</v>
      </c>
      <c r="F46" s="2350"/>
      <c r="G46" s="2351">
        <v>80.010000000000005</v>
      </c>
      <c r="H46" s="2351"/>
      <c r="I46" s="2351">
        <v>80.02</v>
      </c>
      <c r="J46" s="2351"/>
      <c r="K46" s="2352" t="e">
        <f t="shared" si="3"/>
        <v>#DIV/0!</v>
      </c>
      <c r="L46" s="2353"/>
      <c r="M46" s="2352" t="e">
        <f t="shared" si="4"/>
        <v>#DIV/0!</v>
      </c>
      <c r="N46" s="2353"/>
      <c r="O46" s="1749"/>
      <c r="P46" t="s">
        <v>4378</v>
      </c>
      <c r="Z46" s="2371"/>
      <c r="AA46" s="2372"/>
      <c r="AB46" s="2350">
        <v>79.3</v>
      </c>
      <c r="AC46" s="2350"/>
      <c r="AD46" s="2350">
        <v>79.900000000000006</v>
      </c>
      <c r="AE46" s="2350"/>
      <c r="AF46" s="2351">
        <v>80.010000000000005</v>
      </c>
      <c r="AG46" s="2351"/>
      <c r="AH46" s="2351">
        <v>80.02</v>
      </c>
      <c r="AI46" s="2351"/>
      <c r="AJ46" s="2352" t="e">
        <f t="shared" si="5"/>
        <v>#DIV/0!</v>
      </c>
      <c r="AK46" s="2353"/>
      <c r="AL46" s="2352" t="e">
        <f t="shared" si="6"/>
        <v>#DIV/0!</v>
      </c>
      <c r="AM46" s="2353"/>
      <c r="AN46" s="2376"/>
      <c r="AQ46" s="2371"/>
      <c r="AR46" s="2372"/>
      <c r="AS46" s="2350">
        <v>79.3</v>
      </c>
      <c r="AT46" s="2350"/>
      <c r="AU46" s="2350">
        <v>79.900000000000006</v>
      </c>
      <c r="AV46" s="2350"/>
      <c r="AW46" s="2351">
        <v>80.010000000000005</v>
      </c>
      <c r="AX46" s="2351"/>
      <c r="AY46" s="2351">
        <v>80.02</v>
      </c>
      <c r="AZ46" s="2351"/>
      <c r="BA46" s="2352" t="e">
        <f t="shared" si="7"/>
        <v>#DIV/0!</v>
      </c>
      <c r="BB46" s="2353"/>
      <c r="BC46" s="2352" t="e">
        <f t="shared" si="8"/>
        <v>#DIV/0!</v>
      </c>
      <c r="BD46" s="2353"/>
    </row>
    <row r="47" spans="1:56" ht="18.75">
      <c r="A47" s="2371"/>
      <c r="B47" s="2372"/>
      <c r="C47" s="2350">
        <v>69.5</v>
      </c>
      <c r="D47" s="2350"/>
      <c r="E47" s="2350">
        <v>69.900000000000006</v>
      </c>
      <c r="F47" s="2350"/>
      <c r="G47" s="2351">
        <v>70.02</v>
      </c>
      <c r="H47" s="2351"/>
      <c r="I47" s="2351">
        <v>70.010000000000005</v>
      </c>
      <c r="J47" s="2351"/>
      <c r="K47" s="2352" t="e">
        <f t="shared" si="3"/>
        <v>#DIV/0!</v>
      </c>
      <c r="L47" s="2353"/>
      <c r="M47" s="2352" t="e">
        <f t="shared" si="4"/>
        <v>#DIV/0!</v>
      </c>
      <c r="N47" s="2353"/>
      <c r="O47" s="1749"/>
      <c r="Q47" t="s">
        <v>1957</v>
      </c>
      <c r="Z47" s="2371"/>
      <c r="AA47" s="2372"/>
      <c r="AB47" s="2350">
        <v>69.5</v>
      </c>
      <c r="AC47" s="2350"/>
      <c r="AD47" s="2350">
        <v>69.900000000000006</v>
      </c>
      <c r="AE47" s="2350"/>
      <c r="AF47" s="2351">
        <v>70.02</v>
      </c>
      <c r="AG47" s="2351"/>
      <c r="AH47" s="2351">
        <v>70.010000000000005</v>
      </c>
      <c r="AI47" s="2351"/>
      <c r="AJ47" s="2352" t="e">
        <f t="shared" si="5"/>
        <v>#DIV/0!</v>
      </c>
      <c r="AK47" s="2353"/>
      <c r="AL47" s="2352" t="e">
        <f t="shared" si="6"/>
        <v>#DIV/0!</v>
      </c>
      <c r="AM47" s="2353"/>
      <c r="AN47" s="2376"/>
      <c r="AQ47" s="2371"/>
      <c r="AR47" s="2372"/>
      <c r="AS47" s="2350">
        <v>69.5</v>
      </c>
      <c r="AT47" s="2350"/>
      <c r="AU47" s="2350">
        <v>69.900000000000006</v>
      </c>
      <c r="AV47" s="2350"/>
      <c r="AW47" s="2351">
        <v>70.02</v>
      </c>
      <c r="AX47" s="2351"/>
      <c r="AY47" s="2351">
        <v>70.010000000000005</v>
      </c>
      <c r="AZ47" s="2351"/>
      <c r="BA47" s="2352" t="e">
        <f t="shared" si="7"/>
        <v>#DIV/0!</v>
      </c>
      <c r="BB47" s="2353"/>
      <c r="BC47" s="2352" t="e">
        <f t="shared" si="8"/>
        <v>#DIV/0!</v>
      </c>
      <c r="BD47" s="2353"/>
    </row>
    <row r="48" spans="1:56">
      <c r="A48" s="2371"/>
      <c r="B48" s="2372"/>
      <c r="C48" s="2350">
        <v>59.3</v>
      </c>
      <c r="D48" s="2350"/>
      <c r="E48" s="2350">
        <v>60</v>
      </c>
      <c r="F48" s="2350"/>
      <c r="G48" s="2351">
        <v>60.02</v>
      </c>
      <c r="H48" s="2351"/>
      <c r="I48" s="2351">
        <v>60.02</v>
      </c>
      <c r="J48" s="2351"/>
      <c r="K48" s="2352" t="e">
        <f t="shared" si="3"/>
        <v>#DIV/0!</v>
      </c>
      <c r="L48" s="2353"/>
      <c r="M48" s="2352" t="e">
        <f t="shared" si="4"/>
        <v>#DIV/0!</v>
      </c>
      <c r="N48" s="2353"/>
      <c r="O48" s="1749"/>
      <c r="P48" s="702" t="s">
        <v>1958</v>
      </c>
      <c r="Z48" s="2371"/>
      <c r="AA48" s="2372"/>
      <c r="AB48" s="2350">
        <v>59.3</v>
      </c>
      <c r="AC48" s="2350"/>
      <c r="AD48" s="2350">
        <v>60</v>
      </c>
      <c r="AE48" s="2350"/>
      <c r="AF48" s="2351">
        <v>60.02</v>
      </c>
      <c r="AG48" s="2351"/>
      <c r="AH48" s="2351">
        <v>60.02</v>
      </c>
      <c r="AI48" s="2351"/>
      <c r="AJ48" s="2352" t="e">
        <f t="shared" si="5"/>
        <v>#DIV/0!</v>
      </c>
      <c r="AK48" s="2353"/>
      <c r="AL48" s="2352" t="e">
        <f t="shared" si="6"/>
        <v>#DIV/0!</v>
      </c>
      <c r="AM48" s="2353"/>
      <c r="AN48" s="2376"/>
      <c r="AQ48" s="2371"/>
      <c r="AR48" s="2372"/>
      <c r="AS48" s="2350">
        <v>59.3</v>
      </c>
      <c r="AT48" s="2350"/>
      <c r="AU48" s="2350">
        <v>60</v>
      </c>
      <c r="AV48" s="2350"/>
      <c r="AW48" s="2351">
        <v>60.02</v>
      </c>
      <c r="AX48" s="2351"/>
      <c r="AY48" s="2351">
        <v>60.02</v>
      </c>
      <c r="AZ48" s="2351"/>
      <c r="BA48" s="2352" t="e">
        <f t="shared" si="7"/>
        <v>#DIV/0!</v>
      </c>
      <c r="BB48" s="2353"/>
      <c r="BC48" s="2352" t="e">
        <f t="shared" si="8"/>
        <v>#DIV/0!</v>
      </c>
      <c r="BD48" s="2353"/>
    </row>
    <row r="49" spans="1:56">
      <c r="A49" s="2371"/>
      <c r="B49" s="2372"/>
      <c r="C49" s="2350">
        <v>49.7</v>
      </c>
      <c r="D49" s="2350"/>
      <c r="E49" s="2350">
        <v>49.9</v>
      </c>
      <c r="F49" s="2350"/>
      <c r="G49" s="2351">
        <v>50</v>
      </c>
      <c r="H49" s="2351"/>
      <c r="I49" s="2351">
        <v>50</v>
      </c>
      <c r="J49" s="2351"/>
      <c r="K49" s="2352" t="e">
        <f t="shared" si="3"/>
        <v>#DIV/0!</v>
      </c>
      <c r="L49" s="2353"/>
      <c r="M49" s="2352" t="e">
        <f t="shared" si="4"/>
        <v>#DIV/0!</v>
      </c>
      <c r="N49" s="2353"/>
      <c r="O49" s="1749"/>
      <c r="Z49" s="2371"/>
      <c r="AA49" s="2372"/>
      <c r="AB49" s="2350">
        <v>49.7</v>
      </c>
      <c r="AC49" s="2350"/>
      <c r="AD49" s="2350">
        <v>49.9</v>
      </c>
      <c r="AE49" s="2350"/>
      <c r="AF49" s="2351">
        <v>50</v>
      </c>
      <c r="AG49" s="2351"/>
      <c r="AH49" s="2351">
        <v>50</v>
      </c>
      <c r="AI49" s="2351"/>
      <c r="AJ49" s="2352" t="e">
        <f t="shared" si="5"/>
        <v>#DIV/0!</v>
      </c>
      <c r="AK49" s="2353"/>
      <c r="AL49" s="2352" t="e">
        <f t="shared" si="6"/>
        <v>#DIV/0!</v>
      </c>
      <c r="AM49" s="2353"/>
      <c r="AN49" s="2376"/>
      <c r="AQ49" s="2371"/>
      <c r="AR49" s="2372"/>
      <c r="AS49" s="2350">
        <v>49.7</v>
      </c>
      <c r="AT49" s="2350"/>
      <c r="AU49" s="2350">
        <v>49.9</v>
      </c>
      <c r="AV49" s="2350"/>
      <c r="AW49" s="2351">
        <v>50</v>
      </c>
      <c r="AX49" s="2351"/>
      <c r="AY49" s="2351">
        <v>50</v>
      </c>
      <c r="AZ49" s="2351"/>
      <c r="BA49" s="2352" t="e">
        <f t="shared" si="7"/>
        <v>#DIV/0!</v>
      </c>
      <c r="BB49" s="2353"/>
      <c r="BC49" s="2352" t="e">
        <f t="shared" si="8"/>
        <v>#DIV/0!</v>
      </c>
      <c r="BD49" s="2353"/>
    </row>
    <row r="50" spans="1:56">
      <c r="A50" s="2371"/>
      <c r="B50" s="2372"/>
      <c r="C50" s="2350">
        <v>39.299999999999997</v>
      </c>
      <c r="D50" s="2350"/>
      <c r="E50" s="2350">
        <v>40</v>
      </c>
      <c r="F50" s="2350"/>
      <c r="G50" s="2351">
        <v>40.020000000000003</v>
      </c>
      <c r="H50" s="2351"/>
      <c r="I50" s="2351">
        <v>40.020000000000003</v>
      </c>
      <c r="J50" s="2351"/>
      <c r="K50" s="2352" t="e">
        <f t="shared" si="3"/>
        <v>#DIV/0!</v>
      </c>
      <c r="L50" s="2353"/>
      <c r="M50" s="2352" t="e">
        <f t="shared" si="4"/>
        <v>#DIV/0!</v>
      </c>
      <c r="N50" s="2353"/>
      <c r="O50" s="1749"/>
      <c r="Z50" s="2371"/>
      <c r="AA50" s="2372"/>
      <c r="AB50" s="2350">
        <v>39.299999999999997</v>
      </c>
      <c r="AC50" s="2350"/>
      <c r="AD50" s="2350">
        <v>40</v>
      </c>
      <c r="AE50" s="2350"/>
      <c r="AF50" s="2351">
        <v>40.020000000000003</v>
      </c>
      <c r="AG50" s="2351"/>
      <c r="AH50" s="2351">
        <v>40.020000000000003</v>
      </c>
      <c r="AI50" s="2351"/>
      <c r="AJ50" s="2352" t="e">
        <f t="shared" si="5"/>
        <v>#DIV/0!</v>
      </c>
      <c r="AK50" s="2353"/>
      <c r="AL50" s="2352" t="e">
        <f t="shared" si="6"/>
        <v>#DIV/0!</v>
      </c>
      <c r="AM50" s="2353"/>
      <c r="AN50" s="2376"/>
      <c r="AQ50" s="2371"/>
      <c r="AR50" s="2372"/>
      <c r="AS50" s="2350">
        <v>39.299999999999997</v>
      </c>
      <c r="AT50" s="2350"/>
      <c r="AU50" s="2350">
        <v>40</v>
      </c>
      <c r="AV50" s="2350"/>
      <c r="AW50" s="2351">
        <v>40.020000000000003</v>
      </c>
      <c r="AX50" s="2351"/>
      <c r="AY50" s="2351">
        <v>40.020000000000003</v>
      </c>
      <c r="AZ50" s="2351"/>
      <c r="BA50" s="2352" t="e">
        <f t="shared" si="7"/>
        <v>#DIV/0!</v>
      </c>
      <c r="BB50" s="2353"/>
      <c r="BC50" s="2352" t="e">
        <f t="shared" si="8"/>
        <v>#DIV/0!</v>
      </c>
      <c r="BD50" s="2353"/>
    </row>
    <row r="51" spans="1:56">
      <c r="A51" s="2371"/>
      <c r="B51" s="2372"/>
      <c r="C51" s="2350">
        <v>29.4</v>
      </c>
      <c r="D51" s="2350"/>
      <c r="E51" s="2350">
        <v>30</v>
      </c>
      <c r="F51" s="2350"/>
      <c r="G51" s="2351">
        <v>30.01</v>
      </c>
      <c r="H51" s="2351"/>
      <c r="I51" s="2351">
        <v>30.04</v>
      </c>
      <c r="J51" s="2351"/>
      <c r="K51" s="2352" t="e">
        <f t="shared" si="3"/>
        <v>#DIV/0!</v>
      </c>
      <c r="L51" s="2353"/>
      <c r="M51" s="2352" t="e">
        <f t="shared" si="4"/>
        <v>#DIV/0!</v>
      </c>
      <c r="N51" s="2353"/>
      <c r="O51" s="1749"/>
      <c r="Z51" s="2371"/>
      <c r="AA51" s="2372"/>
      <c r="AB51" s="2350">
        <v>29.4</v>
      </c>
      <c r="AC51" s="2350"/>
      <c r="AD51" s="2350">
        <v>30</v>
      </c>
      <c r="AE51" s="2350"/>
      <c r="AF51" s="2351">
        <v>30.01</v>
      </c>
      <c r="AG51" s="2351"/>
      <c r="AH51" s="2351">
        <v>30.04</v>
      </c>
      <c r="AI51" s="2351"/>
      <c r="AJ51" s="2352" t="e">
        <f t="shared" si="5"/>
        <v>#DIV/0!</v>
      </c>
      <c r="AK51" s="2353"/>
      <c r="AL51" s="2352" t="e">
        <f t="shared" si="6"/>
        <v>#DIV/0!</v>
      </c>
      <c r="AM51" s="2353"/>
      <c r="AN51" s="2376"/>
      <c r="AQ51" s="2371"/>
      <c r="AR51" s="2372"/>
      <c r="AS51" s="2350">
        <v>29.4</v>
      </c>
      <c r="AT51" s="2350"/>
      <c r="AU51" s="2350">
        <v>30</v>
      </c>
      <c r="AV51" s="2350"/>
      <c r="AW51" s="2351">
        <v>30.01</v>
      </c>
      <c r="AX51" s="2351"/>
      <c r="AY51" s="2351">
        <v>30.04</v>
      </c>
      <c r="AZ51" s="2351"/>
      <c r="BA51" s="2352" t="e">
        <f t="shared" si="7"/>
        <v>#DIV/0!</v>
      </c>
      <c r="BB51" s="2353"/>
      <c r="BC51" s="2352" t="e">
        <f t="shared" si="8"/>
        <v>#DIV/0!</v>
      </c>
      <c r="BD51" s="2353"/>
    </row>
    <row r="52" spans="1:56">
      <c r="A52" s="2371"/>
      <c r="B52" s="2372"/>
      <c r="C52" s="2350">
        <v>19.5</v>
      </c>
      <c r="D52" s="2350"/>
      <c r="E52" s="2350">
        <v>20</v>
      </c>
      <c r="F52" s="2350"/>
      <c r="G52" s="2351">
        <v>20.010000000000002</v>
      </c>
      <c r="H52" s="2351"/>
      <c r="I52" s="2351">
        <v>20.03</v>
      </c>
      <c r="J52" s="2351"/>
      <c r="K52" s="2352" t="e">
        <f t="shared" si="3"/>
        <v>#DIV/0!</v>
      </c>
      <c r="L52" s="2353"/>
      <c r="M52" s="2352" t="e">
        <f t="shared" si="4"/>
        <v>#DIV/0!</v>
      </c>
      <c r="N52" s="2353"/>
      <c r="O52" s="1749"/>
      <c r="Z52" s="2371"/>
      <c r="AA52" s="2372"/>
      <c r="AB52" s="2350">
        <v>19.5</v>
      </c>
      <c r="AC52" s="2350"/>
      <c r="AD52" s="2350">
        <v>20</v>
      </c>
      <c r="AE52" s="2350"/>
      <c r="AF52" s="2351">
        <v>20.010000000000002</v>
      </c>
      <c r="AG52" s="2351"/>
      <c r="AH52" s="2351">
        <v>20.03</v>
      </c>
      <c r="AI52" s="2351"/>
      <c r="AJ52" s="2352" t="e">
        <f t="shared" si="5"/>
        <v>#DIV/0!</v>
      </c>
      <c r="AK52" s="2353"/>
      <c r="AL52" s="2352" t="e">
        <f t="shared" si="6"/>
        <v>#DIV/0!</v>
      </c>
      <c r="AM52" s="2353"/>
      <c r="AN52" s="2376"/>
      <c r="AQ52" s="2371"/>
      <c r="AR52" s="2372"/>
      <c r="AS52" s="2350">
        <v>19.5</v>
      </c>
      <c r="AT52" s="2350"/>
      <c r="AU52" s="2350">
        <v>20</v>
      </c>
      <c r="AV52" s="2350"/>
      <c r="AW52" s="2351">
        <v>20.010000000000002</v>
      </c>
      <c r="AX52" s="2351"/>
      <c r="AY52" s="2351">
        <v>20.03</v>
      </c>
      <c r="AZ52" s="2351"/>
      <c r="BA52" s="2352" t="e">
        <f t="shared" si="7"/>
        <v>#DIV/0!</v>
      </c>
      <c r="BB52" s="2353"/>
      <c r="BC52" s="2352" t="e">
        <f t="shared" si="8"/>
        <v>#DIV/0!</v>
      </c>
      <c r="BD52" s="2353"/>
    </row>
    <row r="53" spans="1:56">
      <c r="A53" s="2373"/>
      <c r="B53" s="2374"/>
      <c r="C53" s="2350">
        <v>10</v>
      </c>
      <c r="D53" s="2350"/>
      <c r="E53" s="2350">
        <v>10</v>
      </c>
      <c r="F53" s="2350"/>
      <c r="G53" s="2351">
        <v>10.029999999999999</v>
      </c>
      <c r="H53" s="2351"/>
      <c r="I53" s="2351">
        <v>10.039999999999999</v>
      </c>
      <c r="J53" s="2351"/>
      <c r="K53" s="2352" t="e">
        <f t="shared" si="3"/>
        <v>#DIV/0!</v>
      </c>
      <c r="L53" s="2353"/>
      <c r="M53" s="2352" t="e">
        <f t="shared" si="4"/>
        <v>#DIV/0!</v>
      </c>
      <c r="N53" s="2353"/>
      <c r="O53" s="1749"/>
      <c r="Z53" s="2373"/>
      <c r="AA53" s="2374"/>
      <c r="AB53" s="2350">
        <v>10</v>
      </c>
      <c r="AC53" s="2350"/>
      <c r="AD53" s="2350">
        <v>10</v>
      </c>
      <c r="AE53" s="2350"/>
      <c r="AF53" s="2351">
        <v>10.029999999999999</v>
      </c>
      <c r="AG53" s="2351"/>
      <c r="AH53" s="2351">
        <v>10.039999999999999</v>
      </c>
      <c r="AI53" s="2351"/>
      <c r="AJ53" s="2352" t="e">
        <f t="shared" si="5"/>
        <v>#DIV/0!</v>
      </c>
      <c r="AK53" s="2353"/>
      <c r="AL53" s="2352" t="e">
        <f t="shared" si="6"/>
        <v>#DIV/0!</v>
      </c>
      <c r="AM53" s="2353"/>
      <c r="AN53" s="2377"/>
      <c r="AQ53" s="2373"/>
      <c r="AR53" s="2374"/>
      <c r="AS53" s="2350">
        <v>10</v>
      </c>
      <c r="AT53" s="2350"/>
      <c r="AU53" s="2350">
        <v>10</v>
      </c>
      <c r="AV53" s="2350"/>
      <c r="AW53" s="2351">
        <v>10.029999999999999</v>
      </c>
      <c r="AX53" s="2351"/>
      <c r="AY53" s="2351">
        <v>10.039999999999999</v>
      </c>
      <c r="AZ53" s="2351"/>
      <c r="BA53" s="2352" t="e">
        <f t="shared" si="7"/>
        <v>#DIV/0!</v>
      </c>
      <c r="BB53" s="2353"/>
      <c r="BC53" s="2352" t="e">
        <f t="shared" si="8"/>
        <v>#DIV/0!</v>
      </c>
      <c r="BD53" s="2353"/>
    </row>
    <row r="54" spans="1:56">
      <c r="A54" s="2358">
        <v>220</v>
      </c>
      <c r="B54" s="2364"/>
      <c r="C54" s="2350">
        <v>11</v>
      </c>
      <c r="D54" s="2350"/>
      <c r="E54" s="2350">
        <v>11</v>
      </c>
      <c r="F54" s="2350"/>
      <c r="G54" s="2351">
        <v>11.03</v>
      </c>
      <c r="H54" s="2351"/>
      <c r="I54" s="2351">
        <v>11.04</v>
      </c>
      <c r="J54" s="2351"/>
      <c r="K54" s="2352" t="e">
        <f t="shared" si="3"/>
        <v>#DIV/0!</v>
      </c>
      <c r="L54" s="2353"/>
      <c r="M54" s="2352" t="e">
        <f t="shared" si="4"/>
        <v>#DIV/0!</v>
      </c>
      <c r="N54" s="2353"/>
      <c r="O54" s="1749"/>
      <c r="Z54" s="2358">
        <v>220</v>
      </c>
      <c r="AA54" s="2364"/>
      <c r="AB54" s="2350">
        <v>11</v>
      </c>
      <c r="AC54" s="2350"/>
      <c r="AD54" s="2350">
        <v>11</v>
      </c>
      <c r="AE54" s="2350"/>
      <c r="AF54" s="2351">
        <v>11.03</v>
      </c>
      <c r="AG54" s="2351"/>
      <c r="AH54" s="2351">
        <v>11.04</v>
      </c>
      <c r="AI54" s="2351"/>
      <c r="AJ54" s="2352" t="e">
        <f t="shared" si="5"/>
        <v>#DIV/0!</v>
      </c>
      <c r="AK54" s="2353"/>
      <c r="AL54" s="2352" t="e">
        <f t="shared" si="6"/>
        <v>#DIV/0!</v>
      </c>
      <c r="AM54" s="2353"/>
      <c r="AN54" s="723"/>
      <c r="AQ54" s="2358">
        <v>220</v>
      </c>
      <c r="AR54" s="2364"/>
      <c r="AS54" s="2350">
        <v>11</v>
      </c>
      <c r="AT54" s="2350"/>
      <c r="AU54" s="2350">
        <v>11</v>
      </c>
      <c r="AV54" s="2350"/>
      <c r="AW54" s="2351">
        <v>11.03</v>
      </c>
      <c r="AX54" s="2351"/>
      <c r="AY54" s="2351">
        <v>11.04</v>
      </c>
      <c r="AZ54" s="2351"/>
      <c r="BA54" s="2352" t="e">
        <f t="shared" si="7"/>
        <v>#DIV/0!</v>
      </c>
      <c r="BB54" s="2353"/>
      <c r="BC54" s="2352" t="e">
        <f t="shared" si="8"/>
        <v>#DIV/0!</v>
      </c>
      <c r="BD54" s="2353"/>
    </row>
    <row r="55" spans="1:56">
      <c r="A55" s="2365"/>
      <c r="B55" s="2366"/>
      <c r="C55" s="2350">
        <v>12</v>
      </c>
      <c r="D55" s="2350"/>
      <c r="E55" s="2350">
        <v>12</v>
      </c>
      <c r="F55" s="2350"/>
      <c r="G55" s="2351">
        <v>12.03</v>
      </c>
      <c r="H55" s="2351"/>
      <c r="I55" s="2351">
        <v>12.04</v>
      </c>
      <c r="J55" s="2351"/>
      <c r="K55" s="2352" t="e">
        <f t="shared" si="3"/>
        <v>#DIV/0!</v>
      </c>
      <c r="L55" s="2353"/>
      <c r="M55" s="2352" t="e">
        <f t="shared" si="4"/>
        <v>#DIV/0!</v>
      </c>
      <c r="N55" s="2353"/>
      <c r="O55" s="1749"/>
      <c r="Z55" s="2365"/>
      <c r="AA55" s="2366"/>
      <c r="AB55" s="2350">
        <v>12</v>
      </c>
      <c r="AC55" s="2350"/>
      <c r="AD55" s="2350">
        <v>12</v>
      </c>
      <c r="AE55" s="2350"/>
      <c r="AF55" s="2351">
        <v>12.03</v>
      </c>
      <c r="AG55" s="2351"/>
      <c r="AH55" s="2351">
        <v>12.04</v>
      </c>
      <c r="AI55" s="2351"/>
      <c r="AJ55" s="2352" t="e">
        <f t="shared" si="5"/>
        <v>#DIV/0!</v>
      </c>
      <c r="AK55" s="2353"/>
      <c r="AL55" s="2352" t="e">
        <f t="shared" si="6"/>
        <v>#DIV/0!</v>
      </c>
      <c r="AM55" s="2353"/>
      <c r="AN55" s="723"/>
      <c r="AQ55" s="2365"/>
      <c r="AR55" s="2366"/>
      <c r="AS55" s="2350">
        <v>12</v>
      </c>
      <c r="AT55" s="2350"/>
      <c r="AU55" s="2350">
        <v>12</v>
      </c>
      <c r="AV55" s="2350"/>
      <c r="AW55" s="2351">
        <v>12.03</v>
      </c>
      <c r="AX55" s="2351"/>
      <c r="AY55" s="2351">
        <v>12.04</v>
      </c>
      <c r="AZ55" s="2351"/>
      <c r="BA55" s="2352" t="e">
        <f t="shared" si="7"/>
        <v>#DIV/0!</v>
      </c>
      <c r="BB55" s="2353"/>
      <c r="BC55" s="2352" t="e">
        <f t="shared" si="8"/>
        <v>#DIV/0!</v>
      </c>
      <c r="BD55" s="2353"/>
    </row>
    <row r="56" spans="1:56">
      <c r="A56" s="2365"/>
      <c r="B56" s="2366"/>
      <c r="C56" s="2350">
        <v>13</v>
      </c>
      <c r="D56" s="2350"/>
      <c r="E56" s="2350">
        <v>13</v>
      </c>
      <c r="F56" s="2350"/>
      <c r="G56" s="2351">
        <v>13.03</v>
      </c>
      <c r="H56" s="2351"/>
      <c r="I56" s="2351">
        <v>13.04</v>
      </c>
      <c r="J56" s="2351"/>
      <c r="K56" s="2352" t="e">
        <f t="shared" si="3"/>
        <v>#DIV/0!</v>
      </c>
      <c r="L56" s="2353"/>
      <c r="M56" s="2352" t="e">
        <f t="shared" si="4"/>
        <v>#DIV/0!</v>
      </c>
      <c r="N56" s="2353"/>
      <c r="O56" s="1749"/>
      <c r="Z56" s="2365"/>
      <c r="AA56" s="2366"/>
      <c r="AB56" s="2350">
        <v>13</v>
      </c>
      <c r="AC56" s="2350"/>
      <c r="AD56" s="2350">
        <v>13</v>
      </c>
      <c r="AE56" s="2350"/>
      <c r="AF56" s="2351">
        <v>13.03</v>
      </c>
      <c r="AG56" s="2351"/>
      <c r="AH56" s="2351">
        <v>13.04</v>
      </c>
      <c r="AI56" s="2351"/>
      <c r="AJ56" s="2352" t="e">
        <f t="shared" si="5"/>
        <v>#DIV/0!</v>
      </c>
      <c r="AK56" s="2353"/>
      <c r="AL56" s="2352" t="e">
        <f t="shared" si="6"/>
        <v>#DIV/0!</v>
      </c>
      <c r="AM56" s="2353"/>
      <c r="AN56" s="723"/>
      <c r="AQ56" s="2365"/>
      <c r="AR56" s="2366"/>
      <c r="AS56" s="2350">
        <v>13</v>
      </c>
      <c r="AT56" s="2350"/>
      <c r="AU56" s="2350">
        <v>13</v>
      </c>
      <c r="AV56" s="2350"/>
      <c r="AW56" s="2351">
        <v>13.03</v>
      </c>
      <c r="AX56" s="2351"/>
      <c r="AY56" s="2351">
        <v>13.04</v>
      </c>
      <c r="AZ56" s="2351"/>
      <c r="BA56" s="2352" t="e">
        <f t="shared" si="7"/>
        <v>#DIV/0!</v>
      </c>
      <c r="BB56" s="2353"/>
      <c r="BC56" s="2352" t="e">
        <f t="shared" si="8"/>
        <v>#DIV/0!</v>
      </c>
      <c r="BD56" s="2353"/>
    </row>
    <row r="57" spans="1:56">
      <c r="A57" s="2365"/>
      <c r="B57" s="2366"/>
      <c r="C57" s="2350">
        <v>14</v>
      </c>
      <c r="D57" s="2350"/>
      <c r="E57" s="2350">
        <v>14</v>
      </c>
      <c r="F57" s="2350"/>
      <c r="G57" s="2351">
        <v>14.03</v>
      </c>
      <c r="H57" s="2351"/>
      <c r="I57" s="2351">
        <v>14.04</v>
      </c>
      <c r="J57" s="2351"/>
      <c r="K57" s="2352" t="e">
        <f t="shared" si="3"/>
        <v>#DIV/0!</v>
      </c>
      <c r="L57" s="2353"/>
      <c r="M57" s="2352" t="e">
        <f t="shared" si="4"/>
        <v>#DIV/0!</v>
      </c>
      <c r="N57" s="2353"/>
      <c r="O57" s="1749"/>
      <c r="Z57" s="2365"/>
      <c r="AA57" s="2366"/>
      <c r="AB57" s="2350">
        <v>14</v>
      </c>
      <c r="AC57" s="2350"/>
      <c r="AD57" s="2350">
        <v>14</v>
      </c>
      <c r="AE57" s="2350"/>
      <c r="AF57" s="2351">
        <v>14.03</v>
      </c>
      <c r="AG57" s="2351"/>
      <c r="AH57" s="2351">
        <v>14.04</v>
      </c>
      <c r="AI57" s="2351"/>
      <c r="AJ57" s="2352" t="e">
        <f t="shared" si="5"/>
        <v>#DIV/0!</v>
      </c>
      <c r="AK57" s="2353"/>
      <c r="AL57" s="2352" t="e">
        <f t="shared" si="6"/>
        <v>#DIV/0!</v>
      </c>
      <c r="AM57" s="2353"/>
      <c r="AN57" s="723"/>
      <c r="AQ57" s="2365"/>
      <c r="AR57" s="2366"/>
      <c r="AS57" s="2350">
        <v>14</v>
      </c>
      <c r="AT57" s="2350"/>
      <c r="AU57" s="2350">
        <v>14</v>
      </c>
      <c r="AV57" s="2350"/>
      <c r="AW57" s="2351">
        <v>14.03</v>
      </c>
      <c r="AX57" s="2351"/>
      <c r="AY57" s="2351">
        <v>14.04</v>
      </c>
      <c r="AZ57" s="2351"/>
      <c r="BA57" s="2352" t="e">
        <f t="shared" si="7"/>
        <v>#DIV/0!</v>
      </c>
      <c r="BB57" s="2353"/>
      <c r="BC57" s="2352" t="e">
        <f t="shared" si="8"/>
        <v>#DIV/0!</v>
      </c>
      <c r="BD57" s="2353"/>
    </row>
    <row r="58" spans="1:56">
      <c r="A58" s="2367"/>
      <c r="B58" s="2368"/>
      <c r="C58" s="2350">
        <v>15</v>
      </c>
      <c r="D58" s="2350"/>
      <c r="E58" s="2350">
        <v>15</v>
      </c>
      <c r="F58" s="2350"/>
      <c r="G58" s="2351">
        <v>15.03</v>
      </c>
      <c r="H58" s="2351"/>
      <c r="I58" s="2351">
        <v>15.04</v>
      </c>
      <c r="J58" s="2351"/>
      <c r="K58" s="2352" t="e">
        <f t="shared" si="3"/>
        <v>#DIV/0!</v>
      </c>
      <c r="L58" s="2353"/>
      <c r="M58" s="2352" t="e">
        <f t="shared" si="4"/>
        <v>#DIV/0!</v>
      </c>
      <c r="N58" s="2353"/>
      <c r="O58" s="1749"/>
      <c r="Z58" s="2367"/>
      <c r="AA58" s="2368"/>
      <c r="AB58" s="2350">
        <v>15</v>
      </c>
      <c r="AC58" s="2350"/>
      <c r="AD58" s="2350">
        <v>15</v>
      </c>
      <c r="AE58" s="2350"/>
      <c r="AF58" s="2351">
        <v>15.03</v>
      </c>
      <c r="AG58" s="2351"/>
      <c r="AH58" s="2351">
        <v>15.04</v>
      </c>
      <c r="AI58" s="2351"/>
      <c r="AJ58" s="2352" t="e">
        <f t="shared" si="5"/>
        <v>#DIV/0!</v>
      </c>
      <c r="AK58" s="2353"/>
      <c r="AL58" s="2352" t="e">
        <f t="shared" si="6"/>
        <v>#DIV/0!</v>
      </c>
      <c r="AM58" s="2353"/>
      <c r="AN58" s="723"/>
      <c r="AQ58" s="2367"/>
      <c r="AR58" s="2368"/>
      <c r="AS58" s="2350">
        <v>15</v>
      </c>
      <c r="AT58" s="2350"/>
      <c r="AU58" s="2350">
        <v>15</v>
      </c>
      <c r="AV58" s="2350"/>
      <c r="AW58" s="2351">
        <v>15.03</v>
      </c>
      <c r="AX58" s="2351"/>
      <c r="AY58" s="2351">
        <v>15.04</v>
      </c>
      <c r="AZ58" s="2351"/>
      <c r="BA58" s="2352" t="e">
        <f t="shared" si="7"/>
        <v>#DIV/0!</v>
      </c>
      <c r="BB58" s="2353"/>
      <c r="BC58" s="2352" t="e">
        <f t="shared" si="8"/>
        <v>#DIV/0!</v>
      </c>
      <c r="BD58" s="2353"/>
    </row>
    <row r="59" spans="1:56">
      <c r="A59" s="2358">
        <v>220</v>
      </c>
      <c r="B59" s="2364"/>
      <c r="C59" s="2350">
        <v>16</v>
      </c>
      <c r="D59" s="2350"/>
      <c r="E59" s="2350">
        <v>16</v>
      </c>
      <c r="F59" s="2350"/>
      <c r="G59" s="2351">
        <v>16.03</v>
      </c>
      <c r="H59" s="2351"/>
      <c r="I59" s="2351">
        <v>16.04</v>
      </c>
      <c r="J59" s="2351"/>
      <c r="K59" s="2352" t="e">
        <f t="shared" si="3"/>
        <v>#DIV/0!</v>
      </c>
      <c r="L59" s="2353"/>
      <c r="M59" s="2352" t="e">
        <f t="shared" si="4"/>
        <v>#DIV/0!</v>
      </c>
      <c r="N59" s="2353"/>
      <c r="O59" s="1749"/>
      <c r="Z59" s="2358">
        <v>220</v>
      </c>
      <c r="AA59" s="2364"/>
      <c r="AB59" s="2350">
        <v>16</v>
      </c>
      <c r="AC59" s="2350"/>
      <c r="AD59" s="2350">
        <v>16</v>
      </c>
      <c r="AE59" s="2350"/>
      <c r="AF59" s="2351">
        <v>16.03</v>
      </c>
      <c r="AG59" s="2351"/>
      <c r="AH59" s="2351">
        <v>16.04</v>
      </c>
      <c r="AI59" s="2351"/>
      <c r="AJ59" s="2352" t="e">
        <f t="shared" si="5"/>
        <v>#DIV/0!</v>
      </c>
      <c r="AK59" s="2353"/>
      <c r="AL59" s="2352" t="e">
        <f t="shared" si="6"/>
        <v>#DIV/0!</v>
      </c>
      <c r="AM59" s="2353"/>
      <c r="AN59" s="723"/>
      <c r="AQ59" s="2358">
        <v>220</v>
      </c>
      <c r="AR59" s="2364"/>
      <c r="AS59" s="2350">
        <v>16</v>
      </c>
      <c r="AT59" s="2350"/>
      <c r="AU59" s="2350">
        <v>16</v>
      </c>
      <c r="AV59" s="2350"/>
      <c r="AW59" s="2351">
        <v>16.03</v>
      </c>
      <c r="AX59" s="2351"/>
      <c r="AY59" s="2351">
        <v>16.04</v>
      </c>
      <c r="AZ59" s="2351"/>
      <c r="BA59" s="2352" t="e">
        <f t="shared" si="7"/>
        <v>#DIV/0!</v>
      </c>
      <c r="BB59" s="2353"/>
      <c r="BC59" s="2352" t="e">
        <f t="shared" si="8"/>
        <v>#DIV/0!</v>
      </c>
      <c r="BD59" s="2353"/>
    </row>
    <row r="60" spans="1:56">
      <c r="A60" s="2365"/>
      <c r="B60" s="2366"/>
      <c r="C60" s="2350">
        <v>17</v>
      </c>
      <c r="D60" s="2350"/>
      <c r="E60" s="2350">
        <v>17</v>
      </c>
      <c r="F60" s="2350"/>
      <c r="G60" s="2351">
        <v>17.03</v>
      </c>
      <c r="H60" s="2351"/>
      <c r="I60" s="2351">
        <v>17.04</v>
      </c>
      <c r="J60" s="2351"/>
      <c r="K60" s="2352" t="e">
        <f t="shared" si="3"/>
        <v>#DIV/0!</v>
      </c>
      <c r="L60" s="2353"/>
      <c r="M60" s="2352" t="e">
        <f t="shared" si="4"/>
        <v>#DIV/0!</v>
      </c>
      <c r="N60" s="2353"/>
      <c r="O60" s="1749"/>
      <c r="Z60" s="2365"/>
      <c r="AA60" s="2366"/>
      <c r="AB60" s="2350">
        <v>17</v>
      </c>
      <c r="AC60" s="2350"/>
      <c r="AD60" s="2350">
        <v>17</v>
      </c>
      <c r="AE60" s="2350"/>
      <c r="AF60" s="2351">
        <v>17.03</v>
      </c>
      <c r="AG60" s="2351"/>
      <c r="AH60" s="2351">
        <v>17.04</v>
      </c>
      <c r="AI60" s="2351"/>
      <c r="AJ60" s="2352" t="e">
        <f t="shared" si="5"/>
        <v>#DIV/0!</v>
      </c>
      <c r="AK60" s="2353"/>
      <c r="AL60" s="2352" t="e">
        <f t="shared" si="6"/>
        <v>#DIV/0!</v>
      </c>
      <c r="AM60" s="2353"/>
      <c r="AN60" s="723"/>
      <c r="AQ60" s="2365"/>
      <c r="AR60" s="2366"/>
      <c r="AS60" s="2350">
        <v>17</v>
      </c>
      <c r="AT60" s="2350"/>
      <c r="AU60" s="2350">
        <v>17</v>
      </c>
      <c r="AV60" s="2350"/>
      <c r="AW60" s="2351">
        <v>17.03</v>
      </c>
      <c r="AX60" s="2351"/>
      <c r="AY60" s="2351">
        <v>17.04</v>
      </c>
      <c r="AZ60" s="2351"/>
      <c r="BA60" s="2352" t="e">
        <f t="shared" si="7"/>
        <v>#DIV/0!</v>
      </c>
      <c r="BB60" s="2353"/>
      <c r="BC60" s="2352" t="e">
        <f t="shared" si="8"/>
        <v>#DIV/0!</v>
      </c>
      <c r="BD60" s="2353"/>
    </row>
    <row r="61" spans="1:56">
      <c r="A61" s="2367"/>
      <c r="B61" s="2368"/>
      <c r="C61" s="2350">
        <v>18</v>
      </c>
      <c r="D61" s="2350"/>
      <c r="E61" s="2350">
        <v>18</v>
      </c>
      <c r="F61" s="2350"/>
      <c r="G61" s="2351">
        <v>18.03</v>
      </c>
      <c r="H61" s="2351"/>
      <c r="I61" s="2351">
        <v>18.04</v>
      </c>
      <c r="J61" s="2351"/>
      <c r="K61" s="2352" t="e">
        <f t="shared" si="3"/>
        <v>#DIV/0!</v>
      </c>
      <c r="L61" s="2353"/>
      <c r="M61" s="2352" t="e">
        <f t="shared" si="4"/>
        <v>#DIV/0!</v>
      </c>
      <c r="N61" s="2353"/>
      <c r="O61" s="1749"/>
      <c r="Z61" s="2367"/>
      <c r="AA61" s="2368"/>
      <c r="AB61" s="2350">
        <v>18</v>
      </c>
      <c r="AC61" s="2350"/>
      <c r="AD61" s="2350">
        <v>18</v>
      </c>
      <c r="AE61" s="2350"/>
      <c r="AF61" s="2351">
        <v>18.03</v>
      </c>
      <c r="AG61" s="2351"/>
      <c r="AH61" s="2351">
        <v>18.04</v>
      </c>
      <c r="AI61" s="2351"/>
      <c r="AJ61" s="2352" t="e">
        <f t="shared" si="5"/>
        <v>#DIV/0!</v>
      </c>
      <c r="AK61" s="2353"/>
      <c r="AL61" s="2352" t="e">
        <f t="shared" si="6"/>
        <v>#DIV/0!</v>
      </c>
      <c r="AM61" s="2353"/>
      <c r="AN61" s="728"/>
      <c r="AQ61" s="2367"/>
      <c r="AR61" s="2368"/>
      <c r="AS61" s="2350">
        <v>18</v>
      </c>
      <c r="AT61" s="2350"/>
      <c r="AU61" s="2350">
        <v>18</v>
      </c>
      <c r="AV61" s="2350"/>
      <c r="AW61" s="2351">
        <v>18.03</v>
      </c>
      <c r="AX61" s="2351"/>
      <c r="AY61" s="2351">
        <v>18.04</v>
      </c>
      <c r="AZ61" s="2351"/>
      <c r="BA61" s="2352" t="e">
        <f t="shared" si="7"/>
        <v>#DIV/0!</v>
      </c>
      <c r="BB61" s="2353"/>
      <c r="BC61" s="2352" t="e">
        <f t="shared" si="8"/>
        <v>#DIV/0!</v>
      </c>
      <c r="BD61" s="2353"/>
    </row>
    <row r="62" spans="1:56">
      <c r="A62" s="2358">
        <v>380</v>
      </c>
      <c r="B62" s="2364"/>
      <c r="C62" s="2350">
        <v>19</v>
      </c>
      <c r="D62" s="2350"/>
      <c r="E62" s="2350">
        <v>19</v>
      </c>
      <c r="F62" s="2350"/>
      <c r="G62" s="2351">
        <v>19.03</v>
      </c>
      <c r="H62" s="2351"/>
      <c r="I62" s="2351">
        <v>19.04</v>
      </c>
      <c r="J62" s="2351"/>
      <c r="K62" s="2352" t="e">
        <f t="shared" si="3"/>
        <v>#DIV/0!</v>
      </c>
      <c r="L62" s="2353"/>
      <c r="M62" s="2352" t="e">
        <f t="shared" si="4"/>
        <v>#DIV/0!</v>
      </c>
      <c r="N62" s="2353"/>
      <c r="O62" s="1749"/>
      <c r="Z62" s="2358">
        <v>380</v>
      </c>
      <c r="AA62" s="2364"/>
      <c r="AB62" s="2350">
        <v>19</v>
      </c>
      <c r="AC62" s="2350"/>
      <c r="AD62" s="2350">
        <v>19</v>
      </c>
      <c r="AE62" s="2350"/>
      <c r="AF62" s="2351">
        <v>19.03</v>
      </c>
      <c r="AG62" s="2351"/>
      <c r="AH62" s="2351">
        <v>19.04</v>
      </c>
      <c r="AI62" s="2351"/>
      <c r="AJ62" s="2352" t="e">
        <f t="shared" si="5"/>
        <v>#DIV/0!</v>
      </c>
      <c r="AK62" s="2353"/>
      <c r="AL62" s="2352" t="e">
        <f t="shared" si="6"/>
        <v>#DIV/0!</v>
      </c>
      <c r="AM62" s="2353"/>
      <c r="AN62" s="728"/>
      <c r="AQ62" s="2358">
        <v>380</v>
      </c>
      <c r="AR62" s="2364"/>
      <c r="AS62" s="2350">
        <v>19</v>
      </c>
      <c r="AT62" s="2350"/>
      <c r="AU62" s="2350">
        <v>19</v>
      </c>
      <c r="AV62" s="2350"/>
      <c r="AW62" s="2351">
        <v>19.03</v>
      </c>
      <c r="AX62" s="2351"/>
      <c r="AY62" s="2351">
        <v>19.04</v>
      </c>
      <c r="AZ62" s="2351"/>
      <c r="BA62" s="2352" t="e">
        <f t="shared" si="7"/>
        <v>#DIV/0!</v>
      </c>
      <c r="BB62" s="2353"/>
      <c r="BC62" s="2352" t="e">
        <f t="shared" si="8"/>
        <v>#DIV/0!</v>
      </c>
      <c r="BD62" s="2353"/>
    </row>
    <row r="63" spans="1:56">
      <c r="A63" s="2365"/>
      <c r="B63" s="2366"/>
      <c r="C63" s="2350">
        <v>20</v>
      </c>
      <c r="D63" s="2350"/>
      <c r="E63" s="2350">
        <v>20</v>
      </c>
      <c r="F63" s="2350"/>
      <c r="G63" s="2351">
        <v>20.03</v>
      </c>
      <c r="H63" s="2351"/>
      <c r="I63" s="2351">
        <v>20.04</v>
      </c>
      <c r="J63" s="2351"/>
      <c r="K63" s="2352" t="e">
        <f t="shared" si="3"/>
        <v>#DIV/0!</v>
      </c>
      <c r="L63" s="2353"/>
      <c r="M63" s="2352" t="e">
        <f t="shared" si="4"/>
        <v>#DIV/0!</v>
      </c>
      <c r="N63" s="2353"/>
      <c r="O63" s="1749"/>
      <c r="Z63" s="2365"/>
      <c r="AA63" s="2366"/>
      <c r="AB63" s="2350">
        <v>20</v>
      </c>
      <c r="AC63" s="2350"/>
      <c r="AD63" s="2350">
        <v>20</v>
      </c>
      <c r="AE63" s="2350"/>
      <c r="AF63" s="2351">
        <v>20.03</v>
      </c>
      <c r="AG63" s="2351"/>
      <c r="AH63" s="2351">
        <v>20.04</v>
      </c>
      <c r="AI63" s="2351"/>
      <c r="AJ63" s="2352" t="e">
        <f t="shared" si="5"/>
        <v>#DIV/0!</v>
      </c>
      <c r="AK63" s="2353"/>
      <c r="AL63" s="2352" t="e">
        <f t="shared" si="6"/>
        <v>#DIV/0!</v>
      </c>
      <c r="AM63" s="2353"/>
      <c r="AN63" s="728"/>
      <c r="AQ63" s="2365"/>
      <c r="AR63" s="2366"/>
      <c r="AS63" s="2350">
        <v>20</v>
      </c>
      <c r="AT63" s="2350"/>
      <c r="AU63" s="2350">
        <v>20</v>
      </c>
      <c r="AV63" s="2350"/>
      <c r="AW63" s="2351">
        <v>20.03</v>
      </c>
      <c r="AX63" s="2351"/>
      <c r="AY63" s="2351">
        <v>20.04</v>
      </c>
      <c r="AZ63" s="2351"/>
      <c r="BA63" s="2352" t="e">
        <f t="shared" si="7"/>
        <v>#DIV/0!</v>
      </c>
      <c r="BB63" s="2353"/>
      <c r="BC63" s="2352" t="e">
        <f t="shared" si="8"/>
        <v>#DIV/0!</v>
      </c>
      <c r="BD63" s="2353"/>
    </row>
    <row r="64" spans="1:56">
      <c r="A64" s="2367"/>
      <c r="B64" s="2368"/>
      <c r="C64" s="2350">
        <v>21</v>
      </c>
      <c r="D64" s="2350"/>
      <c r="E64" s="2350">
        <v>21</v>
      </c>
      <c r="F64" s="2350"/>
      <c r="G64" s="2351">
        <v>21.03</v>
      </c>
      <c r="H64" s="2351"/>
      <c r="I64" s="2351">
        <v>21.04</v>
      </c>
      <c r="J64" s="2351"/>
      <c r="K64" s="2352" t="e">
        <f t="shared" si="3"/>
        <v>#DIV/0!</v>
      </c>
      <c r="L64" s="2353"/>
      <c r="M64" s="2352" t="e">
        <f t="shared" si="4"/>
        <v>#DIV/0!</v>
      </c>
      <c r="N64" s="2353"/>
      <c r="O64" s="1749"/>
      <c r="Z64" s="2367"/>
      <c r="AA64" s="2368"/>
      <c r="AB64" s="2350">
        <v>21</v>
      </c>
      <c r="AC64" s="2350"/>
      <c r="AD64" s="2350">
        <v>21</v>
      </c>
      <c r="AE64" s="2350"/>
      <c r="AF64" s="2351">
        <v>21.03</v>
      </c>
      <c r="AG64" s="2351"/>
      <c r="AH64" s="2351">
        <v>21.04</v>
      </c>
      <c r="AI64" s="2351"/>
      <c r="AJ64" s="2352" t="e">
        <f t="shared" si="5"/>
        <v>#DIV/0!</v>
      </c>
      <c r="AK64" s="2353"/>
      <c r="AL64" s="2352" t="e">
        <f t="shared" si="6"/>
        <v>#DIV/0!</v>
      </c>
      <c r="AM64" s="2353"/>
      <c r="AN64" s="728"/>
      <c r="AQ64" s="2367"/>
      <c r="AR64" s="2368"/>
      <c r="AS64" s="2350">
        <v>21</v>
      </c>
      <c r="AT64" s="2350"/>
      <c r="AU64" s="2350">
        <v>21</v>
      </c>
      <c r="AV64" s="2350"/>
      <c r="AW64" s="2351">
        <v>21.03</v>
      </c>
      <c r="AX64" s="2351"/>
      <c r="AY64" s="2351">
        <v>21.04</v>
      </c>
      <c r="AZ64" s="2351"/>
      <c r="BA64" s="2352" t="e">
        <f t="shared" si="7"/>
        <v>#DIV/0!</v>
      </c>
      <c r="BB64" s="2353"/>
      <c r="BC64" s="2352" t="e">
        <f t="shared" si="8"/>
        <v>#DIV/0!</v>
      </c>
      <c r="BD64" s="2353"/>
    </row>
    <row r="65" spans="1:56">
      <c r="A65" s="2358">
        <v>600</v>
      </c>
      <c r="B65" s="2359"/>
      <c r="C65" s="2350">
        <v>22</v>
      </c>
      <c r="D65" s="2350"/>
      <c r="E65" s="2350">
        <v>22</v>
      </c>
      <c r="F65" s="2350"/>
      <c r="G65" s="2351">
        <v>22.03</v>
      </c>
      <c r="H65" s="2351"/>
      <c r="I65" s="2351">
        <v>22.04</v>
      </c>
      <c r="J65" s="2351"/>
      <c r="K65" s="2352" t="e">
        <f t="shared" si="3"/>
        <v>#DIV/0!</v>
      </c>
      <c r="L65" s="2353"/>
      <c r="M65" s="2352" t="e">
        <f t="shared" si="4"/>
        <v>#DIV/0!</v>
      </c>
      <c r="N65" s="2353"/>
      <c r="O65" s="1749"/>
      <c r="Z65" s="2358">
        <v>600</v>
      </c>
      <c r="AA65" s="2359"/>
      <c r="AB65" s="2350">
        <v>22</v>
      </c>
      <c r="AC65" s="2350"/>
      <c r="AD65" s="2350">
        <v>22</v>
      </c>
      <c r="AE65" s="2350"/>
      <c r="AF65" s="2351">
        <v>22.03</v>
      </c>
      <c r="AG65" s="2351"/>
      <c r="AH65" s="2351">
        <v>22.04</v>
      </c>
      <c r="AI65" s="2351"/>
      <c r="AJ65" s="2352" t="e">
        <f t="shared" si="5"/>
        <v>#DIV/0!</v>
      </c>
      <c r="AK65" s="2353"/>
      <c r="AL65" s="2352" t="e">
        <f t="shared" si="6"/>
        <v>#DIV/0!</v>
      </c>
      <c r="AM65" s="2353"/>
      <c r="AN65" s="728"/>
      <c r="AQ65" s="2358">
        <v>600</v>
      </c>
      <c r="AR65" s="2359"/>
      <c r="AS65" s="2350">
        <v>22</v>
      </c>
      <c r="AT65" s="2350"/>
      <c r="AU65" s="2350">
        <v>22</v>
      </c>
      <c r="AV65" s="2350"/>
      <c r="AW65" s="2351">
        <v>22.03</v>
      </c>
      <c r="AX65" s="2351"/>
      <c r="AY65" s="2351">
        <v>22.04</v>
      </c>
      <c r="AZ65" s="2351"/>
      <c r="BA65" s="2352" t="e">
        <f t="shared" si="7"/>
        <v>#DIV/0!</v>
      </c>
      <c r="BB65" s="2353"/>
      <c r="BC65" s="2352" t="e">
        <f t="shared" si="8"/>
        <v>#DIV/0!</v>
      </c>
      <c r="BD65" s="2353"/>
    </row>
    <row r="66" spans="1:56">
      <c r="A66" s="2360"/>
      <c r="B66" s="2361"/>
      <c r="C66" s="2350">
        <v>23</v>
      </c>
      <c r="D66" s="2350"/>
      <c r="E66" s="2350">
        <v>23</v>
      </c>
      <c r="F66" s="2350"/>
      <c r="G66" s="2351">
        <v>23.03</v>
      </c>
      <c r="H66" s="2351"/>
      <c r="I66" s="2351">
        <v>23.04</v>
      </c>
      <c r="J66" s="2351"/>
      <c r="K66" s="2352" t="e">
        <f t="shared" si="3"/>
        <v>#DIV/0!</v>
      </c>
      <c r="L66" s="2353"/>
      <c r="M66" s="2352" t="e">
        <f t="shared" si="4"/>
        <v>#DIV/0!</v>
      </c>
      <c r="N66" s="2353"/>
      <c r="O66" s="1749"/>
      <c r="Z66" s="2360"/>
      <c r="AA66" s="2361"/>
      <c r="AB66" s="2350">
        <v>23</v>
      </c>
      <c r="AC66" s="2350"/>
      <c r="AD66" s="2350">
        <v>23</v>
      </c>
      <c r="AE66" s="2350"/>
      <c r="AF66" s="2351">
        <v>23.03</v>
      </c>
      <c r="AG66" s="2351"/>
      <c r="AH66" s="2351">
        <v>23.04</v>
      </c>
      <c r="AI66" s="2351"/>
      <c r="AJ66" s="2352" t="e">
        <f t="shared" si="5"/>
        <v>#DIV/0!</v>
      </c>
      <c r="AK66" s="2353"/>
      <c r="AL66" s="2352" t="e">
        <f t="shared" si="6"/>
        <v>#DIV/0!</v>
      </c>
      <c r="AM66" s="2353"/>
      <c r="AN66" s="728"/>
      <c r="AQ66" s="2360"/>
      <c r="AR66" s="2361"/>
      <c r="AS66" s="2350">
        <v>23</v>
      </c>
      <c r="AT66" s="2350"/>
      <c r="AU66" s="2350">
        <v>23</v>
      </c>
      <c r="AV66" s="2350"/>
      <c r="AW66" s="2351">
        <v>23.03</v>
      </c>
      <c r="AX66" s="2351"/>
      <c r="AY66" s="2351">
        <v>23.04</v>
      </c>
      <c r="AZ66" s="2351"/>
      <c r="BA66" s="2352" t="e">
        <f t="shared" si="7"/>
        <v>#DIV/0!</v>
      </c>
      <c r="BB66" s="2353"/>
      <c r="BC66" s="2352" t="e">
        <f t="shared" si="8"/>
        <v>#DIV/0!</v>
      </c>
      <c r="BD66" s="2353"/>
    </row>
    <row r="67" spans="1:56">
      <c r="A67" s="2362"/>
      <c r="B67" s="2363"/>
      <c r="C67" s="2350">
        <v>24</v>
      </c>
      <c r="D67" s="2350"/>
      <c r="E67" s="2350">
        <v>24</v>
      </c>
      <c r="F67" s="2350"/>
      <c r="G67" s="2351">
        <v>24.03</v>
      </c>
      <c r="H67" s="2351"/>
      <c r="I67" s="2351">
        <v>24.04</v>
      </c>
      <c r="J67" s="2351"/>
      <c r="K67" s="2352" t="e">
        <f t="shared" si="3"/>
        <v>#DIV/0!</v>
      </c>
      <c r="L67" s="2353"/>
      <c r="M67" s="2352" t="e">
        <f t="shared" si="4"/>
        <v>#DIV/0!</v>
      </c>
      <c r="N67" s="2353"/>
      <c r="O67" s="1749"/>
      <c r="Z67" s="2362"/>
      <c r="AA67" s="2363"/>
      <c r="AB67" s="2350">
        <v>24</v>
      </c>
      <c r="AC67" s="2350"/>
      <c r="AD67" s="2350">
        <v>24</v>
      </c>
      <c r="AE67" s="2350"/>
      <c r="AF67" s="2351">
        <v>24.03</v>
      </c>
      <c r="AG67" s="2351"/>
      <c r="AH67" s="2351">
        <v>24.04</v>
      </c>
      <c r="AI67" s="2351"/>
      <c r="AJ67" s="2352" t="e">
        <f t="shared" si="5"/>
        <v>#DIV/0!</v>
      </c>
      <c r="AK67" s="2353"/>
      <c r="AL67" s="2352" t="e">
        <f t="shared" si="6"/>
        <v>#DIV/0!</v>
      </c>
      <c r="AM67" s="2353"/>
      <c r="AN67" s="728"/>
      <c r="AQ67" s="2362"/>
      <c r="AR67" s="2363"/>
      <c r="AS67" s="2350">
        <v>24</v>
      </c>
      <c r="AT67" s="2350"/>
      <c r="AU67" s="2350">
        <v>24</v>
      </c>
      <c r="AV67" s="2350"/>
      <c r="AW67" s="2351">
        <v>24.03</v>
      </c>
      <c r="AX67" s="2351"/>
      <c r="AY67" s="2351">
        <v>24.04</v>
      </c>
      <c r="AZ67" s="2351"/>
      <c r="BA67" s="2352" t="e">
        <f t="shared" si="7"/>
        <v>#DIV/0!</v>
      </c>
      <c r="BB67" s="2353"/>
      <c r="BC67" s="2352" t="e">
        <f t="shared" si="8"/>
        <v>#DIV/0!</v>
      </c>
      <c r="BD67" s="2353"/>
    </row>
    <row r="68" spans="1:56">
      <c r="A68" s="2354"/>
      <c r="B68" s="2355"/>
      <c r="C68" s="2350">
        <v>25</v>
      </c>
      <c r="D68" s="2350"/>
      <c r="E68" s="2350">
        <v>25</v>
      </c>
      <c r="F68" s="2350"/>
      <c r="G68" s="2351">
        <v>25.03</v>
      </c>
      <c r="H68" s="2351"/>
      <c r="I68" s="2351">
        <v>25.04</v>
      </c>
      <c r="J68" s="2351"/>
      <c r="K68" s="2352" t="e">
        <f t="shared" si="3"/>
        <v>#DIV/0!</v>
      </c>
      <c r="L68" s="2353"/>
      <c r="M68" s="2352" t="e">
        <f t="shared" si="4"/>
        <v>#DIV/0!</v>
      </c>
      <c r="N68" s="2353"/>
      <c r="O68" s="1749"/>
      <c r="Z68" s="2354"/>
      <c r="AA68" s="2355"/>
      <c r="AB68" s="2350">
        <v>25</v>
      </c>
      <c r="AC68" s="2350"/>
      <c r="AD68" s="2350">
        <v>25</v>
      </c>
      <c r="AE68" s="2350"/>
      <c r="AF68" s="2351">
        <v>25.03</v>
      </c>
      <c r="AG68" s="2351"/>
      <c r="AH68" s="2351">
        <v>25.04</v>
      </c>
      <c r="AI68" s="2351"/>
      <c r="AJ68" s="2352" t="e">
        <f t="shared" si="5"/>
        <v>#DIV/0!</v>
      </c>
      <c r="AK68" s="2353"/>
      <c r="AL68" s="2352" t="e">
        <f t="shared" si="6"/>
        <v>#DIV/0!</v>
      </c>
      <c r="AM68" s="2353"/>
      <c r="AN68" s="728"/>
      <c r="AQ68" s="2354"/>
      <c r="AR68" s="2355"/>
      <c r="AS68" s="2350">
        <v>25</v>
      </c>
      <c r="AT68" s="2350"/>
      <c r="AU68" s="2350">
        <v>25</v>
      </c>
      <c r="AV68" s="2350"/>
      <c r="AW68" s="2351">
        <v>25.03</v>
      </c>
      <c r="AX68" s="2351"/>
      <c r="AY68" s="2351">
        <v>25.04</v>
      </c>
      <c r="AZ68" s="2351"/>
      <c r="BA68" s="2352" t="e">
        <f t="shared" si="7"/>
        <v>#DIV/0!</v>
      </c>
      <c r="BB68" s="2353"/>
      <c r="BC68" s="2352" t="e">
        <f t="shared" si="8"/>
        <v>#DIV/0!</v>
      </c>
      <c r="BD68" s="2353"/>
    </row>
    <row r="69" spans="1:56">
      <c r="A69" s="2356"/>
      <c r="B69" s="2357"/>
      <c r="C69" s="2350">
        <v>26</v>
      </c>
      <c r="D69" s="2350"/>
      <c r="E69" s="2350">
        <v>26</v>
      </c>
      <c r="F69" s="2350"/>
      <c r="G69" s="2351">
        <v>26.03</v>
      </c>
      <c r="H69" s="2351"/>
      <c r="I69" s="2351">
        <v>26.04</v>
      </c>
      <c r="J69" s="2351"/>
      <c r="K69" s="2352" t="e">
        <f t="shared" si="3"/>
        <v>#DIV/0!</v>
      </c>
      <c r="L69" s="2353"/>
      <c r="M69" s="2352" t="e">
        <f t="shared" si="4"/>
        <v>#DIV/0!</v>
      </c>
      <c r="N69" s="2353"/>
      <c r="O69" s="1749"/>
      <c r="Z69" s="2356"/>
      <c r="AA69" s="2357"/>
      <c r="AB69" s="2350">
        <v>26</v>
      </c>
      <c r="AC69" s="2350"/>
      <c r="AD69" s="2350">
        <v>26</v>
      </c>
      <c r="AE69" s="2350"/>
      <c r="AF69" s="2351">
        <v>26.03</v>
      </c>
      <c r="AG69" s="2351"/>
      <c r="AH69" s="2351">
        <v>26.04</v>
      </c>
      <c r="AI69" s="2351"/>
      <c r="AJ69" s="2352" t="e">
        <f t="shared" si="5"/>
        <v>#DIV/0!</v>
      </c>
      <c r="AK69" s="2353"/>
      <c r="AL69" s="2352" t="e">
        <f t="shared" si="6"/>
        <v>#DIV/0!</v>
      </c>
      <c r="AM69" s="2353"/>
      <c r="AN69" s="728"/>
      <c r="AQ69" s="2356"/>
      <c r="AR69" s="2357"/>
      <c r="AS69" s="2350">
        <v>26</v>
      </c>
      <c r="AT69" s="2350"/>
      <c r="AU69" s="2350">
        <v>26</v>
      </c>
      <c r="AV69" s="2350"/>
      <c r="AW69" s="2351">
        <v>26.03</v>
      </c>
      <c r="AX69" s="2351"/>
      <c r="AY69" s="2351">
        <v>26.04</v>
      </c>
      <c r="AZ69" s="2351"/>
      <c r="BA69" s="2352" t="e">
        <f t="shared" si="7"/>
        <v>#DIV/0!</v>
      </c>
      <c r="BB69" s="2353"/>
      <c r="BC69" s="2352" t="e">
        <f t="shared" si="8"/>
        <v>#DIV/0!</v>
      </c>
      <c r="BD69" s="2353"/>
    </row>
    <row r="70" spans="1:56">
      <c r="A70" s="2356"/>
      <c r="B70" s="2357"/>
      <c r="C70" s="2350">
        <v>27</v>
      </c>
      <c r="D70" s="2350"/>
      <c r="E70" s="2350">
        <v>27</v>
      </c>
      <c r="F70" s="2350"/>
      <c r="G70" s="2351">
        <v>27.03</v>
      </c>
      <c r="H70" s="2351"/>
      <c r="I70" s="2351">
        <v>27.04</v>
      </c>
      <c r="J70" s="2351"/>
      <c r="K70" s="2352" t="e">
        <f t="shared" si="3"/>
        <v>#DIV/0!</v>
      </c>
      <c r="L70" s="2353"/>
      <c r="M70" s="2352" t="e">
        <f t="shared" si="4"/>
        <v>#DIV/0!</v>
      </c>
      <c r="N70" s="2353"/>
      <c r="O70" s="1749"/>
      <c r="Z70" s="2356"/>
      <c r="AA70" s="2357"/>
      <c r="AB70" s="2350">
        <v>27</v>
      </c>
      <c r="AC70" s="2350"/>
      <c r="AD70" s="2350">
        <v>27</v>
      </c>
      <c r="AE70" s="2350"/>
      <c r="AF70" s="2351">
        <v>27.03</v>
      </c>
      <c r="AG70" s="2351"/>
      <c r="AH70" s="2351">
        <v>27.04</v>
      </c>
      <c r="AI70" s="2351"/>
      <c r="AJ70" s="2352" t="e">
        <f t="shared" si="5"/>
        <v>#DIV/0!</v>
      </c>
      <c r="AK70" s="2353"/>
      <c r="AL70" s="2352" t="e">
        <f t="shared" si="6"/>
        <v>#DIV/0!</v>
      </c>
      <c r="AM70" s="2353"/>
      <c r="AN70" s="728"/>
      <c r="AQ70" s="2356"/>
      <c r="AR70" s="2357"/>
      <c r="AS70" s="2350">
        <v>27</v>
      </c>
      <c r="AT70" s="2350"/>
      <c r="AU70" s="2350">
        <v>27</v>
      </c>
      <c r="AV70" s="2350"/>
      <c r="AW70" s="2351">
        <v>27.03</v>
      </c>
      <c r="AX70" s="2351"/>
      <c r="AY70" s="2351">
        <v>27.04</v>
      </c>
      <c r="AZ70" s="2351"/>
      <c r="BA70" s="2352" t="e">
        <f t="shared" si="7"/>
        <v>#DIV/0!</v>
      </c>
      <c r="BB70" s="2353"/>
      <c r="BC70" s="2352" t="e">
        <f t="shared" si="8"/>
        <v>#DIV/0!</v>
      </c>
      <c r="BD70" s="2353"/>
    </row>
    <row r="71" spans="1:56">
      <c r="A71" s="2405" t="s">
        <v>1959</v>
      </c>
      <c r="B71" s="2406"/>
      <c r="C71" s="2406"/>
      <c r="D71" s="2406"/>
      <c r="E71" s="2406"/>
      <c r="F71" s="2406"/>
      <c r="G71" s="2406"/>
      <c r="H71" s="2406"/>
      <c r="I71" s="2406"/>
      <c r="J71" s="2406"/>
      <c r="K71" s="2406"/>
      <c r="L71" s="2406"/>
      <c r="M71" s="2406"/>
      <c r="N71" s="2406"/>
      <c r="O71" s="2407"/>
    </row>
    <row r="73" spans="1:56">
      <c r="A73" s="713" t="s">
        <v>1960</v>
      </c>
      <c r="B73" s="729" t="s">
        <v>120</v>
      </c>
      <c r="C73" s="714"/>
      <c r="D73" s="714"/>
      <c r="E73" s="714"/>
      <c r="F73" s="714"/>
      <c r="G73" s="714"/>
      <c r="H73" s="714"/>
      <c r="I73" s="714"/>
      <c r="J73" s="2386"/>
      <c r="K73" s="2386"/>
      <c r="L73" s="2379"/>
    </row>
    <row r="74" spans="1:56">
      <c r="A74" s="2428" t="s">
        <v>1961</v>
      </c>
      <c r="B74" s="2429"/>
      <c r="C74" s="2430" t="s">
        <v>1962</v>
      </c>
      <c r="D74" s="2430"/>
      <c r="E74" s="2430"/>
      <c r="F74" s="2430" t="s">
        <v>1963</v>
      </c>
      <c r="G74" s="2430"/>
      <c r="H74" s="2430"/>
      <c r="I74" s="2430" t="s">
        <v>1964</v>
      </c>
      <c r="J74" s="2430"/>
      <c r="K74" s="2430"/>
      <c r="L74" s="2431" t="s">
        <v>1965</v>
      </c>
    </row>
    <row r="75" spans="1:56" ht="18.75">
      <c r="A75" s="2383"/>
      <c r="B75" s="2384"/>
      <c r="C75" s="698" t="s">
        <v>1966</v>
      </c>
      <c r="D75" s="698" t="s">
        <v>1967</v>
      </c>
      <c r="E75" s="698" t="s">
        <v>1968</v>
      </c>
      <c r="F75" s="698" t="s">
        <v>1966</v>
      </c>
      <c r="G75" s="698" t="s">
        <v>1967</v>
      </c>
      <c r="H75" s="698" t="s">
        <v>1968</v>
      </c>
      <c r="I75" s="698" t="s">
        <v>1966</v>
      </c>
      <c r="J75" s="698" t="s">
        <v>1967</v>
      </c>
      <c r="K75" s="698" t="s">
        <v>1968</v>
      </c>
      <c r="L75" s="2431"/>
    </row>
    <row r="76" spans="1:56">
      <c r="A76" s="2408">
        <v>57.7</v>
      </c>
      <c r="B76" s="2409"/>
      <c r="C76" s="732">
        <v>57.698599999999999</v>
      </c>
      <c r="D76" s="732">
        <v>57.704000000000001</v>
      </c>
      <c r="E76" s="732">
        <v>57.698999999999998</v>
      </c>
      <c r="F76" s="732">
        <v>57.7</v>
      </c>
      <c r="G76" s="732">
        <v>57.7</v>
      </c>
      <c r="H76" s="732">
        <v>57.7</v>
      </c>
      <c r="I76" s="733" t="e">
        <f t="shared" ref="I76:K78" si="9">(C76-F76)/$A$7*100</f>
        <v>#DIV/0!</v>
      </c>
      <c r="J76" s="733" t="e">
        <f t="shared" si="9"/>
        <v>#DIV/0!</v>
      </c>
      <c r="K76" s="733" t="e">
        <f t="shared" si="9"/>
        <v>#DIV/0!</v>
      </c>
      <c r="L76" s="2414">
        <f>2*(0.00002^2+0.00005^2+0.0000029^2)^0.5</f>
        <v>1.0785935286288344E-4</v>
      </c>
    </row>
    <row r="77" spans="1:56">
      <c r="A77" s="2410"/>
      <c r="B77" s="2411"/>
      <c r="C77" s="732">
        <v>34.622</v>
      </c>
      <c r="D77" s="732">
        <v>34.625</v>
      </c>
      <c r="E77" s="732">
        <v>34.619</v>
      </c>
      <c r="F77" s="732">
        <v>34.619999999999997</v>
      </c>
      <c r="G77" s="732">
        <v>34.619999999999997</v>
      </c>
      <c r="H77" s="732">
        <v>34.619999999999997</v>
      </c>
      <c r="I77" s="733" t="e">
        <f t="shared" si="9"/>
        <v>#DIV/0!</v>
      </c>
      <c r="J77" s="733" t="e">
        <f t="shared" si="9"/>
        <v>#DIV/0!</v>
      </c>
      <c r="K77" s="733" t="e">
        <f t="shared" si="9"/>
        <v>#DIV/0!</v>
      </c>
      <c r="L77" s="2415"/>
    </row>
    <row r="78" spans="1:56">
      <c r="A78" s="2412"/>
      <c r="B78" s="2413"/>
      <c r="C78" s="732">
        <v>11.538</v>
      </c>
      <c r="D78" s="732">
        <v>11.538</v>
      </c>
      <c r="E78" s="732">
        <v>11.541</v>
      </c>
      <c r="F78" s="732">
        <v>11.54</v>
      </c>
      <c r="G78" s="732">
        <v>11.54</v>
      </c>
      <c r="H78" s="732">
        <v>11.54</v>
      </c>
      <c r="I78" s="733" t="e">
        <f t="shared" si="9"/>
        <v>#DIV/0!</v>
      </c>
      <c r="J78" s="733" t="e">
        <f t="shared" si="9"/>
        <v>#DIV/0!</v>
      </c>
      <c r="K78" s="733" t="e">
        <f t="shared" si="9"/>
        <v>#DIV/0!</v>
      </c>
      <c r="L78" s="2415"/>
    </row>
    <row r="79" spans="1:56">
      <c r="A79" s="2369">
        <v>100</v>
      </c>
      <c r="B79" s="2370"/>
      <c r="C79" s="734">
        <v>99.998999999999995</v>
      </c>
      <c r="D79" s="734">
        <v>100</v>
      </c>
      <c r="E79" s="734">
        <v>100</v>
      </c>
      <c r="F79" s="735">
        <v>100</v>
      </c>
      <c r="G79" s="735">
        <v>100</v>
      </c>
      <c r="H79" s="735">
        <v>100</v>
      </c>
      <c r="I79" s="733">
        <f>(C79-F79)/A79*100</f>
        <v>-1.0000000000047748E-3</v>
      </c>
      <c r="J79" s="733">
        <f>(D79-G79)/A79*100</f>
        <v>0</v>
      </c>
      <c r="K79" s="733">
        <f>(E79-H79)/A79*100</f>
        <v>0</v>
      </c>
      <c r="L79" s="2416">
        <f>2*(0.00002^2+0.00005^2+0.000029^2)^0.5</f>
        <v>1.2232742946698423E-4</v>
      </c>
    </row>
    <row r="80" spans="1:56">
      <c r="A80" s="2371"/>
      <c r="B80" s="2372"/>
      <c r="C80" s="735">
        <v>90</v>
      </c>
      <c r="D80" s="735">
        <v>90</v>
      </c>
      <c r="E80" s="735">
        <v>90</v>
      </c>
      <c r="F80" s="735">
        <v>90</v>
      </c>
      <c r="G80" s="735">
        <v>90</v>
      </c>
      <c r="H80" s="735">
        <v>90</v>
      </c>
      <c r="I80" s="733">
        <f>(C80-F80)/A79*100</f>
        <v>0</v>
      </c>
      <c r="J80" s="733">
        <f>(D80-G80)/A79*100</f>
        <v>0</v>
      </c>
      <c r="K80" s="733">
        <f>(E80-H80)/A79*100</f>
        <v>0</v>
      </c>
      <c r="L80" s="2417"/>
    </row>
    <row r="81" spans="1:12">
      <c r="A81" s="2371"/>
      <c r="B81" s="2372"/>
      <c r="C81" s="735">
        <v>80</v>
      </c>
      <c r="D81" s="735">
        <v>80</v>
      </c>
      <c r="E81" s="735">
        <v>80</v>
      </c>
      <c r="F81" s="735">
        <v>80</v>
      </c>
      <c r="G81" s="735">
        <v>80</v>
      </c>
      <c r="H81" s="735">
        <v>80</v>
      </c>
      <c r="I81" s="733">
        <f>(C81-F81)/A79*100</f>
        <v>0</v>
      </c>
      <c r="J81" s="733">
        <f>(D81-G81)/A79*100</f>
        <v>0</v>
      </c>
      <c r="K81" s="733">
        <f>(E81-H81)/A79*100</f>
        <v>0</v>
      </c>
      <c r="L81" s="2417"/>
    </row>
    <row r="82" spans="1:12">
      <c r="A82" s="2371"/>
      <c r="B82" s="2372"/>
      <c r="C82" s="735">
        <v>70</v>
      </c>
      <c r="D82" s="735">
        <v>70</v>
      </c>
      <c r="E82" s="735">
        <v>70</v>
      </c>
      <c r="F82" s="735">
        <v>70</v>
      </c>
      <c r="G82" s="735">
        <v>70</v>
      </c>
      <c r="H82" s="735">
        <v>70</v>
      </c>
      <c r="I82" s="733">
        <f>(C82-F82)/A79*100</f>
        <v>0</v>
      </c>
      <c r="J82" s="733">
        <f>(D82-G82)/A79*100</f>
        <v>0</v>
      </c>
      <c r="K82" s="733">
        <f>(E82-H82)/A79*100</f>
        <v>0</v>
      </c>
      <c r="L82" s="2417"/>
    </row>
    <row r="83" spans="1:12">
      <c r="A83" s="2371"/>
      <c r="B83" s="2372"/>
      <c r="C83" s="735">
        <v>60</v>
      </c>
      <c r="D83" s="735">
        <v>60</v>
      </c>
      <c r="E83" s="735">
        <v>60</v>
      </c>
      <c r="F83" s="735">
        <v>60</v>
      </c>
      <c r="G83" s="735">
        <v>60</v>
      </c>
      <c r="H83" s="735">
        <v>60</v>
      </c>
      <c r="I83" s="733">
        <f>(C83-F83)/A79*100</f>
        <v>0</v>
      </c>
      <c r="J83" s="733">
        <f>(D83-G83)/A79*100</f>
        <v>0</v>
      </c>
      <c r="K83" s="733">
        <f>(E83-H83)/A79*100</f>
        <v>0</v>
      </c>
      <c r="L83" s="2417"/>
    </row>
    <row r="84" spans="1:12">
      <c r="A84" s="2371"/>
      <c r="B84" s="2372"/>
      <c r="C84" s="735">
        <v>50</v>
      </c>
      <c r="D84" s="735">
        <v>50</v>
      </c>
      <c r="E84" s="735">
        <v>50</v>
      </c>
      <c r="F84" s="735">
        <v>50</v>
      </c>
      <c r="G84" s="735">
        <v>50</v>
      </c>
      <c r="H84" s="735">
        <v>50</v>
      </c>
      <c r="I84" s="733">
        <f>(C84-F84)/A79*100</f>
        <v>0</v>
      </c>
      <c r="J84" s="733">
        <f>(D84-G84)/A79*100</f>
        <v>0</v>
      </c>
      <c r="K84" s="733">
        <f>(E84-H84)/A79*100</f>
        <v>0</v>
      </c>
      <c r="L84" s="2417"/>
    </row>
    <row r="85" spans="1:12">
      <c r="A85" s="2371"/>
      <c r="B85" s="2372"/>
      <c r="C85" s="734">
        <v>39.999000000000002</v>
      </c>
      <c r="D85" s="734">
        <v>39.999000000000002</v>
      </c>
      <c r="E85" s="734">
        <v>39.999000000000002</v>
      </c>
      <c r="F85" s="735">
        <v>40</v>
      </c>
      <c r="G85" s="735">
        <v>40</v>
      </c>
      <c r="H85" s="735">
        <v>40</v>
      </c>
      <c r="I85" s="733">
        <f>(C85-F85)/A79*100</f>
        <v>-9.9999999999766942E-4</v>
      </c>
      <c r="J85" s="733">
        <f>(D85-G85)/A79*100</f>
        <v>-9.9999999999766942E-4</v>
      </c>
      <c r="K85" s="733">
        <f>(E85-H85)/A79*100</f>
        <v>-9.9999999999766942E-4</v>
      </c>
      <c r="L85" s="2417"/>
    </row>
    <row r="86" spans="1:12">
      <c r="A86" s="2371"/>
      <c r="B86" s="2372"/>
      <c r="C86" s="734">
        <v>29.998999999999999</v>
      </c>
      <c r="D86" s="734">
        <v>29.998999999999999</v>
      </c>
      <c r="E86" s="734">
        <v>29.998999999999999</v>
      </c>
      <c r="F86" s="735">
        <v>30</v>
      </c>
      <c r="G86" s="735">
        <v>30</v>
      </c>
      <c r="H86" s="735">
        <v>30</v>
      </c>
      <c r="I86" s="733">
        <f>(C86-F86)/A79*100</f>
        <v>-1.0000000000012221E-3</v>
      </c>
      <c r="J86" s="733">
        <f>(D86-G86)/A79*100</f>
        <v>-1.0000000000012221E-3</v>
      </c>
      <c r="K86" s="733">
        <f>(E86-H86)/A79*100</f>
        <v>-1.0000000000012221E-3</v>
      </c>
      <c r="L86" s="2417"/>
    </row>
    <row r="87" spans="1:12">
      <c r="A87" s="2371"/>
      <c r="B87" s="2372"/>
      <c r="C87" s="734">
        <v>19.998999999999999</v>
      </c>
      <c r="D87" s="734">
        <v>19.998999999999999</v>
      </c>
      <c r="E87" s="734">
        <v>19.998999999999999</v>
      </c>
      <c r="F87" s="735">
        <v>20</v>
      </c>
      <c r="G87" s="735">
        <v>20</v>
      </c>
      <c r="H87" s="735">
        <v>20</v>
      </c>
      <c r="I87" s="733">
        <f>(C87-F87)/A79*100</f>
        <v>-1.0000000000012221E-3</v>
      </c>
      <c r="J87" s="733">
        <f>(D87-G87)/A79*100</f>
        <v>-1.0000000000012221E-3</v>
      </c>
      <c r="K87" s="733">
        <f>(E87-H87)/A79*100</f>
        <v>-1.0000000000012221E-3</v>
      </c>
      <c r="L87" s="2417"/>
    </row>
    <row r="88" spans="1:12">
      <c r="A88" s="2373"/>
      <c r="B88" s="2374"/>
      <c r="C88" s="734">
        <v>9.9978999999999996</v>
      </c>
      <c r="D88" s="734">
        <v>9.9979999999999993</v>
      </c>
      <c r="E88" s="734">
        <v>9.9992000000000001</v>
      </c>
      <c r="F88" s="735">
        <v>10</v>
      </c>
      <c r="G88" s="735">
        <v>10</v>
      </c>
      <c r="H88" s="735">
        <v>10</v>
      </c>
      <c r="I88" s="733">
        <f>(C88-F88)/A79*100</f>
        <v>-2.1000000000004349E-3</v>
      </c>
      <c r="J88" s="733">
        <f>(D88-G88)/A79*100</f>
        <v>-2.0000000000006679E-3</v>
      </c>
      <c r="K88" s="733">
        <f>(E88-H88)/A79*100</f>
        <v>-7.9999999999991189E-4</v>
      </c>
      <c r="L88" s="2418"/>
    </row>
    <row r="89" spans="1:12">
      <c r="A89" s="2419">
        <v>220</v>
      </c>
      <c r="B89" s="2420"/>
      <c r="C89" s="735">
        <v>220.00200000000001</v>
      </c>
      <c r="D89" s="735">
        <v>220.006</v>
      </c>
      <c r="E89" s="735">
        <v>220.00299999999999</v>
      </c>
      <c r="F89" s="736">
        <v>220</v>
      </c>
      <c r="G89" s="736">
        <v>220</v>
      </c>
      <c r="H89" s="736">
        <v>220</v>
      </c>
      <c r="I89" s="733">
        <f>(C89-F89)/A89*100</f>
        <v>9.090909090952498E-4</v>
      </c>
      <c r="J89" s="733">
        <f>(D89-G89)/A89*100</f>
        <v>2.7272727272728307E-3</v>
      </c>
      <c r="K89" s="733">
        <f>(E89-H89)/A89*100</f>
        <v>1.3636363636299559E-3</v>
      </c>
      <c r="L89" s="2425">
        <f>2*(0.00002^2+0.00005^2+0.000029^2)^0.5</f>
        <v>1.2232742946698423E-4</v>
      </c>
    </row>
    <row r="90" spans="1:12">
      <c r="A90" s="2421"/>
      <c r="B90" s="2422"/>
      <c r="C90" s="735">
        <v>132.00200000000001</v>
      </c>
      <c r="D90" s="735">
        <v>132.005</v>
      </c>
      <c r="E90" s="735">
        <v>132.00200000000001</v>
      </c>
      <c r="F90" s="736">
        <v>132</v>
      </c>
      <c r="G90" s="736">
        <v>132</v>
      </c>
      <c r="H90" s="736">
        <v>132</v>
      </c>
      <c r="I90" s="733">
        <f>(C90-F90)/A89*100</f>
        <v>9.090909090952498E-4</v>
      </c>
      <c r="J90" s="733">
        <f>(D90-G90)/A89*100</f>
        <v>2.2727272727252057E-3</v>
      </c>
      <c r="K90" s="733">
        <f>(E90-H90)/A89*100</f>
        <v>9.090909090952498E-4</v>
      </c>
      <c r="L90" s="2426"/>
    </row>
    <row r="91" spans="1:12">
      <c r="A91" s="2423"/>
      <c r="B91" s="2424"/>
      <c r="C91" s="735">
        <v>22</v>
      </c>
      <c r="D91" s="735">
        <v>22</v>
      </c>
      <c r="E91" s="735">
        <v>22.001000000000001</v>
      </c>
      <c r="F91" s="737">
        <v>22</v>
      </c>
      <c r="G91" s="737">
        <v>22</v>
      </c>
      <c r="H91" s="737">
        <v>22</v>
      </c>
      <c r="I91" s="733">
        <f>(C91-F91)/A89*100</f>
        <v>0</v>
      </c>
      <c r="J91" s="733">
        <f>(D91-G91)/A89*100</f>
        <v>0</v>
      </c>
      <c r="K91" s="733">
        <f>(E91-H91)/A89*100</f>
        <v>4.5454545454601004E-4</v>
      </c>
      <c r="L91" s="2427"/>
    </row>
    <row r="92" spans="1:12">
      <c r="A92" s="2358">
        <v>380</v>
      </c>
      <c r="B92" s="2364"/>
      <c r="C92" s="738">
        <v>380.01400000000001</v>
      </c>
      <c r="D92" s="738">
        <v>379.95100000000002</v>
      </c>
      <c r="E92" s="738">
        <v>379.87599999999998</v>
      </c>
      <c r="F92" s="739">
        <v>380.09500000000003</v>
      </c>
      <c r="G92" s="739">
        <v>380.06200000000001</v>
      </c>
      <c r="H92" s="739">
        <v>380.04500000000002</v>
      </c>
      <c r="I92" s="740">
        <f>(C92-F92)/A92*100</f>
        <v>-2.131578947368876E-2</v>
      </c>
      <c r="J92" s="740">
        <f>(D92-G92)/A92*100</f>
        <v>-2.9210526315786842E-2</v>
      </c>
      <c r="K92" s="740">
        <f>(E92-H92)/A92*100</f>
        <v>-4.4473684210536726E-2</v>
      </c>
      <c r="L92" s="741"/>
    </row>
    <row r="93" spans="1:12">
      <c r="A93" s="2365"/>
      <c r="B93" s="2366"/>
      <c r="C93" s="738">
        <v>227.98699999999999</v>
      </c>
      <c r="D93" s="738">
        <v>227.95400000000001</v>
      </c>
      <c r="E93" s="738">
        <v>227.941</v>
      </c>
      <c r="F93" s="738">
        <v>228.04</v>
      </c>
      <c r="G93" s="738">
        <v>228.01599999999999</v>
      </c>
      <c r="H93" s="738">
        <v>228.04</v>
      </c>
      <c r="I93" s="740">
        <f>(C93-F93)/A92*100</f>
        <v>-1.3947368421051914E-2</v>
      </c>
      <c r="J93" s="740">
        <f>(D93-G93)/A92*100</f>
        <v>-1.6315789473679843E-2</v>
      </c>
      <c r="K93" s="740">
        <f>(E93-H93)/A92*100</f>
        <v>-2.6052631578944614E-2</v>
      </c>
      <c r="L93" s="741"/>
    </row>
    <row r="94" spans="1:12">
      <c r="A94" s="2367"/>
      <c r="B94" s="2368"/>
      <c r="C94" s="742">
        <v>37.998800000000003</v>
      </c>
      <c r="D94" s="742">
        <v>38.004399999999997</v>
      </c>
      <c r="E94" s="742">
        <v>37.997</v>
      </c>
      <c r="F94" s="743">
        <v>38.0122</v>
      </c>
      <c r="G94" s="743">
        <v>38.014099999999999</v>
      </c>
      <c r="H94" s="743">
        <v>38.008600000000001</v>
      </c>
      <c r="I94" s="740">
        <f>(C94-F94)/A92*100</f>
        <v>-3.5263157894729453E-3</v>
      </c>
      <c r="J94" s="740">
        <f>(D94-G94)/A92*100</f>
        <v>-2.5526315789479639E-3</v>
      </c>
      <c r="K94" s="740">
        <f>(E94-H94)/A92*100</f>
        <v>-3.0526315789477336E-3</v>
      </c>
      <c r="L94" s="741"/>
    </row>
    <row r="95" spans="1:12">
      <c r="A95" s="2405" t="s">
        <v>1969</v>
      </c>
      <c r="B95" s="2406"/>
      <c r="C95" s="2406"/>
      <c r="D95" s="2406"/>
      <c r="E95" s="2406"/>
      <c r="F95" s="2406"/>
      <c r="G95" s="2406"/>
      <c r="H95" s="2406"/>
      <c r="I95" s="2406"/>
      <c r="J95" s="2406"/>
      <c r="K95" s="2406"/>
      <c r="L95" s="2407"/>
    </row>
  </sheetData>
  <mergeCells count="590">
    <mergeCell ref="C11:C12"/>
    <mergeCell ref="I43:J43"/>
    <mergeCell ref="A2:C2"/>
    <mergeCell ref="A9:D9"/>
    <mergeCell ref="A11:A12"/>
    <mergeCell ref="B11:B12"/>
    <mergeCell ref="D11:D12"/>
    <mergeCell ref="C42:F42"/>
    <mergeCell ref="G42:J42"/>
    <mergeCell ref="A13:A22"/>
    <mergeCell ref="A23:A25"/>
    <mergeCell ref="A26:A28"/>
    <mergeCell ref="G11:H12"/>
    <mergeCell ref="I11:I12"/>
    <mergeCell ref="E11:E12"/>
    <mergeCell ref="F11:F12"/>
    <mergeCell ref="O44:O70"/>
    <mergeCell ref="A29:A31"/>
    <mergeCell ref="A32:A34"/>
    <mergeCell ref="E48:F48"/>
    <mergeCell ref="G48:H48"/>
    <mergeCell ref="C45:D45"/>
    <mergeCell ref="E45:F45"/>
    <mergeCell ref="G45:H45"/>
    <mergeCell ref="I44:J44"/>
    <mergeCell ref="K44:L44"/>
    <mergeCell ref="C44:D44"/>
    <mergeCell ref="E44:F44"/>
    <mergeCell ref="G44:H44"/>
    <mergeCell ref="M44:N44"/>
    <mergeCell ref="I45:J45"/>
    <mergeCell ref="K45:L45"/>
    <mergeCell ref="M45:N45"/>
    <mergeCell ref="A39:F39"/>
    <mergeCell ref="A42:B43"/>
    <mergeCell ref="K42:N42"/>
    <mergeCell ref="C43:D43"/>
    <mergeCell ref="E43:F43"/>
    <mergeCell ref="G43:H43"/>
    <mergeCell ref="C51:D51"/>
    <mergeCell ref="A44:B53"/>
    <mergeCell ref="C47:D47"/>
    <mergeCell ref="E47:F47"/>
    <mergeCell ref="G47:H47"/>
    <mergeCell ref="I47:J47"/>
    <mergeCell ref="K47:L47"/>
    <mergeCell ref="M47:N47"/>
    <mergeCell ref="C46:D46"/>
    <mergeCell ref="K46:L46"/>
    <mergeCell ref="M46:N46"/>
    <mergeCell ref="E46:F46"/>
    <mergeCell ref="G46:H46"/>
    <mergeCell ref="I46:J46"/>
    <mergeCell ref="I48:J48"/>
    <mergeCell ref="K48:L48"/>
    <mergeCell ref="M48:N48"/>
    <mergeCell ref="C49:D49"/>
    <mergeCell ref="E49:F49"/>
    <mergeCell ref="G49:H49"/>
    <mergeCell ref="I49:J49"/>
    <mergeCell ref="K49:L49"/>
    <mergeCell ref="M49:N49"/>
    <mergeCell ref="C48:D48"/>
    <mergeCell ref="E51:F51"/>
    <mergeCell ref="G51:H51"/>
    <mergeCell ref="I51:J51"/>
    <mergeCell ref="K51:L51"/>
    <mergeCell ref="M51:N51"/>
    <mergeCell ref="C50:D50"/>
    <mergeCell ref="E50:F50"/>
    <mergeCell ref="G50:H50"/>
    <mergeCell ref="I50:J50"/>
    <mergeCell ref="K50:L50"/>
    <mergeCell ref="M50:N50"/>
    <mergeCell ref="C53:D53"/>
    <mergeCell ref="E53:F53"/>
    <mergeCell ref="G53:H53"/>
    <mergeCell ref="I53:J53"/>
    <mergeCell ref="K53:L53"/>
    <mergeCell ref="M53:N53"/>
    <mergeCell ref="C52:D52"/>
    <mergeCell ref="E52:F52"/>
    <mergeCell ref="G52:H52"/>
    <mergeCell ref="I52:J52"/>
    <mergeCell ref="K52:L52"/>
    <mergeCell ref="M52:N52"/>
    <mergeCell ref="A54:B58"/>
    <mergeCell ref="C54:D54"/>
    <mergeCell ref="E54:F54"/>
    <mergeCell ref="G54:H54"/>
    <mergeCell ref="I54:J54"/>
    <mergeCell ref="K54:L54"/>
    <mergeCell ref="C56:D56"/>
    <mergeCell ref="E56:F56"/>
    <mergeCell ref="G56:H56"/>
    <mergeCell ref="I56:J56"/>
    <mergeCell ref="I58:J58"/>
    <mergeCell ref="K58:L58"/>
    <mergeCell ref="K56:L56"/>
    <mergeCell ref="C57:D57"/>
    <mergeCell ref="E57:F57"/>
    <mergeCell ref="E58:F58"/>
    <mergeCell ref="G58:H58"/>
    <mergeCell ref="I59:J59"/>
    <mergeCell ref="K59:L59"/>
    <mergeCell ref="M54:N54"/>
    <mergeCell ref="C55:D55"/>
    <mergeCell ref="E55:F55"/>
    <mergeCell ref="G55:H55"/>
    <mergeCell ref="I55:J55"/>
    <mergeCell ref="K55:L55"/>
    <mergeCell ref="M55:N55"/>
    <mergeCell ref="M58:N58"/>
    <mergeCell ref="M56:N56"/>
    <mergeCell ref="C61:D61"/>
    <mergeCell ref="E61:F61"/>
    <mergeCell ref="G61:H61"/>
    <mergeCell ref="I61:J61"/>
    <mergeCell ref="G57:H57"/>
    <mergeCell ref="I57:J57"/>
    <mergeCell ref="K57:L57"/>
    <mergeCell ref="M63:N63"/>
    <mergeCell ref="C64:D64"/>
    <mergeCell ref="E64:F64"/>
    <mergeCell ref="G64:H64"/>
    <mergeCell ref="I64:J64"/>
    <mergeCell ref="K64:L64"/>
    <mergeCell ref="K61:L61"/>
    <mergeCell ref="M61:N61"/>
    <mergeCell ref="M57:N57"/>
    <mergeCell ref="M59:N59"/>
    <mergeCell ref="C60:D60"/>
    <mergeCell ref="E60:F60"/>
    <mergeCell ref="G60:H60"/>
    <mergeCell ref="I60:J60"/>
    <mergeCell ref="K60:L60"/>
    <mergeCell ref="M60:N60"/>
    <mergeCell ref="C58:D58"/>
    <mergeCell ref="A62:B64"/>
    <mergeCell ref="C62:D62"/>
    <mergeCell ref="E62:F62"/>
    <mergeCell ref="G62:H62"/>
    <mergeCell ref="I62:J62"/>
    <mergeCell ref="K62:L62"/>
    <mergeCell ref="M62:N62"/>
    <mergeCell ref="C63:D63"/>
    <mergeCell ref="E63:F63"/>
    <mergeCell ref="G63:H63"/>
    <mergeCell ref="I63:J63"/>
    <mergeCell ref="K63:L63"/>
    <mergeCell ref="A59:B61"/>
    <mergeCell ref="C59:D59"/>
    <mergeCell ref="E59:F59"/>
    <mergeCell ref="G59:H59"/>
    <mergeCell ref="M66:N66"/>
    <mergeCell ref="C67:D67"/>
    <mergeCell ref="E67:F67"/>
    <mergeCell ref="G67:H67"/>
    <mergeCell ref="I67:J67"/>
    <mergeCell ref="K67:L67"/>
    <mergeCell ref="M67:N67"/>
    <mergeCell ref="M64:N64"/>
    <mergeCell ref="A65:B67"/>
    <mergeCell ref="C65:D65"/>
    <mergeCell ref="E65:F65"/>
    <mergeCell ref="G65:H65"/>
    <mergeCell ref="I65:J65"/>
    <mergeCell ref="K65:L65"/>
    <mergeCell ref="M65:N65"/>
    <mergeCell ref="C66:D66"/>
    <mergeCell ref="E66:F66"/>
    <mergeCell ref="G66:H66"/>
    <mergeCell ref="I66:J66"/>
    <mergeCell ref="K66:L66"/>
    <mergeCell ref="M70:N70"/>
    <mergeCell ref="A71:O71"/>
    <mergeCell ref="J73:L73"/>
    <mergeCell ref="A74:B75"/>
    <mergeCell ref="C74:E74"/>
    <mergeCell ref="F74:H74"/>
    <mergeCell ref="I74:K74"/>
    <mergeCell ref="L74:L75"/>
    <mergeCell ref="A68:B70"/>
    <mergeCell ref="M68:N68"/>
    <mergeCell ref="C69:D69"/>
    <mergeCell ref="E69:F69"/>
    <mergeCell ref="G69:H69"/>
    <mergeCell ref="I69:J69"/>
    <mergeCell ref="K69:L69"/>
    <mergeCell ref="M69:N69"/>
    <mergeCell ref="C68:D68"/>
    <mergeCell ref="E68:F68"/>
    <mergeCell ref="G68:H68"/>
    <mergeCell ref="I68:J68"/>
    <mergeCell ref="K68:L68"/>
    <mergeCell ref="C70:D70"/>
    <mergeCell ref="E70:F70"/>
    <mergeCell ref="G70:H70"/>
    <mergeCell ref="A92:B94"/>
    <mergeCell ref="A95:L95"/>
    <mergeCell ref="A76:B78"/>
    <mergeCell ref="L76:L78"/>
    <mergeCell ref="A79:B88"/>
    <mergeCell ref="L79:L88"/>
    <mergeCell ref="A89:B91"/>
    <mergeCell ref="L89:L91"/>
    <mergeCell ref="I70:J70"/>
    <mergeCell ref="K70:L70"/>
    <mergeCell ref="U11:U12"/>
    <mergeCell ref="V11:V12"/>
    <mergeCell ref="W11:W12"/>
    <mergeCell ref="X11:X12"/>
    <mergeCell ref="Y11:Y12"/>
    <mergeCell ref="L13:L22"/>
    <mergeCell ref="U13:U22"/>
    <mergeCell ref="L11:L12"/>
    <mergeCell ref="M11:M12"/>
    <mergeCell ref="N11:N12"/>
    <mergeCell ref="O11:O12"/>
    <mergeCell ref="P11:P12"/>
    <mergeCell ref="Q11:Q12"/>
    <mergeCell ref="K43:L43"/>
    <mergeCell ref="M43:N43"/>
    <mergeCell ref="O42:O43"/>
    <mergeCell ref="U23:U25"/>
    <mergeCell ref="L26:L28"/>
    <mergeCell ref="U26:U28"/>
    <mergeCell ref="L29:L31"/>
    <mergeCell ref="U29:U31"/>
    <mergeCell ref="L32:L34"/>
    <mergeCell ref="U32:U34"/>
    <mergeCell ref="L23:L25"/>
    <mergeCell ref="AB43:AC43"/>
    <mergeCell ref="AD43:AE43"/>
    <mergeCell ref="AF43:AG43"/>
    <mergeCell ref="AH43:AI43"/>
    <mergeCell ref="AJ43:AK43"/>
    <mergeCell ref="Z42:AA43"/>
    <mergeCell ref="AB42:AE42"/>
    <mergeCell ref="AF42:AI42"/>
    <mergeCell ref="AJ42:AM42"/>
    <mergeCell ref="AL43:AM43"/>
    <mergeCell ref="AS43:AT43"/>
    <mergeCell ref="AU43:AV43"/>
    <mergeCell ref="AW43:AX43"/>
    <mergeCell ref="AY43:AZ43"/>
    <mergeCell ref="BA43:BB43"/>
    <mergeCell ref="BC43:BD43"/>
    <mergeCell ref="AN42:AN43"/>
    <mergeCell ref="AQ42:AR43"/>
    <mergeCell ref="AS42:AV42"/>
    <mergeCell ref="AW42:AZ42"/>
    <mergeCell ref="BA42:BD42"/>
    <mergeCell ref="AY44:AZ44"/>
    <mergeCell ref="BA44:BB44"/>
    <mergeCell ref="BC44:BD44"/>
    <mergeCell ref="AB45:AC45"/>
    <mergeCell ref="AD45:AE45"/>
    <mergeCell ref="AF45:AG45"/>
    <mergeCell ref="AH45:AI45"/>
    <mergeCell ref="AJ45:AK45"/>
    <mergeCell ref="AL45:AM45"/>
    <mergeCell ref="AS45:AT45"/>
    <mergeCell ref="AL44:AM44"/>
    <mergeCell ref="AN44:AN53"/>
    <mergeCell ref="AQ44:AR53"/>
    <mergeCell ref="AS44:AT44"/>
    <mergeCell ref="AU44:AV44"/>
    <mergeCell ref="AW44:AX44"/>
    <mergeCell ref="AU45:AV45"/>
    <mergeCell ref="AW45:AX45"/>
    <mergeCell ref="AU46:AV46"/>
    <mergeCell ref="AW46:AX46"/>
    <mergeCell ref="AB44:AC44"/>
    <mergeCell ref="AD44:AE44"/>
    <mergeCell ref="AF44:AG44"/>
    <mergeCell ref="AH44:AI44"/>
    <mergeCell ref="AY45:AZ45"/>
    <mergeCell ref="BA45:BB45"/>
    <mergeCell ref="BC45:BD45"/>
    <mergeCell ref="AB46:AC46"/>
    <mergeCell ref="AD46:AE46"/>
    <mergeCell ref="AF46:AG46"/>
    <mergeCell ref="AH46:AI46"/>
    <mergeCell ref="AJ46:AK46"/>
    <mergeCell ref="AL46:AM46"/>
    <mergeCell ref="AS46:AT46"/>
    <mergeCell ref="AY46:AZ46"/>
    <mergeCell ref="BA46:BB46"/>
    <mergeCell ref="BC46:BD46"/>
    <mergeCell ref="AY47:AZ47"/>
    <mergeCell ref="BA47:BB47"/>
    <mergeCell ref="BC47:BD47"/>
    <mergeCell ref="AB48:AC48"/>
    <mergeCell ref="AD48:AE48"/>
    <mergeCell ref="AF48:AG48"/>
    <mergeCell ref="AH48:AI48"/>
    <mergeCell ref="AJ48:AK48"/>
    <mergeCell ref="BC48:BD48"/>
    <mergeCell ref="AL48:AM48"/>
    <mergeCell ref="AS48:AT48"/>
    <mergeCell ref="AU48:AV48"/>
    <mergeCell ref="AW48:AX48"/>
    <mergeCell ref="AY48:AZ48"/>
    <mergeCell ref="BA48:BB48"/>
    <mergeCell ref="AB47:AC47"/>
    <mergeCell ref="AD47:AE47"/>
    <mergeCell ref="AF47:AG47"/>
    <mergeCell ref="AH47:AI47"/>
    <mergeCell ref="AJ47:AK47"/>
    <mergeCell ref="AL47:AM47"/>
    <mergeCell ref="AS47:AT47"/>
    <mergeCell ref="AU47:AV47"/>
    <mergeCell ref="AW47:AX47"/>
    <mergeCell ref="AY49:AZ49"/>
    <mergeCell ref="BA49:BB49"/>
    <mergeCell ref="BC49:BD49"/>
    <mergeCell ref="AB50:AC50"/>
    <mergeCell ref="AD50:AE50"/>
    <mergeCell ref="AF50:AG50"/>
    <mergeCell ref="AH50:AI50"/>
    <mergeCell ref="AJ50:AK50"/>
    <mergeCell ref="AL50:AM50"/>
    <mergeCell ref="AS50:AT50"/>
    <mergeCell ref="AU50:AV50"/>
    <mergeCell ref="AW50:AX50"/>
    <mergeCell ref="AY50:AZ50"/>
    <mergeCell ref="BA50:BB50"/>
    <mergeCell ref="BC50:BD50"/>
    <mergeCell ref="AB49:AC49"/>
    <mergeCell ref="AD49:AE49"/>
    <mergeCell ref="AF49:AG49"/>
    <mergeCell ref="AH49:AI49"/>
    <mergeCell ref="AJ49:AK49"/>
    <mergeCell ref="AL49:AM49"/>
    <mergeCell ref="AS49:AT49"/>
    <mergeCell ref="AU49:AV49"/>
    <mergeCell ref="AW49:AX49"/>
    <mergeCell ref="AB51:AC51"/>
    <mergeCell ref="AD51:AE51"/>
    <mergeCell ref="AF51:AG51"/>
    <mergeCell ref="AH51:AI51"/>
    <mergeCell ref="AJ51:AK51"/>
    <mergeCell ref="BC51:BD51"/>
    <mergeCell ref="AB52:AC52"/>
    <mergeCell ref="AD52:AE52"/>
    <mergeCell ref="AF52:AG52"/>
    <mergeCell ref="AH52:AI52"/>
    <mergeCell ref="AJ52:AK52"/>
    <mergeCell ref="AL52:AM52"/>
    <mergeCell ref="AS52:AT52"/>
    <mergeCell ref="AU52:AV52"/>
    <mergeCell ref="AW52:AX52"/>
    <mergeCell ref="AL51:AM51"/>
    <mergeCell ref="AS51:AT51"/>
    <mergeCell ref="AU51:AV51"/>
    <mergeCell ref="AW51:AX51"/>
    <mergeCell ref="AY51:AZ51"/>
    <mergeCell ref="BA51:BB51"/>
    <mergeCell ref="AY52:AZ52"/>
    <mergeCell ref="BA52:BB52"/>
    <mergeCell ref="BC52:BD52"/>
    <mergeCell ref="AB53:AC53"/>
    <mergeCell ref="AD53:AE53"/>
    <mergeCell ref="AF53:AG53"/>
    <mergeCell ref="AH53:AI53"/>
    <mergeCell ref="AJ53:AK53"/>
    <mergeCell ref="AL53:AM53"/>
    <mergeCell ref="AS53:AT53"/>
    <mergeCell ref="AU53:AV53"/>
    <mergeCell ref="AW53:AX53"/>
    <mergeCell ref="AY53:AZ53"/>
    <mergeCell ref="BA53:BB53"/>
    <mergeCell ref="BC53:BD53"/>
    <mergeCell ref="Z54:AA58"/>
    <mergeCell ref="AB54:AC54"/>
    <mergeCell ref="AD54:AE54"/>
    <mergeCell ref="AF54:AG54"/>
    <mergeCell ref="AH54:AI54"/>
    <mergeCell ref="Z44:AA53"/>
    <mergeCell ref="AJ44:AK44"/>
    <mergeCell ref="AY54:AZ54"/>
    <mergeCell ref="BA54:BB54"/>
    <mergeCell ref="BC54:BD54"/>
    <mergeCell ref="AB55:AC55"/>
    <mergeCell ref="AD55:AE55"/>
    <mergeCell ref="AF55:AG55"/>
    <mergeCell ref="AH55:AI55"/>
    <mergeCell ref="AJ55:AK55"/>
    <mergeCell ref="AL55:AM55"/>
    <mergeCell ref="AS55:AT55"/>
    <mergeCell ref="AJ54:AK54"/>
    <mergeCell ref="AL54:AM54"/>
    <mergeCell ref="AQ54:AR58"/>
    <mergeCell ref="AS54:AT54"/>
    <mergeCell ref="AU54:AV54"/>
    <mergeCell ref="AW54:AX54"/>
    <mergeCell ref="AU55:AV55"/>
    <mergeCell ref="AW55:AX55"/>
    <mergeCell ref="AU56:AV56"/>
    <mergeCell ref="AW56:AX56"/>
    <mergeCell ref="AY55:AZ55"/>
    <mergeCell ref="BA55:BB55"/>
    <mergeCell ref="BC55:BD55"/>
    <mergeCell ref="BC56:BD56"/>
    <mergeCell ref="AB56:AC56"/>
    <mergeCell ref="AD56:AE56"/>
    <mergeCell ref="AF56:AG56"/>
    <mergeCell ref="AH56:AI56"/>
    <mergeCell ref="AJ56:AK56"/>
    <mergeCell ref="AL56:AM56"/>
    <mergeCell ref="AS56:AT56"/>
    <mergeCell ref="AY56:AZ56"/>
    <mergeCell ref="BA56:BB56"/>
    <mergeCell ref="AY57:AZ57"/>
    <mergeCell ref="BA57:BB57"/>
    <mergeCell ref="BC57:BD57"/>
    <mergeCell ref="AB58:AC58"/>
    <mergeCell ref="AD58:AE58"/>
    <mergeCell ref="AF58:AG58"/>
    <mergeCell ref="AH58:AI58"/>
    <mergeCell ref="AJ58:AK58"/>
    <mergeCell ref="BC58:BD58"/>
    <mergeCell ref="AL58:AM58"/>
    <mergeCell ref="AS58:AT58"/>
    <mergeCell ref="AU58:AV58"/>
    <mergeCell ref="AW58:AX58"/>
    <mergeCell ref="AY58:AZ58"/>
    <mergeCell ref="BA58:BB58"/>
    <mergeCell ref="AB57:AC57"/>
    <mergeCell ref="AD57:AE57"/>
    <mergeCell ref="AF57:AG57"/>
    <mergeCell ref="AH57:AI57"/>
    <mergeCell ref="AJ57:AK57"/>
    <mergeCell ref="AL57:AM57"/>
    <mergeCell ref="AS57:AT57"/>
    <mergeCell ref="AU57:AV57"/>
    <mergeCell ref="AW57:AX57"/>
    <mergeCell ref="Z59:AA61"/>
    <mergeCell ref="AB59:AC59"/>
    <mergeCell ref="AD59:AE59"/>
    <mergeCell ref="AF59:AG59"/>
    <mergeCell ref="AH59:AI59"/>
    <mergeCell ref="AJ59:AK59"/>
    <mergeCell ref="AL59:AM59"/>
    <mergeCell ref="AQ59:AR61"/>
    <mergeCell ref="AS59:AT59"/>
    <mergeCell ref="AB61:AC61"/>
    <mergeCell ref="AD61:AE61"/>
    <mergeCell ref="AF61:AG61"/>
    <mergeCell ref="AH61:AI61"/>
    <mergeCell ref="AJ61:AK61"/>
    <mergeCell ref="AL61:AM61"/>
    <mergeCell ref="AS61:AT61"/>
    <mergeCell ref="AU59:AV59"/>
    <mergeCell ref="AW59:AX59"/>
    <mergeCell ref="AY59:AZ59"/>
    <mergeCell ref="BA59:BB59"/>
    <mergeCell ref="BC59:BD59"/>
    <mergeCell ref="AB60:AC60"/>
    <mergeCell ref="AD60:AE60"/>
    <mergeCell ref="AF60:AG60"/>
    <mergeCell ref="AH60:AI60"/>
    <mergeCell ref="AJ60:AK60"/>
    <mergeCell ref="BC60:BD60"/>
    <mergeCell ref="AU61:AV61"/>
    <mergeCell ref="AW61:AX61"/>
    <mergeCell ref="AL60:AM60"/>
    <mergeCell ref="AS60:AT60"/>
    <mergeCell ref="AU60:AV60"/>
    <mergeCell ref="AW60:AX60"/>
    <mergeCell ref="AY60:AZ60"/>
    <mergeCell ref="BA60:BB60"/>
    <mergeCell ref="AY61:AZ61"/>
    <mergeCell ref="BA61:BB61"/>
    <mergeCell ref="BC61:BD61"/>
    <mergeCell ref="Z62:AA64"/>
    <mergeCell ref="AB62:AC62"/>
    <mergeCell ref="AD62:AE62"/>
    <mergeCell ref="AF62:AG62"/>
    <mergeCell ref="AH62:AI62"/>
    <mergeCell ref="AJ62:AK62"/>
    <mergeCell ref="AL62:AM62"/>
    <mergeCell ref="BC62:BD62"/>
    <mergeCell ref="AB63:AC63"/>
    <mergeCell ref="AD63:AE63"/>
    <mergeCell ref="AF63:AG63"/>
    <mergeCell ref="AH63:AI63"/>
    <mergeCell ref="AJ63:AK63"/>
    <mergeCell ref="AL63:AM63"/>
    <mergeCell ref="AS63:AT63"/>
    <mergeCell ref="AU63:AV63"/>
    <mergeCell ref="AW63:AX63"/>
    <mergeCell ref="AQ62:AR64"/>
    <mergeCell ref="AS62:AT62"/>
    <mergeCell ref="AU62:AV62"/>
    <mergeCell ref="AW62:AX62"/>
    <mergeCell ref="AY62:AZ62"/>
    <mergeCell ref="BA62:BB62"/>
    <mergeCell ref="AY63:AZ63"/>
    <mergeCell ref="BA63:BB63"/>
    <mergeCell ref="AY64:AZ64"/>
    <mergeCell ref="BA64:BB64"/>
    <mergeCell ref="BC63:BD63"/>
    <mergeCell ref="AB64:AC64"/>
    <mergeCell ref="AD64:AE64"/>
    <mergeCell ref="AF64:AG64"/>
    <mergeCell ref="AH64:AI64"/>
    <mergeCell ref="AJ64:AK64"/>
    <mergeCell ref="AL64:AM64"/>
    <mergeCell ref="AS64:AT64"/>
    <mergeCell ref="AU64:AV64"/>
    <mergeCell ref="AW64:AX64"/>
    <mergeCell ref="BC64:BD64"/>
    <mergeCell ref="Z65:AA67"/>
    <mergeCell ref="AB65:AC65"/>
    <mergeCell ref="AD65:AE65"/>
    <mergeCell ref="AF65:AG65"/>
    <mergeCell ref="AH65:AI65"/>
    <mergeCell ref="AJ65:AK65"/>
    <mergeCell ref="AL65:AM65"/>
    <mergeCell ref="AQ65:AR67"/>
    <mergeCell ref="AS65:AT65"/>
    <mergeCell ref="BC66:BD66"/>
    <mergeCell ref="AB67:AC67"/>
    <mergeCell ref="AD67:AE67"/>
    <mergeCell ref="AF67:AG67"/>
    <mergeCell ref="AH67:AI67"/>
    <mergeCell ref="AJ67:AK67"/>
    <mergeCell ref="AL67:AM67"/>
    <mergeCell ref="AY65:AZ65"/>
    <mergeCell ref="BA65:BB65"/>
    <mergeCell ref="AS67:AT67"/>
    <mergeCell ref="AU67:AV67"/>
    <mergeCell ref="AL66:AM66"/>
    <mergeCell ref="AS66:AT66"/>
    <mergeCell ref="AU66:AV66"/>
    <mergeCell ref="AW66:AX66"/>
    <mergeCell ref="AY67:AZ67"/>
    <mergeCell ref="BC65:BD65"/>
    <mergeCell ref="AB66:AC66"/>
    <mergeCell ref="AD66:AE66"/>
    <mergeCell ref="AF66:AG66"/>
    <mergeCell ref="AH66:AI66"/>
    <mergeCell ref="AJ66:AK66"/>
    <mergeCell ref="AY66:AZ66"/>
    <mergeCell ref="BA67:BB67"/>
    <mergeCell ref="BA66:BB66"/>
    <mergeCell ref="AU65:AV65"/>
    <mergeCell ref="AW65:AX65"/>
    <mergeCell ref="BC67:BD67"/>
    <mergeCell ref="Z68:AA70"/>
    <mergeCell ref="AB68:AC68"/>
    <mergeCell ref="AD68:AE68"/>
    <mergeCell ref="AF68:AG68"/>
    <mergeCell ref="AH68:AI68"/>
    <mergeCell ref="AJ68:AK68"/>
    <mergeCell ref="AS68:AT68"/>
    <mergeCell ref="AL68:AM68"/>
    <mergeCell ref="BA68:BB68"/>
    <mergeCell ref="AY69:AZ69"/>
    <mergeCell ref="BC68:BD68"/>
    <mergeCell ref="AB69:AC69"/>
    <mergeCell ref="AD69:AE69"/>
    <mergeCell ref="AF69:AG69"/>
    <mergeCell ref="AH69:AI69"/>
    <mergeCell ref="AJ69:AK69"/>
    <mergeCell ref="AL69:AM69"/>
    <mergeCell ref="AS69:AT69"/>
    <mergeCell ref="AU69:AV69"/>
    <mergeCell ref="AQ68:AR70"/>
    <mergeCell ref="AU68:AV68"/>
    <mergeCell ref="AW68:AX68"/>
    <mergeCell ref="AW67:AX67"/>
    <mergeCell ref="AY68:AZ68"/>
    <mergeCell ref="AW70:AX70"/>
    <mergeCell ref="BA69:BB69"/>
    <mergeCell ref="AY70:AZ70"/>
    <mergeCell ref="BA70:BB70"/>
    <mergeCell ref="BC70:BD70"/>
    <mergeCell ref="BC69:BD69"/>
    <mergeCell ref="AB70:AC70"/>
    <mergeCell ref="AD70:AE70"/>
    <mergeCell ref="AF70:AG70"/>
    <mergeCell ref="AH70:AI70"/>
    <mergeCell ref="AJ70:AK70"/>
    <mergeCell ref="AL70:AM70"/>
    <mergeCell ref="AS70:AT70"/>
    <mergeCell ref="AU70:AV70"/>
    <mergeCell ref="AW69:AX69"/>
  </mergeCells>
  <phoneticPr fontId="25" type="noConversion"/>
  <conditionalFormatting sqref="B13:E34">
    <cfRule type="expression" dxfId="132" priority="5" stopIfTrue="1">
      <formula>ABS(#REF!)&gt;#REF!</formula>
    </cfRule>
  </conditionalFormatting>
  <conditionalFormatting sqref="I76:K94">
    <cfRule type="cellIs" dxfId="131" priority="3" stopIfTrue="1" operator="greaterThan">
      <formula>0.05</formula>
    </cfRule>
    <cfRule type="cellIs" dxfId="130" priority="4" stopIfTrue="1" operator="lessThan">
      <formula>-0.05</formula>
    </cfRule>
  </conditionalFormatting>
  <conditionalFormatting sqref="M13:P34">
    <cfRule type="expression" dxfId="129" priority="2" stopIfTrue="1">
      <formula>ABS(#REF!)&gt;#REF!</formula>
    </cfRule>
  </conditionalFormatting>
  <conditionalFormatting sqref="V13:Y34">
    <cfRule type="expression" dxfId="128" priority="1" stopIfTrue="1">
      <formula>ABS(#REF!)&gt;#REF!</formula>
    </cfRule>
  </conditionalFormatting>
  <pageMargins left="0.75" right="0.75" top="1" bottom="1" header="0.5" footer="0.5"/>
  <drawing r:id="rId1"/>
  <legacyDrawing r:id="rId2"/>
</worksheet>
</file>

<file path=xl/worksheets/sheet18.xml><?xml version="1.0" encoding="utf-8"?>
<worksheet xmlns="http://schemas.openxmlformats.org/spreadsheetml/2006/main" xmlns:r="http://schemas.openxmlformats.org/officeDocument/2006/relationships">
  <dimension ref="A1:H55"/>
  <sheetViews>
    <sheetView workbookViewId="0">
      <selection sqref="A1:D1"/>
    </sheetView>
  </sheetViews>
  <sheetFormatPr defaultRowHeight="14.25"/>
  <cols>
    <col min="2" max="2" width="11.375" customWidth="1"/>
    <col min="4" max="4" width="13.375" customWidth="1"/>
  </cols>
  <sheetData>
    <row r="1" spans="1:8">
      <c r="A1" s="1749" t="str">
        <f xml:space="preserve">                                      [5]原始记录!A2&amp;[5]原始记录!C4&amp;[5]原始记录!E4&amp;[5]原始记录!F4&amp;[5]原始记录!I4</f>
        <v>证书编号：DC/数表-006-2016</v>
      </c>
      <c r="B1" s="1749"/>
      <c r="C1" s="1749"/>
      <c r="D1" s="1749"/>
      <c r="E1" s="315"/>
    </row>
    <row r="3" spans="1:8" ht="18.75">
      <c r="A3" s="1749" t="s">
        <v>4244</v>
      </c>
      <c r="B3" s="1749"/>
      <c r="C3" s="1749"/>
      <c r="D3" s="1749"/>
      <c r="E3" s="1749"/>
    </row>
    <row r="4" spans="1:8">
      <c r="A4" s="2440" t="s">
        <v>4245</v>
      </c>
      <c r="B4" s="2120"/>
      <c r="C4" s="2120"/>
      <c r="D4" s="2120"/>
      <c r="E4" s="1614"/>
    </row>
    <row r="5" spans="1:8">
      <c r="A5" s="1749" t="s">
        <v>4118</v>
      </c>
      <c r="B5" s="1749" t="s">
        <v>4232</v>
      </c>
      <c r="C5" t="s">
        <v>4246</v>
      </c>
      <c r="D5" s="1749" t="s">
        <v>4247</v>
      </c>
      <c r="E5" s="1749" t="s">
        <v>4248</v>
      </c>
      <c r="F5" s="1749" t="s">
        <v>4249</v>
      </c>
      <c r="G5" s="1749"/>
      <c r="H5" s="1749" t="s">
        <v>4250</v>
      </c>
    </row>
    <row r="6" spans="1:8">
      <c r="A6" s="1749"/>
      <c r="B6" s="1749"/>
      <c r="D6" s="1749"/>
      <c r="E6" s="1749"/>
      <c r="F6" s="1749"/>
      <c r="G6" s="1749"/>
      <c r="H6" s="2298"/>
    </row>
    <row r="7" spans="1:8">
      <c r="A7" s="1749">
        <v>10</v>
      </c>
      <c r="B7">
        <v>10</v>
      </c>
      <c r="C7">
        <v>60</v>
      </c>
      <c r="D7">
        <v>9.9946000000000002</v>
      </c>
      <c r="E7">
        <f ca="1">((H7/1.732)^2+((F7/1000000*ABS(D7)+G7)/2)^2)^0.5*2</f>
        <v>0.57736742183229772</v>
      </c>
      <c r="F7" s="2">
        <v>45</v>
      </c>
      <c r="G7" s="364">
        <v>5.0000000000000002E-5</v>
      </c>
      <c r="H7" s="2">
        <f ca="1">10^(-IF(CELL("format",D7)="G",0,VALUE(REPLACE(CELL("format",D7),1,1,))))/2</f>
        <v>0.5</v>
      </c>
    </row>
    <row r="8" spans="1:8">
      <c r="A8" s="1749"/>
      <c r="B8">
        <v>10</v>
      </c>
      <c r="C8" t="s">
        <v>4251</v>
      </c>
      <c r="D8">
        <v>9.9999000000000002</v>
      </c>
      <c r="E8">
        <f ca="1">((H8/1.732)^2+((F8/1000000*ABS(D8)+G8)/2)^2)^0.5*2</f>
        <v>0.57736742203878755</v>
      </c>
      <c r="F8" s="2">
        <v>45</v>
      </c>
      <c r="G8" s="364">
        <v>5.0000000000000002E-5</v>
      </c>
      <c r="H8" s="2">
        <f t="shared" ref="H8:H28" ca="1" si="0">10^(-IF(CELL("format",D8)="G",0,VALUE(REPLACE(CELL("format",D8),1,1,))))/2</f>
        <v>0.5</v>
      </c>
    </row>
    <row r="9" spans="1:8">
      <c r="A9" s="1749"/>
      <c r="B9">
        <f>A$7*0.8</f>
        <v>8</v>
      </c>
      <c r="D9">
        <v>7.9950000000000001</v>
      </c>
      <c r="E9">
        <f ca="1">((H9/1.732)^2+((F9/1000000*ABS(D9)+G9)/2)^2)^0.5*2</f>
        <v>0.57736735095757363</v>
      </c>
      <c r="F9" s="2">
        <v>45</v>
      </c>
      <c r="G9" s="364">
        <v>5.0000000000000002E-5</v>
      </c>
      <c r="H9" s="2">
        <f t="shared" ca="1" si="0"/>
        <v>0.5</v>
      </c>
    </row>
    <row r="10" spans="1:8">
      <c r="A10" s="1749"/>
      <c r="B10">
        <f>A$7*0.7</f>
        <v>7</v>
      </c>
      <c r="D10">
        <v>6.9954000000000001</v>
      </c>
      <c r="E10">
        <f t="shared" ref="E10:E28" ca="1" si="1">((H10/1.732)^2+((F10/1000000*ABS(D10)+G10)/2)^2)^0.5*2</f>
        <v>0.57736732078473951</v>
      </c>
      <c r="F10" s="2">
        <v>45</v>
      </c>
      <c r="G10" s="364">
        <v>5.0000000000000002E-5</v>
      </c>
      <c r="H10" s="2">
        <f t="shared" ca="1" si="0"/>
        <v>0.5</v>
      </c>
    </row>
    <row r="11" spans="1:8">
      <c r="A11" s="1749"/>
      <c r="B11">
        <f>A$7*0.6</f>
        <v>6</v>
      </c>
      <c r="D11">
        <v>5.9958</v>
      </c>
      <c r="E11">
        <f t="shared" ca="1" si="1"/>
        <v>0.57736729411639787</v>
      </c>
      <c r="F11" s="2">
        <v>45</v>
      </c>
      <c r="G11" s="364">
        <v>5.0000000000000002E-5</v>
      </c>
      <c r="H11" s="2">
        <f t="shared" ca="1" si="0"/>
        <v>0.5</v>
      </c>
    </row>
    <row r="12" spans="1:8">
      <c r="A12" s="1749"/>
      <c r="B12">
        <f>A$7*0.5</f>
        <v>5</v>
      </c>
      <c r="D12">
        <v>4.9962999999999997</v>
      </c>
      <c r="E12">
        <f t="shared" ca="1" si="1"/>
        <v>0.57736727095469154</v>
      </c>
      <c r="F12" s="2">
        <v>45</v>
      </c>
      <c r="G12" s="364">
        <v>5.0000000000000002E-5</v>
      </c>
      <c r="H12" s="2">
        <f t="shared" ca="1" si="0"/>
        <v>0.5</v>
      </c>
    </row>
    <row r="13" spans="1:8">
      <c r="A13" s="1749"/>
      <c r="B13">
        <f>A$7*0.4</f>
        <v>4</v>
      </c>
      <c r="D13">
        <v>3.9969999999999999</v>
      </c>
      <c r="E13">
        <f t="shared" ca="1" si="1"/>
        <v>0.57736725130036048</v>
      </c>
      <c r="F13" s="2">
        <v>45</v>
      </c>
      <c r="G13" s="364">
        <v>5.0000000000000002E-5</v>
      </c>
      <c r="H13" s="2">
        <f t="shared" ca="1" si="0"/>
        <v>0.5</v>
      </c>
    </row>
    <row r="14" spans="1:8">
      <c r="A14" s="1749"/>
      <c r="B14">
        <f>A$7*0.3</f>
        <v>3</v>
      </c>
      <c r="D14">
        <v>2.9977999999999998</v>
      </c>
      <c r="E14">
        <f t="shared" ca="1" si="1"/>
        <v>0.57736723514986132</v>
      </c>
      <c r="F14" s="2">
        <v>45</v>
      </c>
      <c r="G14" s="364">
        <v>5.0000000000000002E-5</v>
      </c>
      <c r="H14" s="2">
        <f t="shared" ca="1" si="0"/>
        <v>0.5</v>
      </c>
    </row>
    <row r="15" spans="1:8">
      <c r="A15" s="1749"/>
      <c r="B15">
        <f>A$7*0.2</f>
        <v>2</v>
      </c>
      <c r="D15">
        <v>1.9987999999999999</v>
      </c>
      <c r="E15">
        <f t="shared" ca="1" si="1"/>
        <v>0.57736721419337478</v>
      </c>
      <c r="F15" s="2">
        <v>45</v>
      </c>
      <c r="G15" s="364">
        <v>1.0000000000000001E-5</v>
      </c>
      <c r="H15" s="2">
        <f t="shared" ca="1" si="0"/>
        <v>0.5</v>
      </c>
    </row>
    <row r="16" spans="1:8">
      <c r="A16" s="1749"/>
      <c r="B16">
        <f>A$7*0.1</f>
        <v>1</v>
      </c>
      <c r="D16">
        <v>0.99997999999999998</v>
      </c>
      <c r="E16">
        <f t="shared" ca="1" si="1"/>
        <v>0.57736720816228937</v>
      </c>
      <c r="F16" s="2">
        <v>45</v>
      </c>
      <c r="G16" s="364">
        <v>1.0000000000000001E-5</v>
      </c>
      <c r="H16" s="2">
        <f t="shared" ca="1" si="0"/>
        <v>0.5</v>
      </c>
    </row>
    <row r="17" spans="1:8">
      <c r="A17" s="2387">
        <v>100</v>
      </c>
      <c r="B17" s="48">
        <f>A$17*1</f>
        <v>100</v>
      </c>
      <c r="C17" s="48"/>
      <c r="D17" s="48">
        <v>99.997</v>
      </c>
      <c r="E17" s="48">
        <f t="shared" ca="1" si="1"/>
        <v>1.5010867827931743E-2</v>
      </c>
      <c r="F17" s="2">
        <v>80</v>
      </c>
      <c r="G17">
        <v>7.0000000000000001E-3</v>
      </c>
      <c r="H17" s="2">
        <f t="shared" ca="1" si="0"/>
        <v>5.0000000000000001E-4</v>
      </c>
    </row>
    <row r="18" spans="1:8">
      <c r="A18" s="2388"/>
      <c r="B18" s="48">
        <v>50</v>
      </c>
      <c r="C18" s="48"/>
      <c r="D18" s="48">
        <v>49.991</v>
      </c>
      <c r="E18" s="48">
        <f t="shared" ca="1" si="1"/>
        <v>1.1014422972105085E-2</v>
      </c>
      <c r="F18" s="2">
        <v>80</v>
      </c>
      <c r="G18">
        <v>7.0000000000000001E-3</v>
      </c>
      <c r="H18" s="2">
        <f t="shared" ca="1" si="0"/>
        <v>5.0000000000000001E-4</v>
      </c>
    </row>
    <row r="19" spans="1:8">
      <c r="A19" s="2388"/>
      <c r="B19" s="48">
        <v>10</v>
      </c>
      <c r="C19" s="48"/>
      <c r="D19" s="48">
        <v>10.002000000000001</v>
      </c>
      <c r="E19" s="48">
        <f t="shared" ca="1" si="1"/>
        <v>7.821499147582657E-3</v>
      </c>
      <c r="F19" s="2">
        <v>80</v>
      </c>
      <c r="G19">
        <v>7.0000000000000001E-3</v>
      </c>
      <c r="H19" s="2">
        <f t="shared" ca="1" si="0"/>
        <v>5.0000000000000001E-4</v>
      </c>
    </row>
    <row r="20" spans="1:8">
      <c r="A20" s="2389">
        <v>1</v>
      </c>
      <c r="B20" s="52">
        <f>A$20*1</f>
        <v>1</v>
      </c>
      <c r="C20" s="52"/>
      <c r="D20" s="52">
        <v>0.99997000000000003</v>
      </c>
      <c r="E20" s="77">
        <f t="shared" ca="1" si="1"/>
        <v>5.5300875136168701E-5</v>
      </c>
      <c r="F20" s="2">
        <v>45</v>
      </c>
      <c r="G20" s="364">
        <v>1.0000000000000001E-5</v>
      </c>
      <c r="H20" s="2">
        <f t="shared" ca="1" si="0"/>
        <v>5.0000000000000004E-6</v>
      </c>
    </row>
    <row r="21" spans="1:8">
      <c r="A21" s="2390"/>
      <c r="B21" s="52">
        <f>A$20*0.5</f>
        <v>0.5</v>
      </c>
      <c r="C21" s="52"/>
      <c r="D21" s="52">
        <v>0.49989</v>
      </c>
      <c r="E21" s="77">
        <f t="shared" ca="1" si="1"/>
        <v>3.3003993144862365E-5</v>
      </c>
      <c r="F21" s="2">
        <v>45</v>
      </c>
      <c r="G21" s="364">
        <v>1.0000000000000001E-5</v>
      </c>
      <c r="H21" s="2">
        <f t="shared" ca="1" si="0"/>
        <v>5.0000000000000004E-6</v>
      </c>
    </row>
    <row r="22" spans="1:8">
      <c r="A22" s="2390"/>
      <c r="B22" s="52">
        <f>A$20*0.1</f>
        <v>0.1</v>
      </c>
      <c r="C22" s="52"/>
      <c r="D22" s="52">
        <v>9.9997000000000003E-2</v>
      </c>
      <c r="E22" s="77">
        <f t="shared" ca="1" si="1"/>
        <v>7.0080021383736079E-3</v>
      </c>
      <c r="F22" s="2">
        <v>80</v>
      </c>
      <c r="G22">
        <v>7.0000000000000001E-3</v>
      </c>
      <c r="H22" s="2">
        <f t="shared" ca="1" si="0"/>
        <v>5.0000000000000004E-6</v>
      </c>
    </row>
    <row r="23" spans="1:8">
      <c r="A23" s="2389">
        <v>100</v>
      </c>
      <c r="B23" s="78">
        <f>A$23*1</f>
        <v>100</v>
      </c>
      <c r="C23" s="78"/>
      <c r="D23" s="78">
        <v>99.944999999999993</v>
      </c>
      <c r="E23" s="78">
        <f t="shared" ca="1" si="1"/>
        <v>5.8258205490416722E-3</v>
      </c>
      <c r="F23" s="2">
        <v>52</v>
      </c>
      <c r="G23" s="378">
        <v>5.9999999999999995E-4</v>
      </c>
      <c r="H23" s="2">
        <f t="shared" ca="1" si="0"/>
        <v>5.0000000000000001E-4</v>
      </c>
    </row>
    <row r="24" spans="1:8">
      <c r="A24" s="2390"/>
      <c r="B24" s="78">
        <v>50</v>
      </c>
      <c r="C24" s="78"/>
      <c r="D24" s="78">
        <v>49.963000000000001</v>
      </c>
      <c r="E24" s="78">
        <f t="shared" ca="1" si="1"/>
        <v>3.2497758371635749E-3</v>
      </c>
      <c r="F24" s="2">
        <v>52</v>
      </c>
      <c r="G24" s="378">
        <v>5.9999999999999995E-4</v>
      </c>
      <c r="H24" s="2">
        <f t="shared" ca="1" si="0"/>
        <v>5.0000000000000001E-4</v>
      </c>
    </row>
    <row r="25" spans="1:8">
      <c r="A25" s="2390"/>
      <c r="B25" s="79">
        <v>10</v>
      </c>
      <c r="C25" s="79"/>
      <c r="D25" s="79">
        <v>9.9946999999999999</v>
      </c>
      <c r="E25" s="78">
        <f t="shared" ca="1" si="1"/>
        <v>7.6361930758622482E-4</v>
      </c>
      <c r="F25" s="2">
        <v>45</v>
      </c>
      <c r="G25" s="364">
        <v>5.0000000000000002E-5</v>
      </c>
      <c r="H25" s="2">
        <f t="shared" ca="1" si="0"/>
        <v>5.0000000000000001E-4</v>
      </c>
    </row>
    <row r="26" spans="1:8">
      <c r="A26" s="2391">
        <v>750</v>
      </c>
      <c r="B26" s="80">
        <f>A$26*1</f>
        <v>750</v>
      </c>
      <c r="C26" s="80"/>
      <c r="D26" s="80">
        <v>749.6</v>
      </c>
      <c r="E26" s="80">
        <f t="shared" ca="1" si="1"/>
        <v>5.6766381538756024E-2</v>
      </c>
      <c r="F26" s="2">
        <v>70</v>
      </c>
      <c r="G26">
        <v>4.0000000000000001E-3</v>
      </c>
      <c r="H26" s="2">
        <f t="shared" ca="1" si="0"/>
        <v>5.0000000000000001E-3</v>
      </c>
    </row>
    <row r="27" spans="1:8">
      <c r="A27" s="2392"/>
      <c r="B27" s="80">
        <v>500</v>
      </c>
      <c r="C27" s="80"/>
      <c r="D27" s="80">
        <v>499.69</v>
      </c>
      <c r="E27" s="80">
        <f t="shared" ca="1" si="1"/>
        <v>3.9403593235815708E-2</v>
      </c>
      <c r="F27" s="2">
        <v>70</v>
      </c>
      <c r="G27">
        <v>4.0000000000000001E-3</v>
      </c>
      <c r="H27" s="2">
        <f t="shared" ca="1" si="0"/>
        <v>5.0000000000000001E-3</v>
      </c>
    </row>
    <row r="28" spans="1:8">
      <c r="A28" s="2393"/>
      <c r="B28" s="80">
        <v>100</v>
      </c>
      <c r="C28" s="80"/>
      <c r="D28" s="80">
        <v>99.942999999999998</v>
      </c>
      <c r="E28" s="80">
        <f t="shared" ca="1" si="1"/>
        <v>8.18174280877354E-3</v>
      </c>
      <c r="F28" s="2">
        <v>52</v>
      </c>
      <c r="G28" s="378">
        <v>5.9999999999999995E-4</v>
      </c>
      <c r="H28" s="2">
        <f t="shared" ca="1" si="0"/>
        <v>5.0000000000000001E-3</v>
      </c>
    </row>
    <row r="30" spans="1:8">
      <c r="A30" s="1749" t="s">
        <v>4271</v>
      </c>
      <c r="B30" s="1749"/>
      <c r="C30" s="1749"/>
      <c r="D30" s="1749"/>
    </row>
    <row r="31" spans="1:8">
      <c r="A31" s="1749" t="s">
        <v>604</v>
      </c>
      <c r="B31" s="1749" t="s">
        <v>3530</v>
      </c>
      <c r="C31" s="1749" t="s">
        <v>4272</v>
      </c>
      <c r="D31" s="1749" t="s">
        <v>4074</v>
      </c>
      <c r="E31" t="s">
        <v>4075</v>
      </c>
      <c r="F31" t="s">
        <v>4076</v>
      </c>
      <c r="G31" t="s">
        <v>4077</v>
      </c>
    </row>
    <row r="32" spans="1:8">
      <c r="A32" s="1749"/>
      <c r="B32" s="1749"/>
      <c r="C32" s="1749"/>
      <c r="D32" s="1749"/>
      <c r="E32" t="s">
        <v>4078</v>
      </c>
      <c r="F32" t="s">
        <v>4079</v>
      </c>
      <c r="G32" t="s">
        <v>4080</v>
      </c>
    </row>
    <row r="33" spans="1:7">
      <c r="A33" s="1749">
        <v>10</v>
      </c>
      <c r="B33">
        <v>10</v>
      </c>
      <c r="C33">
        <v>9.9946000000000002</v>
      </c>
      <c r="D33">
        <v>-5.3999999999998494E-3</v>
      </c>
      <c r="E33">
        <v>0.06</v>
      </c>
      <c r="F33">
        <v>0.03</v>
      </c>
      <c r="G33">
        <v>8.9967599999999995E-3</v>
      </c>
    </row>
    <row r="34" spans="1:7">
      <c r="A34" s="1749"/>
      <c r="B34">
        <v>9</v>
      </c>
      <c r="C34">
        <v>8.9949999999999992</v>
      </c>
      <c r="D34">
        <v>-5.0000000000007816E-3</v>
      </c>
      <c r="E34">
        <v>0.06</v>
      </c>
      <c r="F34">
        <v>0.03</v>
      </c>
      <c r="G34">
        <v>8.3969999999999982E-3</v>
      </c>
    </row>
    <row r="35" spans="1:7">
      <c r="A35" s="1749"/>
      <c r="B35">
        <v>8</v>
      </c>
      <c r="C35">
        <v>7.9951999999999996</v>
      </c>
      <c r="D35">
        <v>-4.8000000000003595E-3</v>
      </c>
      <c r="E35">
        <v>0.06</v>
      </c>
      <c r="F35">
        <v>0.03</v>
      </c>
      <c r="G35">
        <v>7.7971199999999994E-3</v>
      </c>
    </row>
    <row r="36" spans="1:7">
      <c r="A36" s="1749"/>
      <c r="B36">
        <v>7</v>
      </c>
      <c r="C36">
        <v>6.9954999999999998</v>
      </c>
      <c r="D36">
        <v>-4.5000000000001705E-3</v>
      </c>
      <c r="E36">
        <v>0.06</v>
      </c>
      <c r="F36">
        <v>0.03</v>
      </c>
      <c r="G36">
        <v>7.1973000000000002E-3</v>
      </c>
    </row>
    <row r="37" spans="1:7">
      <c r="A37" s="1749"/>
      <c r="B37">
        <v>6</v>
      </c>
      <c r="C37">
        <v>5.9958</v>
      </c>
      <c r="D37">
        <v>-4.1999999999999815E-3</v>
      </c>
      <c r="E37">
        <v>0.06</v>
      </c>
      <c r="F37">
        <v>0.03</v>
      </c>
      <c r="G37">
        <v>6.5974800000000002E-3</v>
      </c>
    </row>
    <row r="38" spans="1:7">
      <c r="A38" s="1749"/>
      <c r="B38">
        <v>5</v>
      </c>
      <c r="C38">
        <v>4.9962</v>
      </c>
      <c r="D38">
        <v>-3.8000000000000256E-3</v>
      </c>
      <c r="E38">
        <v>0.06</v>
      </c>
      <c r="F38">
        <v>0.03</v>
      </c>
      <c r="G38">
        <v>5.9977199999999998E-3</v>
      </c>
    </row>
    <row r="39" spans="1:7">
      <c r="A39" s="1749"/>
      <c r="B39">
        <v>4</v>
      </c>
      <c r="C39">
        <v>3.9967999999999999</v>
      </c>
      <c r="D39">
        <v>-3.2000000000000917E-3</v>
      </c>
      <c r="E39">
        <v>0.06</v>
      </c>
      <c r="F39">
        <v>0.03</v>
      </c>
      <c r="G39">
        <v>5.3980799999999995E-3</v>
      </c>
    </row>
    <row r="40" spans="1:7">
      <c r="A40" s="1749"/>
      <c r="B40">
        <v>3</v>
      </c>
      <c r="C40">
        <v>2.9975000000000001</v>
      </c>
      <c r="D40">
        <v>-2.4999999999999467E-3</v>
      </c>
      <c r="E40">
        <v>0.06</v>
      </c>
      <c r="F40">
        <v>0.03</v>
      </c>
      <c r="G40">
        <v>4.7984999999999998E-3</v>
      </c>
    </row>
    <row r="41" spans="1:7">
      <c r="A41" s="1749"/>
      <c r="B41">
        <v>2</v>
      </c>
      <c r="C41">
        <v>1.9984</v>
      </c>
      <c r="D41">
        <v>-1.6000000000000458E-3</v>
      </c>
      <c r="E41">
        <v>0.06</v>
      </c>
      <c r="F41">
        <v>0.03</v>
      </c>
      <c r="G41">
        <v>4.1990400000000002E-3</v>
      </c>
    </row>
    <row r="42" spans="1:7">
      <c r="A42" s="1749"/>
      <c r="B42">
        <v>1</v>
      </c>
      <c r="C42">
        <v>0.99950000000000006</v>
      </c>
      <c r="D42">
        <v>-4.9999999999994493E-4</v>
      </c>
      <c r="E42">
        <v>0.06</v>
      </c>
      <c r="F42">
        <v>0.03</v>
      </c>
      <c r="G42">
        <v>3.5996999999999999E-3</v>
      </c>
    </row>
    <row r="43" spans="1:7">
      <c r="A43" s="1749">
        <v>100</v>
      </c>
      <c r="B43">
        <v>100</v>
      </c>
      <c r="C43">
        <v>99.950999999999993</v>
      </c>
      <c r="D43">
        <v>-4.9000000000006594E-2</v>
      </c>
      <c r="E43">
        <v>0.06</v>
      </c>
      <c r="F43">
        <v>0.04</v>
      </c>
      <c r="G43">
        <v>8.9970599999999998E-2</v>
      </c>
    </row>
    <row r="44" spans="1:7">
      <c r="A44" s="1749"/>
      <c r="B44">
        <v>50</v>
      </c>
      <c r="C44">
        <v>49.968000000000004</v>
      </c>
      <c r="D44">
        <v>-3.1999999999996476E-2</v>
      </c>
      <c r="E44">
        <v>0.06</v>
      </c>
      <c r="F44">
        <v>0.04</v>
      </c>
      <c r="G44">
        <v>3.2980800000000005E-2</v>
      </c>
    </row>
    <row r="45" spans="1:7">
      <c r="A45" s="1749"/>
      <c r="B45">
        <v>10</v>
      </c>
      <c r="C45">
        <v>10</v>
      </c>
      <c r="D45">
        <v>0</v>
      </c>
      <c r="E45">
        <v>0.06</v>
      </c>
      <c r="F45">
        <v>0.04</v>
      </c>
      <c r="G45">
        <v>8.9999999999999993E-3</v>
      </c>
    </row>
    <row r="46" spans="1:7">
      <c r="A46" s="1749">
        <v>1</v>
      </c>
      <c r="B46">
        <v>1</v>
      </c>
      <c r="C46">
        <v>0.99948999999999999</v>
      </c>
      <c r="D46">
        <v>-5.1000000000001044E-4</v>
      </c>
      <c r="E46">
        <v>0.06</v>
      </c>
      <c r="F46">
        <v>0.03</v>
      </c>
      <c r="G46">
        <v>8.9969400000000004E-4</v>
      </c>
    </row>
    <row r="47" spans="1:7">
      <c r="A47" s="1749"/>
      <c r="B47">
        <v>0.5</v>
      </c>
      <c r="C47">
        <v>0.49963999999999997</v>
      </c>
      <c r="D47">
        <v>-3.6000000000002697E-4</v>
      </c>
      <c r="E47">
        <v>0.06</v>
      </c>
      <c r="F47">
        <v>0.03</v>
      </c>
      <c r="G47">
        <v>5.9978400000000002E-4</v>
      </c>
    </row>
    <row r="48" spans="1:7">
      <c r="A48" s="1749"/>
      <c r="B48">
        <v>0.1</v>
      </c>
      <c r="C48">
        <v>9.9951999999999999E-2</v>
      </c>
      <c r="D48">
        <v>-4.8000000000006371E-5</v>
      </c>
      <c r="E48">
        <v>0.06</v>
      </c>
      <c r="F48">
        <v>0.03</v>
      </c>
      <c r="G48">
        <v>3.5997120000000001E-4</v>
      </c>
    </row>
    <row r="49" spans="1:7">
      <c r="A49" s="1749">
        <v>100</v>
      </c>
      <c r="B49">
        <v>100</v>
      </c>
      <c r="C49">
        <v>99.981999999999999</v>
      </c>
      <c r="D49">
        <v>-1.8000000000000682E-2</v>
      </c>
      <c r="E49">
        <v>0.06</v>
      </c>
      <c r="F49">
        <v>0.03</v>
      </c>
      <c r="G49">
        <v>8.9989200000000005E-2</v>
      </c>
    </row>
    <row r="50" spans="1:7">
      <c r="A50" s="1749"/>
      <c r="B50">
        <v>50</v>
      </c>
      <c r="C50">
        <v>49.98</v>
      </c>
      <c r="D50">
        <v>-2.0000000000003126E-2</v>
      </c>
      <c r="E50">
        <v>0.06</v>
      </c>
      <c r="F50">
        <v>0.03</v>
      </c>
      <c r="G50">
        <v>5.9987999999999993E-2</v>
      </c>
    </row>
    <row r="51" spans="1:7">
      <c r="A51" s="1749"/>
      <c r="B51">
        <v>10</v>
      </c>
      <c r="C51">
        <v>9.9947999999999997</v>
      </c>
      <c r="D51">
        <v>-5.2000000000003155E-3</v>
      </c>
      <c r="E51">
        <v>0.06</v>
      </c>
      <c r="F51">
        <v>0.03</v>
      </c>
      <c r="G51">
        <v>3.5996880000000002E-2</v>
      </c>
    </row>
    <row r="52" spans="1:7">
      <c r="A52" s="1749">
        <v>750</v>
      </c>
      <c r="B52">
        <v>750</v>
      </c>
      <c r="C52">
        <v>749.83</v>
      </c>
      <c r="D52">
        <v>-0.16999999999995907</v>
      </c>
      <c r="E52">
        <v>0.06</v>
      </c>
      <c r="F52">
        <v>0.03</v>
      </c>
      <c r="G52">
        <v>0.674898</v>
      </c>
    </row>
    <row r="53" spans="1:7">
      <c r="A53" s="1749"/>
      <c r="B53">
        <v>500</v>
      </c>
      <c r="C53">
        <v>499.83</v>
      </c>
      <c r="D53">
        <v>-0.17000000000001592</v>
      </c>
      <c r="E53">
        <v>0.06</v>
      </c>
      <c r="F53">
        <v>0.03</v>
      </c>
      <c r="G53">
        <v>0.52489799999999998</v>
      </c>
    </row>
    <row r="54" spans="1:7">
      <c r="A54" s="1749"/>
      <c r="B54">
        <v>100</v>
      </c>
      <c r="C54">
        <v>99.981999999999999</v>
      </c>
      <c r="D54">
        <v>-1.8000000000000682E-2</v>
      </c>
      <c r="E54">
        <v>0.06</v>
      </c>
      <c r="F54">
        <v>0.03</v>
      </c>
      <c r="G54">
        <v>0.2849892</v>
      </c>
    </row>
    <row r="55" spans="1:7">
      <c r="A55" t="s">
        <v>4273</v>
      </c>
    </row>
  </sheetData>
  <mergeCells count="24">
    <mergeCell ref="A52:A54"/>
    <mergeCell ref="A30:D30"/>
    <mergeCell ref="C31:C32"/>
    <mergeCell ref="D31:D32"/>
    <mergeCell ref="A31:A32"/>
    <mergeCell ref="A33:A42"/>
    <mergeCell ref="B31:B32"/>
    <mergeCell ref="A43:A45"/>
    <mergeCell ref="A49:A51"/>
    <mergeCell ref="A46:A48"/>
    <mergeCell ref="F5:G6"/>
    <mergeCell ref="H5:H6"/>
    <mergeCell ref="A7:A16"/>
    <mergeCell ref="A17:A19"/>
    <mergeCell ref="A20:A22"/>
    <mergeCell ref="A23:A25"/>
    <mergeCell ref="A26:A28"/>
    <mergeCell ref="A1:D1"/>
    <mergeCell ref="A3:E3"/>
    <mergeCell ref="A4:D4"/>
    <mergeCell ref="A5:A6"/>
    <mergeCell ref="B5:B6"/>
    <mergeCell ref="D5:D6"/>
    <mergeCell ref="E5:E6"/>
  </mergeCells>
  <phoneticPr fontId="216" type="noConversion"/>
  <conditionalFormatting sqref="B7:D28">
    <cfRule type="expression" dxfId="127" priority="1" stopIfTrue="1">
      <formula>ABS(#REF!)&gt;#REF!</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dimension ref="A1:N19"/>
  <sheetViews>
    <sheetView workbookViewId="0">
      <selection activeCell="J26" sqref="J26"/>
    </sheetView>
  </sheetViews>
  <sheetFormatPr defaultRowHeight="14.25"/>
  <sheetData>
    <row r="1" spans="1:14">
      <c r="A1" t="str">
        <f>[6]测试报告内页!A1</f>
        <v>报告编号：DC/数表-227-2014</v>
      </c>
      <c r="L1" s="107"/>
      <c r="M1" s="107"/>
      <c r="N1" s="107"/>
    </row>
    <row r="3" spans="1:14">
      <c r="A3" s="1749" t="str">
        <f>'[6]校准-原始记录、证书'!A3</f>
        <v>校 准 结 果</v>
      </c>
      <c r="B3" s="1749"/>
      <c r="C3" s="1749"/>
      <c r="D3" s="1749"/>
      <c r="E3" s="1749"/>
      <c r="F3" s="1749"/>
      <c r="G3" s="1749"/>
      <c r="H3" s="1749"/>
      <c r="I3" s="1749"/>
      <c r="J3" s="1749"/>
      <c r="K3" s="1749"/>
    </row>
    <row r="4" spans="1:14">
      <c r="A4" t="s">
        <v>4226</v>
      </c>
      <c r="B4" t="s">
        <v>4252</v>
      </c>
      <c r="L4" s="105"/>
      <c r="M4" s="105"/>
      <c r="N4" s="638"/>
    </row>
    <row r="5" spans="1:14">
      <c r="A5" t="s">
        <v>4253</v>
      </c>
      <c r="B5" t="str">
        <f>'[6]校准-原始记录、证书'!B4</f>
        <v>交流电压测量（50Hz）</v>
      </c>
      <c r="L5" s="105"/>
      <c r="M5" s="105"/>
      <c r="N5" s="638"/>
    </row>
    <row r="6" spans="1:14">
      <c r="A6" s="1749" t="str">
        <f>'[6]校准-原始记录、证书'!A5</f>
        <v>量程</v>
      </c>
      <c r="B6" s="1749"/>
      <c r="C6" s="1749" t="str">
        <f>'[6]校准-原始记录、证书'!C5</f>
        <v>显示值</v>
      </c>
      <c r="D6" s="1749"/>
      <c r="E6" s="1749"/>
      <c r="F6" s="1749"/>
      <c r="G6" s="1749" t="str">
        <f>'[6]校准-原始记录、证书'!G5</f>
        <v>标准值</v>
      </c>
      <c r="H6" s="1749"/>
      <c r="I6" s="1749"/>
      <c r="J6" s="1749"/>
      <c r="K6" s="1749" t="str">
        <f>'[6]校准-原始记录、证书'!K5</f>
        <v>引用误差</v>
      </c>
      <c r="L6" s="1749"/>
      <c r="M6" s="1749"/>
      <c r="N6" s="1749"/>
    </row>
    <row r="7" spans="1:14" ht="18.75">
      <c r="A7" s="1749"/>
      <c r="B7" s="1749"/>
      <c r="C7" s="1749" t="s">
        <v>4254</v>
      </c>
      <c r="D7" s="1749"/>
      <c r="E7" s="1749" t="s">
        <v>4255</v>
      </c>
      <c r="F7" s="1749"/>
      <c r="G7" s="1749" t="s">
        <v>4256</v>
      </c>
      <c r="H7" s="1749"/>
      <c r="I7" s="1749" t="s">
        <v>4257</v>
      </c>
      <c r="J7" s="1749"/>
      <c r="K7" s="1749" t="s">
        <v>4254</v>
      </c>
      <c r="L7" s="1749"/>
      <c r="M7" s="1749" t="s">
        <v>4255</v>
      </c>
      <c r="N7" s="1749"/>
    </row>
    <row r="8" spans="1:14">
      <c r="A8" s="1749">
        <f>'[6]校准-原始记录、证书'!A10</f>
        <v>200</v>
      </c>
      <c r="B8" s="1749"/>
      <c r="C8" s="1749">
        <f>'[6]校准-原始记录、证书'!C10</f>
        <v>99.2</v>
      </c>
      <c r="D8" s="1749"/>
      <c r="E8" s="1749">
        <f>'[6]校准-原始记录、证书'!E10</f>
        <v>99.7</v>
      </c>
      <c r="F8" s="1749"/>
      <c r="G8" s="1749">
        <f>'[6]校准-原始记录、证书'!G10</f>
        <v>99.95</v>
      </c>
      <c r="H8" s="1749"/>
      <c r="I8" s="1749">
        <f>'[6]校准-原始记录、证书'!I10</f>
        <v>99.94</v>
      </c>
      <c r="J8" s="1749"/>
      <c r="K8" s="1749">
        <f>'[6]校准-原始记录、证书'!K10</f>
        <v>-0.375</v>
      </c>
      <c r="L8" s="1749"/>
      <c r="M8" s="1749">
        <f>'[6]校准-原始记录、证书'!M10</f>
        <v>-0.11999999999999746</v>
      </c>
      <c r="N8" s="1749"/>
    </row>
    <row r="9" spans="1:14">
      <c r="A9" s="1749"/>
      <c r="B9" s="1749"/>
      <c r="C9" s="1749">
        <f>'[6]校准-原始记录、证书'!C11</f>
        <v>89.1</v>
      </c>
      <c r="D9" s="1749"/>
      <c r="E9" s="1749">
        <f>'[6]校准-原始记录、证书'!E11</f>
        <v>89.8</v>
      </c>
      <c r="F9" s="1749"/>
      <c r="G9" s="1749">
        <f>'[6]校准-原始记录、证书'!G11</f>
        <v>89.96</v>
      </c>
      <c r="H9" s="1749"/>
      <c r="I9" s="1749">
        <f>'[6]校准-原始记录、证书'!I11</f>
        <v>89.93</v>
      </c>
      <c r="J9" s="1749"/>
      <c r="K9" s="1749">
        <f>'[6]校准-原始记录、证书'!K11</f>
        <v>-0.42999999999999972</v>
      </c>
      <c r="L9" s="1749"/>
      <c r="M9" s="1749">
        <f>'[6]校准-原始记录、证书'!M11</f>
        <v>-6.5000000000004832E-2</v>
      </c>
      <c r="N9" s="1749"/>
    </row>
    <row r="10" spans="1:14">
      <c r="A10" s="1749"/>
      <c r="B10" s="1749"/>
      <c r="C10" s="1749">
        <f>'[6]校准-原始记录、证书'!C12</f>
        <v>79.3</v>
      </c>
      <c r="D10" s="1749"/>
      <c r="E10" s="1749">
        <f>'[6]校准-原始记录、证书'!E12</f>
        <v>79.900000000000006</v>
      </c>
      <c r="F10" s="1749"/>
      <c r="G10" s="1749">
        <f>'[6]校准-原始记录、证书'!G12</f>
        <v>80.010000000000005</v>
      </c>
      <c r="H10" s="1749"/>
      <c r="I10" s="1749">
        <f>'[6]校准-原始记录、证书'!I12</f>
        <v>80.02</v>
      </c>
      <c r="J10" s="1749"/>
      <c r="K10" s="1749">
        <f>'[6]校准-原始记录、证书'!K12</f>
        <v>-0.35500000000000398</v>
      </c>
      <c r="L10" s="1749"/>
      <c r="M10" s="1749">
        <f>'[6]校准-原始记录、证书'!M12</f>
        <v>-5.9999999999995168E-2</v>
      </c>
      <c r="N10" s="1749"/>
    </row>
    <row r="11" spans="1:14">
      <c r="A11" s="1749"/>
      <c r="B11" s="1749"/>
      <c r="C11" s="1749">
        <f>'[6]校准-原始记录、证书'!C13</f>
        <v>69.5</v>
      </c>
      <c r="D11" s="1749"/>
      <c r="E11" s="1749">
        <f>'[6]校准-原始记录、证书'!E13</f>
        <v>69.900000000000006</v>
      </c>
      <c r="F11" s="1749"/>
      <c r="G11" s="1749">
        <f>'[6]校准-原始记录、证书'!G13</f>
        <v>70.02</v>
      </c>
      <c r="H11" s="1749"/>
      <c r="I11" s="1749">
        <f>'[6]校准-原始记录、证书'!I13</f>
        <v>70.010000000000005</v>
      </c>
      <c r="J11" s="1749"/>
      <c r="K11" s="1749">
        <f>'[6]校准-原始记录、证书'!K13</f>
        <v>-0.25999999999999801</v>
      </c>
      <c r="L11" s="1749"/>
      <c r="M11" s="1749">
        <f>'[6]校准-原始记录、证书'!M13</f>
        <v>-5.4999999999999709E-2</v>
      </c>
      <c r="N11" s="1749"/>
    </row>
    <row r="12" spans="1:14">
      <c r="A12" s="1749"/>
      <c r="B12" s="1749"/>
      <c r="C12" s="1749">
        <f>'[6]校准-原始记录、证书'!C14</f>
        <v>59.3</v>
      </c>
      <c r="D12" s="1749"/>
      <c r="E12" s="1749">
        <f>'[6]校准-原始记录、证书'!E14</f>
        <v>60</v>
      </c>
      <c r="F12" s="1749"/>
      <c r="G12" s="1749">
        <f>'[6]校准-原始记录、证书'!G14</f>
        <v>60.02</v>
      </c>
      <c r="H12" s="1749"/>
      <c r="I12" s="1749">
        <f>'[6]校准-原始记录、证书'!I14</f>
        <v>60.02</v>
      </c>
      <c r="J12" s="1749"/>
      <c r="K12" s="1749">
        <f>'[6]校准-原始记录、证书'!K14</f>
        <v>-0.36000000000000298</v>
      </c>
      <c r="L12" s="1749"/>
      <c r="M12" s="1749">
        <f>'[6]校准-原始记录、证书'!M14</f>
        <v>-1.0000000000001563E-2</v>
      </c>
      <c r="N12" s="1749"/>
    </row>
    <row r="13" spans="1:14">
      <c r="A13" s="1749"/>
      <c r="B13" s="1749"/>
      <c r="C13" s="1749">
        <f>'[6]校准-原始记录、证书'!C15</f>
        <v>49.7</v>
      </c>
      <c r="D13" s="1749"/>
      <c r="E13" s="1749">
        <f>'[6]校准-原始记录、证书'!E15</f>
        <v>49.9</v>
      </c>
      <c r="F13" s="1749"/>
      <c r="G13" s="1749">
        <f>'[6]校准-原始记录、证书'!G15</f>
        <v>50</v>
      </c>
      <c r="H13" s="1749"/>
      <c r="I13" s="1749">
        <f>'[6]校准-原始记录、证书'!I15</f>
        <v>50</v>
      </c>
      <c r="J13" s="1749"/>
      <c r="K13" s="1749">
        <f>'[6]校准-原始记录、证书'!K15</f>
        <v>-0.14999999999999858</v>
      </c>
      <c r="L13" s="1749"/>
      <c r="M13" s="1749">
        <f>'[6]校准-原始记录、证书'!M15</f>
        <v>-5.0000000000000704E-2</v>
      </c>
      <c r="N13" s="1749"/>
    </row>
    <row r="14" spans="1:14">
      <c r="A14" s="1749"/>
      <c r="B14" s="1749"/>
      <c r="C14" s="1749">
        <f>'[6]校准-原始记录、证书'!C16</f>
        <v>39.299999999999997</v>
      </c>
      <c r="D14" s="1749"/>
      <c r="E14" s="1749">
        <f>'[6]校准-原始记录、证书'!E16</f>
        <v>40</v>
      </c>
      <c r="F14" s="1749"/>
      <c r="G14" s="1749">
        <f>'[6]校准-原始记录、证书'!G16</f>
        <v>40.020000000000003</v>
      </c>
      <c r="H14" s="1749"/>
      <c r="I14" s="1749">
        <f>'[6]校准-原始记录、证书'!I16</f>
        <v>40.020000000000003</v>
      </c>
      <c r="J14" s="1749"/>
      <c r="K14" s="1749">
        <f>'[6]校准-原始记录、证书'!K16</f>
        <v>-0.36000000000000298</v>
      </c>
      <c r="L14" s="1749"/>
      <c r="M14" s="1749">
        <f>'[6]校准-原始记录、证书'!M16</f>
        <v>-1.0000000000001563E-2</v>
      </c>
      <c r="N14" s="1749"/>
    </row>
    <row r="15" spans="1:14">
      <c r="A15" s="1749"/>
      <c r="B15" s="1749"/>
      <c r="C15" s="1749">
        <f>'[6]校准-原始记录、证书'!C17</f>
        <v>29.4</v>
      </c>
      <c r="D15" s="1749"/>
      <c r="E15" s="1749">
        <f>'[6]校准-原始记录、证书'!E17</f>
        <v>30</v>
      </c>
      <c r="F15" s="1749"/>
      <c r="G15" s="1749">
        <f>'[6]校准-原始记录、证书'!G17</f>
        <v>30.01</v>
      </c>
      <c r="H15" s="1749"/>
      <c r="I15" s="1749">
        <f>'[6]校准-原始记录、证书'!I17</f>
        <v>30.04</v>
      </c>
      <c r="J15" s="1749"/>
      <c r="K15" s="1749">
        <f>'[6]校准-原始记录、证书'!K17</f>
        <v>-0.30500000000000149</v>
      </c>
      <c r="L15" s="1749"/>
      <c r="M15" s="1749">
        <f>'[6]校准-原始记录、证书'!M17</f>
        <v>-1.9999999999999574E-2</v>
      </c>
      <c r="N15" s="1749"/>
    </row>
    <row r="16" spans="1:14">
      <c r="A16" s="1749"/>
      <c r="B16" s="1749"/>
      <c r="C16" s="1749">
        <f>'[6]校准-原始记录、证书'!C18</f>
        <v>19.5</v>
      </c>
      <c r="D16" s="1749"/>
      <c r="E16" s="1749">
        <f>'[6]校准-原始记录、证书'!E18</f>
        <v>20</v>
      </c>
      <c r="F16" s="1749"/>
      <c r="G16" s="1749">
        <f>'[6]校准-原始记录、证书'!G18</f>
        <v>20.010000000000002</v>
      </c>
      <c r="H16" s="1749"/>
      <c r="I16" s="1749">
        <f>'[6]校准-原始记录、证书'!I18</f>
        <v>20.03</v>
      </c>
      <c r="J16" s="1749"/>
      <c r="K16" s="1749">
        <f>'[6]校准-原始记录、证书'!K18</f>
        <v>-0.25500000000000078</v>
      </c>
      <c r="L16" s="1749"/>
      <c r="M16" s="1749">
        <f>'[6]校准-原始记录、证书'!M18</f>
        <v>-1.5000000000000568E-2</v>
      </c>
      <c r="N16" s="1749"/>
    </row>
    <row r="17" spans="1:14">
      <c r="A17" s="1749"/>
      <c r="B17" s="1749"/>
      <c r="C17" s="1749">
        <f>'[6]校准-原始记录、证书'!C19</f>
        <v>10</v>
      </c>
      <c r="D17" s="1749"/>
      <c r="E17" s="1749">
        <f>'[6]校准-原始记录、证书'!E19</f>
        <v>10</v>
      </c>
      <c r="F17" s="1749"/>
      <c r="G17" s="1749">
        <f>'[6]校准-原始记录、证书'!G19</f>
        <v>10.029999999999999</v>
      </c>
      <c r="H17" s="1749"/>
      <c r="I17" s="1749">
        <f>'[6]校准-原始记录、证书'!I19</f>
        <v>10.039999999999999</v>
      </c>
      <c r="J17" s="1749"/>
      <c r="K17" s="1749">
        <f>'[6]校准-原始记录、证书'!K19</f>
        <v>-1.4999999999999682E-2</v>
      </c>
      <c r="L17" s="1749"/>
      <c r="M17" s="1749">
        <f>'[6]校准-原始记录、证书'!M19</f>
        <v>-1.9999999999999574E-2</v>
      </c>
      <c r="N17" s="1749"/>
    </row>
    <row r="18" spans="1:14">
      <c r="A18" t="str">
        <f>'[6]校准-原始记录、证书'!A37</f>
        <v>注：显示值、标准值的单位与量程单位一致。</v>
      </c>
      <c r="I18">
        <f>'[6]校准-原始记录、证书'!I37</f>
        <v>0</v>
      </c>
      <c r="J18">
        <f>'[6]校准-原始记录、证书'!J37</f>
        <v>0</v>
      </c>
      <c r="K18">
        <f>'[6]校准-原始记录、证书'!K37</f>
        <v>0</v>
      </c>
    </row>
    <row r="19" spans="1:14">
      <c r="A19" t="str">
        <f>'[6]校准-原始记录、证书'!A38</f>
        <v>结论：</v>
      </c>
      <c r="B19" t="str">
        <f>'[6]校准-原始记录、证书'!B38</f>
        <v>引用误差符合1.0级。</v>
      </c>
      <c r="I19" s="1749"/>
      <c r="J19" s="1749"/>
      <c r="K19" s="1749"/>
      <c r="L19" s="107"/>
      <c r="M19" s="107"/>
      <c r="N19" s="149"/>
    </row>
  </sheetData>
  <mergeCells count="73">
    <mergeCell ref="I19:K19"/>
    <mergeCell ref="C17:D17"/>
    <mergeCell ref="E17:F17"/>
    <mergeCell ref="G17:H17"/>
    <mergeCell ref="I17:J17"/>
    <mergeCell ref="K17:L17"/>
    <mergeCell ref="M17:N17"/>
    <mergeCell ref="C16:D16"/>
    <mergeCell ref="E16:F16"/>
    <mergeCell ref="G16:H16"/>
    <mergeCell ref="I16:J16"/>
    <mergeCell ref="K16:L16"/>
    <mergeCell ref="M16:N16"/>
    <mergeCell ref="K14:L14"/>
    <mergeCell ref="M14:N14"/>
    <mergeCell ref="C15:D15"/>
    <mergeCell ref="E15:F15"/>
    <mergeCell ref="G15:H15"/>
    <mergeCell ref="I15:J15"/>
    <mergeCell ref="K15:L15"/>
    <mergeCell ref="M15:N15"/>
    <mergeCell ref="K12:L12"/>
    <mergeCell ref="M12:N12"/>
    <mergeCell ref="C13:D13"/>
    <mergeCell ref="E13:F13"/>
    <mergeCell ref="G13:H13"/>
    <mergeCell ref="I13:J13"/>
    <mergeCell ref="K13:L13"/>
    <mergeCell ref="M13:N13"/>
    <mergeCell ref="M10:N10"/>
    <mergeCell ref="C11:D11"/>
    <mergeCell ref="E11:F11"/>
    <mergeCell ref="G11:H11"/>
    <mergeCell ref="I11:J11"/>
    <mergeCell ref="K11:L11"/>
    <mergeCell ref="M11:N11"/>
    <mergeCell ref="C10:D10"/>
    <mergeCell ref="E10:F10"/>
    <mergeCell ref="G10:H10"/>
    <mergeCell ref="I10:J10"/>
    <mergeCell ref="K10:L10"/>
    <mergeCell ref="M8:N8"/>
    <mergeCell ref="C9:D9"/>
    <mergeCell ref="E9:F9"/>
    <mergeCell ref="G9:H9"/>
    <mergeCell ref="I9:J9"/>
    <mergeCell ref="K9:L9"/>
    <mergeCell ref="M9:N9"/>
    <mergeCell ref="K8:L8"/>
    <mergeCell ref="A8:B17"/>
    <mergeCell ref="C8:D8"/>
    <mergeCell ref="E8:F8"/>
    <mergeCell ref="G8:H8"/>
    <mergeCell ref="I8:J8"/>
    <mergeCell ref="C12:D12"/>
    <mergeCell ref="E12:F12"/>
    <mergeCell ref="G12:H12"/>
    <mergeCell ref="I12:J12"/>
    <mergeCell ref="C14:D14"/>
    <mergeCell ref="E14:F14"/>
    <mergeCell ref="G14:H14"/>
    <mergeCell ref="I14:J14"/>
    <mergeCell ref="K7:L7"/>
    <mergeCell ref="M7:N7"/>
    <mergeCell ref="A3:K3"/>
    <mergeCell ref="A6:B7"/>
    <mergeCell ref="C6:F6"/>
    <mergeCell ref="G6:J6"/>
    <mergeCell ref="K6:N6"/>
    <mergeCell ref="C7:D7"/>
    <mergeCell ref="E7:F7"/>
    <mergeCell ref="G7:H7"/>
    <mergeCell ref="I7:J7"/>
  </mergeCells>
  <phoneticPr fontId="216"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L53"/>
  <sheetViews>
    <sheetView topLeftCell="A37" workbookViewId="0">
      <selection activeCell="Q44" sqref="Q44"/>
    </sheetView>
  </sheetViews>
  <sheetFormatPr defaultRowHeight="14.25"/>
  <sheetData>
    <row r="1" spans="1:12">
      <c r="A1" t="str">
        <f>'[7]原始记录 封皮'!A1</f>
        <v>原始记录编号：DC/数表原始-246-2015</v>
      </c>
    </row>
    <row r="3" spans="1:12">
      <c r="A3" s="1749" t="s">
        <v>4228</v>
      </c>
      <c r="B3" s="1749"/>
      <c r="C3" s="1749"/>
      <c r="D3" s="1749"/>
      <c r="E3" s="1749"/>
      <c r="F3" s="1749"/>
      <c r="G3" s="1749"/>
      <c r="H3" s="1749"/>
      <c r="I3" s="1749"/>
      <c r="J3" s="1749"/>
      <c r="K3" s="1749"/>
    </row>
    <row r="4" spans="1:12">
      <c r="A4" t="s">
        <v>4229</v>
      </c>
      <c r="B4" t="s">
        <v>120</v>
      </c>
      <c r="J4" s="1749"/>
      <c r="K4" s="1749"/>
      <c r="L4" s="1749"/>
    </row>
    <row r="5" spans="1:12">
      <c r="A5" s="1749" t="s">
        <v>4230</v>
      </c>
      <c r="B5" s="1749"/>
      <c r="C5" s="1749" t="s">
        <v>4231</v>
      </c>
      <c r="D5" s="1749"/>
      <c r="E5" s="1749"/>
      <c r="F5" s="1749" t="s">
        <v>4232</v>
      </c>
      <c r="G5" s="1749"/>
      <c r="H5" s="1749"/>
      <c r="I5" s="1749" t="s">
        <v>4233</v>
      </c>
      <c r="J5" s="1749"/>
      <c r="K5" s="1749"/>
      <c r="L5" s="1749" t="s">
        <v>4234</v>
      </c>
    </row>
    <row r="6" spans="1:12">
      <c r="A6" s="1749"/>
      <c r="B6" s="1749"/>
      <c r="C6" t="s">
        <v>4235</v>
      </c>
      <c r="D6" t="s">
        <v>4236</v>
      </c>
      <c r="E6" t="s">
        <v>4237</v>
      </c>
      <c r="F6" t="s">
        <v>4238</v>
      </c>
      <c r="G6" t="s">
        <v>4239</v>
      </c>
      <c r="H6" t="s">
        <v>4237</v>
      </c>
      <c r="I6" t="s">
        <v>4238</v>
      </c>
      <c r="J6" t="s">
        <v>4239</v>
      </c>
      <c r="K6" t="s">
        <v>4237</v>
      </c>
      <c r="L6" s="1749"/>
    </row>
    <row r="7" spans="1:12">
      <c r="A7" s="1749">
        <v>57.7</v>
      </c>
      <c r="B7" s="1749"/>
      <c r="C7">
        <v>57.698599999999999</v>
      </c>
      <c r="D7">
        <v>57.704000000000001</v>
      </c>
      <c r="E7">
        <v>57.698999999999998</v>
      </c>
      <c r="F7">
        <v>57.7</v>
      </c>
      <c r="G7">
        <v>57.7</v>
      </c>
      <c r="H7">
        <v>57.7</v>
      </c>
      <c r="I7">
        <f>(C7-F7)/$A$7*100</f>
        <v>-2.4263431542527599E-3</v>
      </c>
      <c r="J7">
        <f t="shared" ref="I7:K9" si="0">(D7-G7)/$A$7*100</f>
        <v>6.932409012127873E-3</v>
      </c>
      <c r="K7">
        <f t="shared" si="0"/>
        <v>-1.7331022530412043E-3</v>
      </c>
      <c r="L7" s="1749">
        <f>2*(0.00002^2+0.00005^2+0.0000029^2)^0.5</f>
        <v>1.0785935286288344E-4</v>
      </c>
    </row>
    <row r="8" spans="1:12">
      <c r="A8" s="1749"/>
      <c r="B8" s="1749"/>
      <c r="C8">
        <v>34.622</v>
      </c>
      <c r="D8">
        <v>34.625</v>
      </c>
      <c r="E8">
        <v>34.619</v>
      </c>
      <c r="F8">
        <v>34.619999999999997</v>
      </c>
      <c r="G8">
        <v>34.619999999999997</v>
      </c>
      <c r="H8">
        <v>34.619999999999997</v>
      </c>
      <c r="I8">
        <f t="shared" si="0"/>
        <v>3.4662045060700939E-3</v>
      </c>
      <c r="J8">
        <f t="shared" si="0"/>
        <v>8.6655112651690784E-3</v>
      </c>
      <c r="K8">
        <f t="shared" si="0"/>
        <v>-1.7331022530288898E-3</v>
      </c>
      <c r="L8" s="1749"/>
    </row>
    <row r="9" spans="1:12">
      <c r="A9" s="1749"/>
      <c r="B9" s="1749"/>
      <c r="C9">
        <v>11.538</v>
      </c>
      <c r="D9">
        <v>11.538</v>
      </c>
      <c r="E9">
        <v>11.541</v>
      </c>
      <c r="F9">
        <v>11.54</v>
      </c>
      <c r="G9">
        <v>11.54</v>
      </c>
      <c r="H9">
        <v>11.54</v>
      </c>
      <c r="I9">
        <f t="shared" si="0"/>
        <v>-3.4662045060639365E-3</v>
      </c>
      <c r="J9">
        <f t="shared" si="0"/>
        <v>-3.4662045060639365E-3</v>
      </c>
      <c r="K9">
        <f t="shared" si="0"/>
        <v>1.7331022530350469E-3</v>
      </c>
      <c r="L9" s="1749"/>
    </row>
    <row r="10" spans="1:12">
      <c r="A10" s="1749">
        <v>100</v>
      </c>
      <c r="B10" s="1749"/>
      <c r="C10">
        <v>99.998999999999995</v>
      </c>
      <c r="D10">
        <v>100</v>
      </c>
      <c r="E10">
        <v>100</v>
      </c>
      <c r="F10">
        <v>100</v>
      </c>
      <c r="G10">
        <v>100</v>
      </c>
      <c r="H10">
        <v>100</v>
      </c>
      <c r="I10">
        <f>(C10-F10)/A10*100</f>
        <v>-1.0000000000047748E-3</v>
      </c>
      <c r="J10">
        <f>(D10-G10)/A10*100</f>
        <v>0</v>
      </c>
      <c r="K10">
        <f>(E10-H10)/A10*100</f>
        <v>0</v>
      </c>
      <c r="L10" s="1749">
        <f>2*(0.00002^2+0.00005^2+0.000029^2)^0.5</f>
        <v>1.2232742946698423E-4</v>
      </c>
    </row>
    <row r="11" spans="1:12">
      <c r="A11" s="1749"/>
      <c r="B11" s="1749"/>
      <c r="C11">
        <v>90</v>
      </c>
      <c r="D11">
        <v>90</v>
      </c>
      <c r="E11">
        <v>90</v>
      </c>
      <c r="F11">
        <v>90</v>
      </c>
      <c r="G11">
        <v>90</v>
      </c>
      <c r="H11">
        <v>90</v>
      </c>
      <c r="I11">
        <f>(C11-F11)/A10*100</f>
        <v>0</v>
      </c>
      <c r="J11">
        <f>(D11-G11)/A10*100</f>
        <v>0</v>
      </c>
      <c r="K11">
        <f>(E11-H11)/A10*100</f>
        <v>0</v>
      </c>
      <c r="L11" s="1749"/>
    </row>
    <row r="12" spans="1:12">
      <c r="A12" s="1749"/>
      <c r="B12" s="1749"/>
      <c r="C12">
        <v>80</v>
      </c>
      <c r="D12">
        <v>80</v>
      </c>
      <c r="E12">
        <v>80</v>
      </c>
      <c r="F12">
        <v>80</v>
      </c>
      <c r="G12">
        <v>80</v>
      </c>
      <c r="H12">
        <v>80</v>
      </c>
      <c r="I12">
        <f>(C12-F12)/A10*100</f>
        <v>0</v>
      </c>
      <c r="J12">
        <f>(D12-G12)/A10*100</f>
        <v>0</v>
      </c>
      <c r="K12">
        <f>(E12-H12)/A10*100</f>
        <v>0</v>
      </c>
      <c r="L12" s="1749"/>
    </row>
    <row r="13" spans="1:12">
      <c r="A13" s="1749"/>
      <c r="B13" s="1749"/>
      <c r="C13">
        <v>70</v>
      </c>
      <c r="D13">
        <v>70</v>
      </c>
      <c r="E13">
        <v>70</v>
      </c>
      <c r="F13">
        <v>70</v>
      </c>
      <c r="G13">
        <v>70</v>
      </c>
      <c r="H13">
        <v>70</v>
      </c>
      <c r="I13">
        <f>(C13-F13)/A10*100</f>
        <v>0</v>
      </c>
      <c r="J13">
        <f>(D13-G13)/A10*100</f>
        <v>0</v>
      </c>
      <c r="K13">
        <f>(E13-H13)/A10*100</f>
        <v>0</v>
      </c>
      <c r="L13" s="1749"/>
    </row>
    <row r="14" spans="1:12">
      <c r="A14" s="1749"/>
      <c r="B14" s="1749"/>
      <c r="C14">
        <v>60</v>
      </c>
      <c r="D14">
        <v>60</v>
      </c>
      <c r="E14">
        <v>60</v>
      </c>
      <c r="F14">
        <v>60</v>
      </c>
      <c r="G14">
        <v>60</v>
      </c>
      <c r="H14">
        <v>60</v>
      </c>
      <c r="I14">
        <f>(C14-F14)/A10*100</f>
        <v>0</v>
      </c>
      <c r="J14">
        <f>(D14-G14)/A10*100</f>
        <v>0</v>
      </c>
      <c r="K14">
        <f>(E14-H14)/A10*100</f>
        <v>0</v>
      </c>
      <c r="L14" s="1749"/>
    </row>
    <row r="15" spans="1:12">
      <c r="A15" s="1749"/>
      <c r="B15" s="1749"/>
      <c r="C15">
        <v>50</v>
      </c>
      <c r="D15">
        <v>50</v>
      </c>
      <c r="E15">
        <v>50</v>
      </c>
      <c r="F15">
        <v>50</v>
      </c>
      <c r="G15">
        <v>50</v>
      </c>
      <c r="H15">
        <v>50</v>
      </c>
      <c r="I15">
        <f>(C15-F15)/A10*100</f>
        <v>0</v>
      </c>
      <c r="J15">
        <f>(D15-G15)/A10*100</f>
        <v>0</v>
      </c>
      <c r="K15">
        <f>(E15-H15)/A10*100</f>
        <v>0</v>
      </c>
      <c r="L15" s="1749"/>
    </row>
    <row r="16" spans="1:12">
      <c r="A16" s="1749"/>
      <c r="B16" s="1749"/>
      <c r="C16">
        <v>39.999000000000002</v>
      </c>
      <c r="D16">
        <v>39.999000000000002</v>
      </c>
      <c r="E16">
        <v>39.999000000000002</v>
      </c>
      <c r="F16">
        <v>40</v>
      </c>
      <c r="G16">
        <v>40</v>
      </c>
      <c r="H16">
        <v>40</v>
      </c>
      <c r="I16">
        <f>(C16-F16)/A10*100</f>
        <v>-9.9999999999766942E-4</v>
      </c>
      <c r="J16">
        <f>(D16-G16)/A10*100</f>
        <v>-9.9999999999766942E-4</v>
      </c>
      <c r="K16">
        <f>(E16-H16)/A10*100</f>
        <v>-9.9999999999766942E-4</v>
      </c>
      <c r="L16" s="1749"/>
    </row>
    <row r="17" spans="1:12">
      <c r="A17" s="1749"/>
      <c r="B17" s="1749"/>
      <c r="C17">
        <v>29.998999999999999</v>
      </c>
      <c r="D17">
        <v>29.998999999999999</v>
      </c>
      <c r="E17">
        <v>29.998999999999999</v>
      </c>
      <c r="F17">
        <v>30</v>
      </c>
      <c r="G17">
        <v>30</v>
      </c>
      <c r="H17">
        <v>30</v>
      </c>
      <c r="I17">
        <f>(C17-F17)/A10*100</f>
        <v>-1.0000000000012221E-3</v>
      </c>
      <c r="J17">
        <f>(D17-G17)/A10*100</f>
        <v>-1.0000000000012221E-3</v>
      </c>
      <c r="K17">
        <f>(E17-H17)/A10*100</f>
        <v>-1.0000000000012221E-3</v>
      </c>
      <c r="L17" s="1749"/>
    </row>
    <row r="18" spans="1:12">
      <c r="A18" s="1749"/>
      <c r="B18" s="1749"/>
      <c r="C18">
        <v>19.998999999999999</v>
      </c>
      <c r="D18">
        <v>19.998999999999999</v>
      </c>
      <c r="E18">
        <v>19.998999999999999</v>
      </c>
      <c r="F18">
        <v>20</v>
      </c>
      <c r="G18">
        <v>20</v>
      </c>
      <c r="H18">
        <v>20</v>
      </c>
      <c r="I18">
        <f>(C18-F18)/A10*100</f>
        <v>-1.0000000000012221E-3</v>
      </c>
      <c r="J18">
        <f>(D18-G18)/A10*100</f>
        <v>-1.0000000000012221E-3</v>
      </c>
      <c r="K18">
        <f>(E18-H18)/A10*100</f>
        <v>-1.0000000000012221E-3</v>
      </c>
      <c r="L18" s="1749"/>
    </row>
    <row r="19" spans="1:12">
      <c r="A19" s="1749"/>
      <c r="B19" s="1749"/>
      <c r="C19">
        <v>9.9978999999999996</v>
      </c>
      <c r="D19">
        <v>9.9979999999999993</v>
      </c>
      <c r="E19">
        <v>9.9992000000000001</v>
      </c>
      <c r="F19">
        <v>10</v>
      </c>
      <c r="G19">
        <v>10</v>
      </c>
      <c r="H19">
        <v>10</v>
      </c>
      <c r="I19">
        <f>(C19-F19)/A10*100</f>
        <v>-2.1000000000004349E-3</v>
      </c>
      <c r="J19">
        <f>(D19-G19)/A10*100</f>
        <v>-2.0000000000006679E-3</v>
      </c>
      <c r="K19">
        <f>(E19-H19)/A10*100</f>
        <v>-7.9999999999991189E-4</v>
      </c>
      <c r="L19" s="1749"/>
    </row>
    <row r="20" spans="1:12">
      <c r="A20" s="1749">
        <v>220</v>
      </c>
      <c r="B20" s="1749"/>
      <c r="I20">
        <f t="shared" ref="I20:K23" si="1">(C20-F20)/$A$20*100</f>
        <v>0</v>
      </c>
      <c r="J20">
        <f t="shared" si="1"/>
        <v>0</v>
      </c>
      <c r="K20">
        <f t="shared" si="1"/>
        <v>0</v>
      </c>
    </row>
    <row r="21" spans="1:12">
      <c r="A21" s="1749"/>
      <c r="B21" s="1749"/>
      <c r="I21">
        <f t="shared" si="1"/>
        <v>0</v>
      </c>
      <c r="J21">
        <f t="shared" si="1"/>
        <v>0</v>
      </c>
      <c r="K21">
        <f t="shared" si="1"/>
        <v>0</v>
      </c>
    </row>
    <row r="22" spans="1:12">
      <c r="A22" s="1749"/>
      <c r="B22" s="1749"/>
      <c r="I22">
        <f t="shared" si="1"/>
        <v>0</v>
      </c>
      <c r="J22">
        <f t="shared" si="1"/>
        <v>0</v>
      </c>
      <c r="K22">
        <f t="shared" si="1"/>
        <v>0</v>
      </c>
    </row>
    <row r="23" spans="1:12">
      <c r="A23" s="1749"/>
      <c r="B23" s="1749"/>
      <c r="I23">
        <f t="shared" si="1"/>
        <v>0</v>
      </c>
      <c r="J23">
        <f t="shared" si="1"/>
        <v>0</v>
      </c>
      <c r="K23">
        <f t="shared" si="1"/>
        <v>0</v>
      </c>
    </row>
    <row r="24" spans="1:12">
      <c r="A24" s="1749"/>
      <c r="B24" s="1749"/>
      <c r="I24">
        <f>(C24-F24)/A20*100</f>
        <v>0</v>
      </c>
      <c r="J24">
        <f>(D24-G24)/A20*100</f>
        <v>0</v>
      </c>
      <c r="K24">
        <f>(E24-H24)/A20*100</f>
        <v>0</v>
      </c>
    </row>
    <row r="25" spans="1:12">
      <c r="A25" s="1749">
        <v>220</v>
      </c>
      <c r="B25" s="1749"/>
      <c r="C25">
        <v>220.00200000000001</v>
      </c>
      <c r="D25">
        <v>220.006</v>
      </c>
      <c r="E25">
        <v>220.00299999999999</v>
      </c>
      <c r="F25">
        <v>220</v>
      </c>
      <c r="G25">
        <v>220</v>
      </c>
      <c r="H25">
        <v>220</v>
      </c>
      <c r="I25">
        <f>(C25-F25)/A25*100</f>
        <v>9.090909090952498E-4</v>
      </c>
      <c r="J25">
        <f>(D25-G25)/A25*100</f>
        <v>2.7272727272728307E-3</v>
      </c>
      <c r="K25">
        <f>(E25-H25)/A25*100</f>
        <v>1.3636363636299559E-3</v>
      </c>
      <c r="L25" s="1749">
        <f>2*(0.00002^2+0.00005^2+0.000029^2)^0.5</f>
        <v>1.2232742946698423E-4</v>
      </c>
    </row>
    <row r="26" spans="1:12">
      <c r="A26" s="1749"/>
      <c r="B26" s="1749"/>
      <c r="C26">
        <v>132.00200000000001</v>
      </c>
      <c r="D26">
        <v>132.005</v>
      </c>
      <c r="E26">
        <v>132.00200000000001</v>
      </c>
      <c r="F26">
        <v>132</v>
      </c>
      <c r="G26">
        <v>132</v>
      </c>
      <c r="H26">
        <v>132</v>
      </c>
      <c r="I26">
        <f>(C26-F26)/A25*100</f>
        <v>9.090909090952498E-4</v>
      </c>
      <c r="J26">
        <f>(D26-G26)/A25*100</f>
        <v>2.2727272727252057E-3</v>
      </c>
      <c r="K26">
        <f>(E26-H26)/A25*100</f>
        <v>9.090909090952498E-4</v>
      </c>
      <c r="L26" s="1749"/>
    </row>
    <row r="27" spans="1:12">
      <c r="A27" s="1749"/>
      <c r="B27" s="1749"/>
      <c r="C27">
        <v>22</v>
      </c>
      <c r="D27">
        <v>22</v>
      </c>
      <c r="E27">
        <v>22.001000000000001</v>
      </c>
      <c r="F27">
        <v>22</v>
      </c>
      <c r="G27">
        <v>22</v>
      </c>
      <c r="H27">
        <v>22</v>
      </c>
      <c r="I27">
        <f>(C27-F27)/A25*100</f>
        <v>0</v>
      </c>
      <c r="J27">
        <f>(D27-G27)/A25*100</f>
        <v>0</v>
      </c>
      <c r="K27">
        <f>(E27-H27)/A25*100</f>
        <v>4.5454545454601004E-4</v>
      </c>
      <c r="L27" s="1749"/>
    </row>
    <row r="28" spans="1:12">
      <c r="A28" s="1749">
        <v>380</v>
      </c>
      <c r="B28" s="1749"/>
      <c r="C28">
        <v>380.01400000000001</v>
      </c>
      <c r="D28">
        <v>379.95100000000002</v>
      </c>
      <c r="E28">
        <v>379.87599999999998</v>
      </c>
      <c r="F28">
        <v>380.09500000000003</v>
      </c>
      <c r="G28">
        <v>380.06200000000001</v>
      </c>
      <c r="H28">
        <v>380.04500000000002</v>
      </c>
      <c r="I28">
        <f>(C28-F28)/A28*100</f>
        <v>-2.131578947368876E-2</v>
      </c>
      <c r="J28">
        <f>(D28-G28)/A28*100</f>
        <v>-2.9210526315786842E-2</v>
      </c>
      <c r="K28">
        <f>(E28-H28)/A28*100</f>
        <v>-4.4473684210536726E-2</v>
      </c>
    </row>
    <row r="29" spans="1:12">
      <c r="A29" s="1749"/>
      <c r="B29" s="1749"/>
      <c r="C29">
        <v>227.98699999999999</v>
      </c>
      <c r="D29">
        <v>227.95400000000001</v>
      </c>
      <c r="E29">
        <v>227.941</v>
      </c>
      <c r="F29">
        <v>228.04</v>
      </c>
      <c r="G29">
        <v>228.01599999999999</v>
      </c>
      <c r="H29">
        <v>228.04</v>
      </c>
      <c r="I29">
        <f>(C29-F29)/A28*100</f>
        <v>-1.3947368421051914E-2</v>
      </c>
      <c r="J29">
        <f>(D29-G29)/A28*100</f>
        <v>-1.6315789473679843E-2</v>
      </c>
      <c r="K29">
        <f>(E29-H29)/A28*100</f>
        <v>-2.6052631578944614E-2</v>
      </c>
    </row>
    <row r="30" spans="1:12">
      <c r="A30" s="1749"/>
      <c r="B30" s="1749"/>
      <c r="C30">
        <v>37.998800000000003</v>
      </c>
      <c r="D30">
        <v>38.004399999999997</v>
      </c>
      <c r="E30">
        <v>37.997</v>
      </c>
      <c r="F30">
        <v>38.0122</v>
      </c>
      <c r="G30">
        <v>38.014099999999999</v>
      </c>
      <c r="H30">
        <v>38.008600000000001</v>
      </c>
      <c r="I30">
        <f>(C30-F30)/A28*100</f>
        <v>-3.5263157894729453E-3</v>
      </c>
      <c r="J30">
        <f>(D30-G30)/A28*100</f>
        <v>-2.5526315789479639E-3</v>
      </c>
      <c r="K30">
        <f>(E30-H30)/A28*100</f>
        <v>-3.0526315789477336E-3</v>
      </c>
    </row>
    <row r="31" spans="1:12">
      <c r="A31" s="1749">
        <v>600</v>
      </c>
      <c r="B31" s="1749"/>
      <c r="I31">
        <f t="shared" ref="I31:K33" si="2">(C31-F31)/$A$31*100</f>
        <v>0</v>
      </c>
      <c r="J31">
        <f t="shared" si="2"/>
        <v>0</v>
      </c>
      <c r="K31">
        <f t="shared" si="2"/>
        <v>0</v>
      </c>
    </row>
    <row r="32" spans="1:12">
      <c r="A32" s="1749"/>
      <c r="B32" s="1749"/>
      <c r="I32">
        <f t="shared" si="2"/>
        <v>0</v>
      </c>
      <c r="J32">
        <f t="shared" si="2"/>
        <v>0</v>
      </c>
      <c r="K32">
        <f t="shared" si="2"/>
        <v>0</v>
      </c>
    </row>
    <row r="33" spans="1:12">
      <c r="A33" s="1749"/>
      <c r="B33" s="1749"/>
      <c r="I33">
        <f t="shared" si="2"/>
        <v>0</v>
      </c>
      <c r="J33">
        <f t="shared" si="2"/>
        <v>0</v>
      </c>
      <c r="K33">
        <f t="shared" si="2"/>
        <v>0</v>
      </c>
    </row>
    <row r="34" spans="1:12">
      <c r="A34" s="1749"/>
      <c r="B34" s="1749"/>
      <c r="D34">
        <f>C34</f>
        <v>0</v>
      </c>
      <c r="I34" t="e">
        <f>(C34-F34)/A34*100</f>
        <v>#DIV/0!</v>
      </c>
      <c r="J34" t="e">
        <f>(D34-G34)/A34*100</f>
        <v>#DIV/0!</v>
      </c>
      <c r="K34" t="e">
        <f>(E34-H34)/A34*100</f>
        <v>#DIV/0!</v>
      </c>
    </row>
    <row r="35" spans="1:12">
      <c r="A35" s="1749"/>
      <c r="B35" s="1749"/>
      <c r="D35">
        <f>C35</f>
        <v>0</v>
      </c>
      <c r="I35" t="e">
        <f>(C35-F35)/A35*100</f>
        <v>#DIV/0!</v>
      </c>
      <c r="J35" t="e">
        <f>(D35-G35)/A35*100</f>
        <v>#DIV/0!</v>
      </c>
      <c r="K35" t="e">
        <f>(E35-H35)/A35*100</f>
        <v>#DIV/0!</v>
      </c>
    </row>
    <row r="36" spans="1:12">
      <c r="A36" s="1749"/>
      <c r="B36" s="1749"/>
      <c r="D36">
        <f>C36</f>
        <v>0</v>
      </c>
      <c r="I36" t="e">
        <f>(C36-F36)/A36*100</f>
        <v>#DIV/0!</v>
      </c>
      <c r="J36" t="e">
        <f>(D36-G36)/A36*100</f>
        <v>#DIV/0!</v>
      </c>
      <c r="K36" t="e">
        <f>(E36-H36)/A36*100</f>
        <v>#DIV/0!</v>
      </c>
    </row>
    <row r="37" spans="1:12">
      <c r="A37" s="1749" t="s">
        <v>4240</v>
      </c>
      <c r="B37" s="1749"/>
      <c r="C37" s="1749"/>
      <c r="D37" s="1749"/>
      <c r="E37" s="1749"/>
      <c r="F37" s="1749"/>
      <c r="G37" s="1749"/>
      <c r="H37" s="1749"/>
      <c r="I37" s="1749"/>
      <c r="J37" s="1749"/>
      <c r="K37" s="1749"/>
      <c r="L37" s="1749"/>
    </row>
    <row r="38" spans="1:12">
      <c r="A38" t="s">
        <v>4241</v>
      </c>
      <c r="B38" t="s">
        <v>4242</v>
      </c>
      <c r="I38" s="1749"/>
      <c r="J38" s="1749"/>
      <c r="K38" s="1749"/>
      <c r="L38" t="s">
        <v>4243</v>
      </c>
    </row>
    <row r="39" spans="1:12">
      <c r="A39" t="s">
        <v>4267</v>
      </c>
    </row>
    <row r="40" spans="1:12" ht="19.5" customHeight="1">
      <c r="A40" s="2445" t="s">
        <v>4148</v>
      </c>
      <c r="B40" s="2446"/>
      <c r="C40" s="2449" t="s">
        <v>4258</v>
      </c>
      <c r="D40" s="2449"/>
      <c r="E40" s="2449"/>
      <c r="F40" s="2449" t="s">
        <v>4259</v>
      </c>
      <c r="G40" s="2449"/>
      <c r="H40" s="2449"/>
      <c r="I40" s="2449" t="s">
        <v>4138</v>
      </c>
      <c r="J40" s="2449"/>
      <c r="K40" s="2449"/>
      <c r="L40" s="1749" t="s">
        <v>4260</v>
      </c>
    </row>
    <row r="41" spans="1:12" ht="19.5" customHeight="1">
      <c r="A41" s="2447"/>
      <c r="B41" s="2448"/>
      <c r="C41" t="s">
        <v>4261</v>
      </c>
      <c r="D41" t="s">
        <v>4262</v>
      </c>
      <c r="E41" t="s">
        <v>4263</v>
      </c>
      <c r="F41" t="s">
        <v>4261</v>
      </c>
      <c r="G41" t="s">
        <v>4262</v>
      </c>
      <c r="H41" t="s">
        <v>4264</v>
      </c>
      <c r="I41" s="177" t="s">
        <v>4173</v>
      </c>
      <c r="J41" s="177" t="s">
        <v>4265</v>
      </c>
      <c r="K41" s="177" t="s">
        <v>4266</v>
      </c>
      <c r="L41" s="1749"/>
    </row>
    <row r="42" spans="1:12" ht="19.5" hidden="1" customHeight="1">
      <c r="A42" s="2441">
        <v>50</v>
      </c>
      <c r="B42" s="2442"/>
      <c r="C42">
        <v>1099.73</v>
      </c>
      <c r="D42">
        <v>1099.8030000000001</v>
      </c>
      <c r="E42">
        <v>1099.7339999999999</v>
      </c>
      <c r="F42">
        <v>1100</v>
      </c>
      <c r="G42">
        <v>1100</v>
      </c>
      <c r="H42">
        <v>1100</v>
      </c>
      <c r="I42" s="181">
        <f>(C42-F42)/F42*100</f>
        <v>-2.4545454545452892E-2</v>
      </c>
      <c r="J42" s="181">
        <f>(D42-G42)/G42*100</f>
        <v>-1.790909090908082E-2</v>
      </c>
      <c r="K42" s="181">
        <f>(E42-H42)/H42*100</f>
        <v>-2.4181818181825129E-2</v>
      </c>
    </row>
    <row r="43" spans="1:12" ht="19.5" customHeight="1">
      <c r="A43" s="2443"/>
      <c r="B43" s="2444"/>
      <c r="C43">
        <v>48.704000000000001</v>
      </c>
      <c r="D43">
        <v>49.006</v>
      </c>
      <c r="E43">
        <v>48.603000000000002</v>
      </c>
      <c r="F43">
        <v>50</v>
      </c>
      <c r="G43">
        <v>50</v>
      </c>
      <c r="H43">
        <v>50</v>
      </c>
      <c r="I43">
        <f t="shared" ref="I43:K52" si="3">(C43-F43)/F43*100</f>
        <v>-2.5919999999999987</v>
      </c>
      <c r="J43">
        <f t="shared" si="3"/>
        <v>-1.9879999999999995</v>
      </c>
      <c r="K43" s="181">
        <f t="shared" si="3"/>
        <v>-2.7939999999999969</v>
      </c>
      <c r="L43" s="1749">
        <f>2*(0.00002^2+0.00005^2+0.000029^2)^0.5</f>
        <v>1.2232742946698423E-4</v>
      </c>
    </row>
    <row r="44" spans="1:12" ht="19.5" customHeight="1">
      <c r="A44" s="2443"/>
      <c r="B44" s="2444"/>
      <c r="C44">
        <v>43.832999999999998</v>
      </c>
      <c r="D44">
        <v>44.109000000000002</v>
      </c>
      <c r="E44">
        <v>43.777999999999999</v>
      </c>
      <c r="F44">
        <v>45</v>
      </c>
      <c r="G44">
        <v>45</v>
      </c>
      <c r="H44">
        <v>45</v>
      </c>
      <c r="I44">
        <f t="shared" si="3"/>
        <v>-2.5933333333333368</v>
      </c>
      <c r="J44">
        <f t="shared" si="3"/>
        <v>-1.979999999999996</v>
      </c>
      <c r="K44" s="181">
        <f t="shared" si="3"/>
        <v>-2.7155555555555586</v>
      </c>
      <c r="L44" s="1749"/>
    </row>
    <row r="45" spans="1:12" ht="19.5" customHeight="1">
      <c r="A45" s="2443"/>
      <c r="B45" s="2444"/>
      <c r="C45">
        <v>38.963000000000001</v>
      </c>
      <c r="D45">
        <v>39.213000000000001</v>
      </c>
      <c r="E45">
        <v>38.914000000000001</v>
      </c>
      <c r="F45">
        <v>40</v>
      </c>
      <c r="G45">
        <v>40</v>
      </c>
      <c r="H45">
        <v>40</v>
      </c>
      <c r="I45">
        <f t="shared" si="3"/>
        <v>-2.5924999999999976</v>
      </c>
      <c r="J45">
        <f t="shared" si="3"/>
        <v>-1.9674999999999978</v>
      </c>
      <c r="K45" s="181">
        <f t="shared" si="3"/>
        <v>-2.7149999999999963</v>
      </c>
      <c r="L45" s="1749"/>
    </row>
    <row r="46" spans="1:12" ht="19.5" customHeight="1">
      <c r="A46" s="2443"/>
      <c r="B46" s="2444"/>
      <c r="C46">
        <v>34.087000000000003</v>
      </c>
      <c r="D46">
        <v>34.313000000000002</v>
      </c>
      <c r="E46">
        <v>34.045999999999999</v>
      </c>
      <c r="F46">
        <v>35</v>
      </c>
      <c r="G46">
        <v>35</v>
      </c>
      <c r="H46">
        <v>35</v>
      </c>
      <c r="I46">
        <f t="shared" si="3"/>
        <v>-2.6085714285714192</v>
      </c>
      <c r="J46">
        <f t="shared" si="3"/>
        <v>-1.962857142857136</v>
      </c>
      <c r="K46" s="181">
        <f t="shared" si="3"/>
        <v>-2.7257142857142878</v>
      </c>
      <c r="L46" s="1749"/>
    </row>
    <row r="47" spans="1:12" ht="19.5" customHeight="1">
      <c r="A47" s="2443"/>
      <c r="B47" s="2444"/>
      <c r="C47">
        <v>29.219000000000001</v>
      </c>
      <c r="D47">
        <v>29.411000000000001</v>
      </c>
      <c r="E47">
        <v>29.183</v>
      </c>
      <c r="F47">
        <v>30</v>
      </c>
      <c r="G47">
        <v>30</v>
      </c>
      <c r="H47">
        <v>30</v>
      </c>
      <c r="I47">
        <f t="shared" si="3"/>
        <v>-2.6033333333333295</v>
      </c>
      <c r="J47">
        <f t="shared" si="3"/>
        <v>-1.9633333333333287</v>
      </c>
      <c r="K47" s="181">
        <f t="shared" si="3"/>
        <v>-2.723333333333334</v>
      </c>
      <c r="L47" s="1749"/>
    </row>
    <row r="48" spans="1:12" ht="19.5" customHeight="1">
      <c r="A48" s="2443"/>
      <c r="B48" s="2444"/>
      <c r="C48">
        <v>24.346</v>
      </c>
      <c r="D48">
        <v>24.510999999999999</v>
      </c>
      <c r="E48">
        <v>24.318999999999999</v>
      </c>
      <c r="F48">
        <v>25</v>
      </c>
      <c r="G48">
        <v>25</v>
      </c>
      <c r="H48">
        <v>25</v>
      </c>
      <c r="I48">
        <f t="shared" si="3"/>
        <v>-2.6159999999999997</v>
      </c>
      <c r="J48">
        <f t="shared" si="3"/>
        <v>-1.9560000000000033</v>
      </c>
      <c r="K48" s="181">
        <f t="shared" si="3"/>
        <v>-2.7240000000000038</v>
      </c>
      <c r="L48" s="1749"/>
    </row>
    <row r="49" spans="1:12" ht="19.5" customHeight="1">
      <c r="A49" s="2443"/>
      <c r="B49" s="2444"/>
      <c r="C49">
        <v>19.472999999999999</v>
      </c>
      <c r="D49">
        <v>19.609000000000002</v>
      </c>
      <c r="E49">
        <v>19.454999999999998</v>
      </c>
      <c r="F49">
        <v>20</v>
      </c>
      <c r="G49">
        <v>20</v>
      </c>
      <c r="H49">
        <v>20</v>
      </c>
      <c r="I49">
        <f t="shared" si="3"/>
        <v>-2.6350000000000051</v>
      </c>
      <c r="J49">
        <f t="shared" si="3"/>
        <v>-1.9549999999999912</v>
      </c>
      <c r="K49" s="181">
        <f t="shared" si="3"/>
        <v>-2.7250000000000085</v>
      </c>
      <c r="L49" s="1749"/>
    </row>
    <row r="50" spans="1:12" ht="19.5" customHeight="1">
      <c r="A50" s="2443"/>
      <c r="B50" s="2444"/>
      <c r="C50">
        <v>14.599</v>
      </c>
      <c r="D50">
        <v>14.707000000000001</v>
      </c>
      <c r="E50">
        <v>14.587999999999999</v>
      </c>
      <c r="F50">
        <v>15</v>
      </c>
      <c r="G50">
        <v>15</v>
      </c>
      <c r="H50">
        <v>15</v>
      </c>
      <c r="I50">
        <f t="shared" si="3"/>
        <v>-2.673333333333332</v>
      </c>
      <c r="J50">
        <f t="shared" si="3"/>
        <v>-1.9533333333333285</v>
      </c>
      <c r="K50" s="181">
        <f t="shared" si="3"/>
        <v>-2.7466666666666719</v>
      </c>
      <c r="L50" s="1749"/>
    </row>
    <row r="51" spans="1:12" ht="19.5" customHeight="1">
      <c r="A51" s="2443"/>
      <c r="B51" s="2444"/>
      <c r="C51">
        <v>9.7279999999999998</v>
      </c>
      <c r="D51">
        <v>9.8089999999999993</v>
      </c>
      <c r="E51">
        <v>9.7240000000000002</v>
      </c>
      <c r="F51">
        <v>10</v>
      </c>
      <c r="G51">
        <v>10</v>
      </c>
      <c r="H51">
        <v>10</v>
      </c>
      <c r="I51">
        <f t="shared" si="3"/>
        <v>-2.7200000000000024</v>
      </c>
      <c r="J51">
        <f t="shared" si="3"/>
        <v>-1.9100000000000072</v>
      </c>
      <c r="K51" s="181">
        <f t="shared" si="3"/>
        <v>-2.759999999999998</v>
      </c>
      <c r="L51" s="1749"/>
    </row>
    <row r="52" spans="1:12" ht="19.5" customHeight="1">
      <c r="A52" s="2443"/>
      <c r="B52" s="2444"/>
      <c r="C52">
        <v>4.8570000000000002</v>
      </c>
      <c r="D52">
        <v>4.907</v>
      </c>
      <c r="E52">
        <v>4.859</v>
      </c>
      <c r="F52">
        <v>5</v>
      </c>
      <c r="G52">
        <v>5</v>
      </c>
      <c r="H52">
        <v>5</v>
      </c>
      <c r="I52">
        <f t="shared" si="3"/>
        <v>-2.8599999999999959</v>
      </c>
      <c r="J52">
        <f t="shared" si="3"/>
        <v>-1.8599999999999994</v>
      </c>
      <c r="K52" s="181">
        <f t="shared" si="3"/>
        <v>-2.8200000000000003</v>
      </c>
      <c r="L52" s="1749"/>
    </row>
    <row r="53" spans="1:12" ht="19.5" customHeight="1">
      <c r="A53" t="s">
        <v>4240</v>
      </c>
      <c r="B53" s="409"/>
      <c r="C53" s="409"/>
      <c r="D53" s="409"/>
      <c r="E53" s="409"/>
      <c r="F53" s="409"/>
      <c r="G53" s="409"/>
      <c r="H53" s="409"/>
      <c r="I53" s="409"/>
      <c r="J53" s="409"/>
      <c r="K53" s="579"/>
    </row>
  </sheetData>
  <mergeCells count="26">
    <mergeCell ref="A40:B41"/>
    <mergeCell ref="C40:E40"/>
    <mergeCell ref="F40:H40"/>
    <mergeCell ref="I40:K40"/>
    <mergeCell ref="L40:L41"/>
    <mergeCell ref="A37:L37"/>
    <mergeCell ref="A25:B27"/>
    <mergeCell ref="A28:B30"/>
    <mergeCell ref="A31:B33"/>
    <mergeCell ref="I38:K38"/>
    <mergeCell ref="A42:B52"/>
    <mergeCell ref="L43:L52"/>
    <mergeCell ref="A3:K3"/>
    <mergeCell ref="J4:L4"/>
    <mergeCell ref="A5:B6"/>
    <mergeCell ref="C5:E5"/>
    <mergeCell ref="F5:H5"/>
    <mergeCell ref="I5:K5"/>
    <mergeCell ref="L5:L6"/>
    <mergeCell ref="A10:B19"/>
    <mergeCell ref="L10:L19"/>
    <mergeCell ref="A20:B24"/>
    <mergeCell ref="L25:L27"/>
    <mergeCell ref="A34:B36"/>
    <mergeCell ref="A7:B9"/>
    <mergeCell ref="L7:L9"/>
  </mergeCells>
  <phoneticPr fontId="216" type="noConversion"/>
  <conditionalFormatting sqref="I7:K36">
    <cfRule type="cellIs" dxfId="126" priority="2" stopIfTrue="1" operator="greaterThan">
      <formula>0.05</formula>
    </cfRule>
    <cfRule type="cellIs" dxfId="125" priority="3" stopIfTrue="1" operator="lessThan">
      <formula>-0.05</formula>
    </cfRule>
  </conditionalFormatting>
  <conditionalFormatting sqref="I42:K42">
    <cfRule type="cellIs" dxfId="124" priority="1" stopIfTrue="1" operator="notBetween">
      <formula>-0.5</formula>
      <formula>0.5</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T22"/>
  <sheetViews>
    <sheetView workbookViewId="0">
      <selection sqref="A1:C2"/>
    </sheetView>
  </sheetViews>
  <sheetFormatPr defaultRowHeight="14.25"/>
  <sheetData>
    <row r="1" spans="1:20">
      <c r="A1" t="s">
        <v>3889</v>
      </c>
    </row>
    <row r="2" spans="1:20" ht="15.75">
      <c r="A2" s="1605" t="s">
        <v>3920</v>
      </c>
      <c r="B2" s="1605"/>
      <c r="C2" s="1605"/>
      <c r="D2" s="1605"/>
      <c r="E2" s="1605"/>
      <c r="F2" s="1605"/>
      <c r="G2" s="1605"/>
      <c r="H2" s="1605"/>
      <c r="I2" s="1605"/>
      <c r="J2" s="1605"/>
      <c r="K2" s="1605"/>
      <c r="L2" s="1605"/>
      <c r="M2" s="1605"/>
      <c r="N2" s="1605"/>
      <c r="O2" s="1605"/>
      <c r="P2" s="1606"/>
      <c r="Q2" s="1605"/>
      <c r="R2" s="1605"/>
      <c r="S2" s="1605"/>
      <c r="T2" s="1605"/>
    </row>
    <row r="3" spans="1:20" ht="15.75">
      <c r="A3" s="2455" t="s">
        <v>3921</v>
      </c>
      <c r="B3" s="2455"/>
      <c r="C3" s="2455"/>
      <c r="D3" s="347" t="s">
        <v>3922</v>
      </c>
      <c r="E3" s="2455" t="s">
        <v>3923</v>
      </c>
      <c r="F3" s="2455"/>
      <c r="G3" s="2455"/>
      <c r="H3" s="2455"/>
      <c r="I3" s="2455" t="s">
        <v>3924</v>
      </c>
      <c r="J3" s="2455"/>
      <c r="K3" s="2455" t="s">
        <v>3925</v>
      </c>
      <c r="L3" s="2455"/>
      <c r="M3" s="2455"/>
      <c r="N3" s="1605"/>
      <c r="O3" s="1605"/>
      <c r="P3" s="1606"/>
      <c r="Q3" s="1605"/>
      <c r="R3" s="1605"/>
      <c r="S3" s="1605"/>
      <c r="T3" s="1605"/>
    </row>
    <row r="4" spans="1:20" ht="15.75">
      <c r="A4" s="2451">
        <v>0.99447300000000005</v>
      </c>
      <c r="B4" s="2451"/>
      <c r="C4" s="2451"/>
      <c r="D4" s="349">
        <v>0.99545300000000003</v>
      </c>
      <c r="E4" s="2451">
        <v>0.99447300000000005</v>
      </c>
      <c r="F4" s="2451"/>
      <c r="G4" s="2451"/>
      <c r="H4" s="2451"/>
      <c r="I4" s="2451">
        <v>0.99545300000000003</v>
      </c>
      <c r="J4" s="2451"/>
      <c r="K4" s="2451">
        <v>0.99447300000000005</v>
      </c>
      <c r="L4" s="2451"/>
      <c r="M4" s="2451"/>
      <c r="N4" s="1605"/>
      <c r="O4" s="1605"/>
      <c r="P4" s="1606"/>
      <c r="Q4" s="1605"/>
      <c r="R4" s="1605"/>
      <c r="S4" s="1605"/>
      <c r="T4" s="1605"/>
    </row>
    <row r="5" spans="1:20" ht="15.75">
      <c r="A5" s="2451">
        <v>0.99545300000000003</v>
      </c>
      <c r="B5" s="2451"/>
      <c r="C5" s="2451"/>
      <c r="D5" s="349">
        <v>0.99447300000000005</v>
      </c>
      <c r="E5" s="2451">
        <v>0.99545300000000003</v>
      </c>
      <c r="F5" s="2451"/>
      <c r="G5" s="2451"/>
      <c r="H5" s="2451"/>
      <c r="I5" s="2451">
        <v>0.99447300000000005</v>
      </c>
      <c r="J5" s="2451"/>
      <c r="K5" s="2451">
        <v>0.99545300000000003</v>
      </c>
      <c r="L5" s="2451"/>
      <c r="M5" s="2451"/>
      <c r="N5" s="1605"/>
      <c r="O5" s="1605"/>
      <c r="P5" s="1606"/>
      <c r="Q5" s="1605"/>
      <c r="R5" s="1605"/>
      <c r="S5" s="1605"/>
      <c r="T5" s="1605"/>
    </row>
    <row r="6" spans="1:20" ht="18.75">
      <c r="A6" s="2452" t="s">
        <v>3926</v>
      </c>
      <c r="B6" s="2453"/>
      <c r="C6" s="2454"/>
      <c r="D6" s="1814"/>
      <c r="E6" s="1713"/>
      <c r="F6" s="1713"/>
      <c r="G6" s="1713"/>
      <c r="H6" s="1713"/>
      <c r="I6" s="1713"/>
      <c r="J6" s="1713"/>
      <c r="K6" s="1713"/>
      <c r="L6" s="1713"/>
      <c r="M6" s="1714"/>
      <c r="N6" s="1605"/>
      <c r="O6" s="1605"/>
      <c r="P6" s="1606"/>
      <c r="Q6" s="1605"/>
      <c r="R6" s="1605"/>
      <c r="S6" s="1605"/>
      <c r="T6" s="1605"/>
    </row>
    <row r="7" spans="1:20" ht="15.75">
      <c r="A7" s="1605"/>
      <c r="B7" s="1605"/>
      <c r="C7" s="1605"/>
      <c r="D7" s="1605"/>
      <c r="E7" s="1605"/>
      <c r="F7" s="1605"/>
      <c r="G7" s="1605"/>
      <c r="H7" s="1605"/>
      <c r="I7" s="1605"/>
      <c r="J7" s="1605"/>
      <c r="K7" s="1605"/>
      <c r="L7" s="1605"/>
      <c r="M7" s="1605"/>
      <c r="N7" s="1605"/>
      <c r="O7" s="1605"/>
      <c r="P7" s="1606"/>
      <c r="Q7" s="1605"/>
      <c r="R7" s="1605"/>
      <c r="S7" s="1605"/>
      <c r="T7" s="1605"/>
    </row>
    <row r="8" spans="1:20" ht="15.75">
      <c r="A8" s="1605"/>
      <c r="B8" s="1605"/>
      <c r="C8" s="1605"/>
      <c r="D8" s="1605"/>
      <c r="E8" s="1605"/>
      <c r="F8" s="1605"/>
      <c r="G8" s="1605"/>
      <c r="H8" s="1605"/>
      <c r="I8" s="1605"/>
      <c r="J8" s="1605"/>
      <c r="K8" s="1605"/>
      <c r="L8" s="1605"/>
      <c r="M8" s="1605"/>
      <c r="N8" s="1605"/>
      <c r="O8" s="1605"/>
      <c r="P8" s="1606"/>
      <c r="Q8" s="1605"/>
      <c r="R8" s="1605"/>
      <c r="S8" s="1605"/>
      <c r="T8" s="1605"/>
    </row>
    <row r="9" spans="1:20" ht="15.75">
      <c r="A9" s="1605" t="s">
        <v>3927</v>
      </c>
      <c r="B9" s="1605"/>
      <c r="C9" s="1605"/>
      <c r="D9" s="1605"/>
      <c r="E9" s="1605"/>
      <c r="F9" s="1605"/>
      <c r="G9" s="1605"/>
      <c r="H9" s="1605"/>
      <c r="I9" s="1605"/>
      <c r="J9" s="1605"/>
      <c r="K9" s="1605"/>
      <c r="L9" s="1605"/>
      <c r="M9" s="1605"/>
      <c r="N9" s="1605"/>
      <c r="O9" s="1605"/>
      <c r="P9" s="1606"/>
      <c r="Q9" s="1605"/>
      <c r="R9" s="1605"/>
      <c r="S9" s="1605"/>
      <c r="T9" s="1605"/>
    </row>
    <row r="10" spans="1:20" ht="15.75">
      <c r="A10" s="2450" t="s">
        <v>3928</v>
      </c>
      <c r="B10" s="2450"/>
      <c r="C10" s="2450"/>
      <c r="D10" s="2450"/>
      <c r="E10" s="2450"/>
      <c r="F10" s="2450"/>
      <c r="G10" s="2450"/>
      <c r="H10" s="2450"/>
      <c r="I10" s="2450"/>
      <c r="J10" s="2450" t="s">
        <v>3929</v>
      </c>
      <c r="K10" s="2450"/>
      <c r="L10" s="2450" t="s">
        <v>3930</v>
      </c>
      <c r="M10" s="2450"/>
      <c r="N10" s="2450"/>
      <c r="O10" s="1749" t="s">
        <v>3871</v>
      </c>
      <c r="P10" s="2450"/>
      <c r="Q10" s="1749" t="s">
        <v>3931</v>
      </c>
      <c r="R10" s="2450"/>
      <c r="S10" s="2450"/>
      <c r="T10" s="2450"/>
    </row>
    <row r="11" spans="1:20" ht="18.75">
      <c r="A11" s="1749" t="s">
        <v>3932</v>
      </c>
      <c r="B11" s="1749"/>
      <c r="C11" s="1749"/>
      <c r="D11" s="1749"/>
      <c r="E11" s="1749"/>
      <c r="F11" s="1749"/>
      <c r="G11" s="1749"/>
      <c r="H11" s="1749"/>
      <c r="I11" s="1749"/>
      <c r="J11" s="1749">
        <v>4.0000000000000003E-5</v>
      </c>
      <c r="K11" s="1749"/>
      <c r="L11" s="2450" t="s">
        <v>3875</v>
      </c>
      <c r="M11" s="2450"/>
      <c r="N11" s="2450"/>
      <c r="O11" s="2450">
        <v>2</v>
      </c>
      <c r="P11" s="2450"/>
      <c r="Q11" s="1749">
        <f>J11/O11</f>
        <v>2.0000000000000002E-5</v>
      </c>
      <c r="R11" s="1749"/>
      <c r="S11" s="1749"/>
      <c r="T11" s="1749"/>
    </row>
    <row r="12" spans="1:20" ht="18.75">
      <c r="A12" s="2450" t="s">
        <v>3874</v>
      </c>
      <c r="B12" s="2450"/>
      <c r="C12" s="2450"/>
      <c r="D12" s="2450"/>
      <c r="E12" s="2450"/>
      <c r="F12" s="2450"/>
      <c r="G12" s="2450"/>
      <c r="H12" s="2450"/>
      <c r="I12" s="2450"/>
      <c r="J12" s="1749">
        <v>2.0000000000000001E-4</v>
      </c>
      <c r="K12" s="1749"/>
      <c r="L12" s="2450" t="s">
        <v>3875</v>
      </c>
      <c r="M12" s="2450"/>
      <c r="N12" s="2450"/>
      <c r="O12" s="2450">
        <v>2</v>
      </c>
      <c r="P12" s="2450"/>
      <c r="Q12" s="1749">
        <f>J12/O12</f>
        <v>1E-4</v>
      </c>
      <c r="R12" s="1749"/>
      <c r="S12" s="1749"/>
      <c r="T12" s="1749"/>
    </row>
    <row r="13" spans="1:20" ht="18.75">
      <c r="A13" s="2450" t="s">
        <v>3876</v>
      </c>
      <c r="B13" s="2450"/>
      <c r="C13" s="2450"/>
      <c r="D13" s="2450"/>
      <c r="E13" s="2450"/>
      <c r="F13" s="2450"/>
      <c r="G13" s="2450"/>
      <c r="H13" s="2450"/>
      <c r="I13" s="2450"/>
      <c r="J13" s="1749">
        <v>5.0000000000000004E-6</v>
      </c>
      <c r="K13" s="1749"/>
      <c r="L13" s="1749" t="s">
        <v>3877</v>
      </c>
      <c r="M13" s="2450"/>
      <c r="N13" s="2450"/>
      <c r="O13" s="1749" t="s">
        <v>3878</v>
      </c>
      <c r="P13" s="1749"/>
      <c r="Q13" s="1749">
        <f>J13/SQRT(3)</f>
        <v>2.8867513459481293E-6</v>
      </c>
      <c r="R13" s="1749"/>
      <c r="S13" s="1749"/>
      <c r="T13" s="1749"/>
    </row>
    <row r="14" spans="1:20" ht="15.75">
      <c r="A14" s="1749" t="s">
        <v>3880</v>
      </c>
      <c r="B14" s="1749"/>
      <c r="C14" s="1749"/>
      <c r="D14" s="1749"/>
      <c r="E14" s="1749"/>
      <c r="F14" s="1749"/>
      <c r="G14" s="1749"/>
      <c r="H14" s="1749"/>
      <c r="I14" s="1749"/>
      <c r="J14" s="1749">
        <v>2.0000000000000001E-4</v>
      </c>
      <c r="K14" s="1749"/>
      <c r="L14" s="1749" t="s">
        <v>3881</v>
      </c>
      <c r="M14" s="1749"/>
      <c r="N14" s="1749"/>
      <c r="O14" s="2450">
        <v>3</v>
      </c>
      <c r="P14" s="2450"/>
      <c r="Q14" s="1749">
        <v>6.0000000000000002E-5</v>
      </c>
      <c r="R14" s="1749"/>
      <c r="S14" s="1749"/>
      <c r="T14" s="1749"/>
    </row>
    <row r="15" spans="1:20" ht="15.75">
      <c r="A15" s="1749" t="s">
        <v>3882</v>
      </c>
      <c r="B15" s="1749"/>
      <c r="C15" s="1749"/>
      <c r="D15" s="1749"/>
      <c r="E15" s="1749"/>
      <c r="F15" s="1749"/>
      <c r="G15" s="1749"/>
      <c r="H15" s="1749"/>
      <c r="I15" s="1749"/>
      <c r="J15" s="1749">
        <v>2.0000000000000001E-4</v>
      </c>
      <c r="K15" s="1749"/>
      <c r="L15" s="1749" t="s">
        <v>3881</v>
      </c>
      <c r="M15" s="1749"/>
      <c r="N15" s="1749"/>
      <c r="O15" s="2450">
        <v>3</v>
      </c>
      <c r="P15" s="2450"/>
      <c r="Q15" s="1749">
        <v>6.0000000000000002E-5</v>
      </c>
      <c r="R15" s="1749"/>
      <c r="S15" s="1749"/>
      <c r="T15" s="1749"/>
    </row>
    <row r="16" spans="1:20" ht="18.75">
      <c r="A16" s="2450" t="s">
        <v>3933</v>
      </c>
      <c r="B16" s="2450"/>
      <c r="C16" s="2450"/>
      <c r="D16" s="2450"/>
      <c r="E16" s="2450"/>
      <c r="F16" s="2450"/>
      <c r="G16" s="2450"/>
      <c r="H16" s="2450"/>
      <c r="I16" s="2450"/>
      <c r="J16" s="2450"/>
      <c r="K16" s="2450"/>
      <c r="L16" s="2450"/>
      <c r="M16" s="2450"/>
      <c r="N16" s="2450"/>
      <c r="O16" s="2450"/>
      <c r="P16" s="2450"/>
      <c r="Q16" s="2450"/>
      <c r="R16" s="2450"/>
      <c r="S16" s="2450"/>
      <c r="T16" s="1605"/>
    </row>
    <row r="17" spans="1:20" ht="15.75">
      <c r="A17" s="1605" t="s">
        <v>3934</v>
      </c>
      <c r="B17" s="1605"/>
      <c r="C17" s="1605"/>
      <c r="D17" s="1605"/>
      <c r="E17" s="1605"/>
      <c r="F17" s="1605"/>
      <c r="G17" s="1605"/>
      <c r="H17" s="1605"/>
      <c r="I17" s="1605"/>
      <c r="J17" s="1605"/>
      <c r="L17" s="1605"/>
      <c r="M17" s="1605"/>
      <c r="N17" s="1605"/>
      <c r="O17" s="1605"/>
      <c r="P17" s="1606"/>
      <c r="Q17" s="1605"/>
      <c r="R17" s="1605"/>
      <c r="S17" s="1605"/>
      <c r="T17" s="1605"/>
    </row>
    <row r="18" spans="1:20" ht="18.75">
      <c r="A18" s="1605"/>
      <c r="B18" t="s">
        <v>3884</v>
      </c>
      <c r="C18" s="1605"/>
      <c r="D18" s="1749"/>
      <c r="E18" s="1749"/>
      <c r="F18" s="1605"/>
      <c r="G18" s="1605"/>
      <c r="H18" s="1605"/>
      <c r="I18" s="1605"/>
      <c r="J18" s="1605"/>
      <c r="L18" s="1605"/>
      <c r="M18" s="1605"/>
      <c r="N18" s="1605"/>
      <c r="O18" s="1605"/>
      <c r="P18" s="1606"/>
      <c r="Q18" s="1605"/>
      <c r="R18" s="1605"/>
      <c r="S18" s="1605"/>
      <c r="T18" s="1605"/>
    </row>
    <row r="19" spans="1:20" ht="15.75">
      <c r="A19" s="1605" t="s">
        <v>3935</v>
      </c>
      <c r="B19" s="1605"/>
      <c r="C19" s="1605"/>
      <c r="D19" s="1605"/>
      <c r="E19" s="1605"/>
      <c r="F19" s="1605"/>
      <c r="G19" s="1605"/>
      <c r="H19" s="1605"/>
      <c r="I19" s="1605"/>
      <c r="J19" s="1605"/>
      <c r="L19" s="1605"/>
      <c r="M19" s="1605"/>
      <c r="N19" s="1605"/>
      <c r="O19" s="1605"/>
      <c r="P19" s="1606"/>
      <c r="Q19" s="1605"/>
      <c r="R19" s="1605"/>
      <c r="S19" s="1605"/>
      <c r="T19" s="1605"/>
    </row>
    <row r="20" spans="1:20" ht="18.75">
      <c r="A20" s="1605"/>
      <c r="B20" t="s">
        <v>3886</v>
      </c>
      <c r="E20" s="1605"/>
      <c r="F20" s="1605"/>
      <c r="G20" s="1605"/>
      <c r="H20" s="1605"/>
      <c r="I20" s="1605"/>
      <c r="J20" s="1605"/>
      <c r="L20" s="1605"/>
      <c r="M20" s="1605"/>
      <c r="N20" s="1605"/>
      <c r="O20" s="1605"/>
      <c r="P20" s="1606"/>
      <c r="Q20" s="1605"/>
      <c r="R20" s="1605"/>
      <c r="S20" s="1605"/>
      <c r="T20" s="1605"/>
    </row>
    <row r="21" spans="1:20" ht="15.75">
      <c r="A21" s="1605" t="s">
        <v>3936</v>
      </c>
      <c r="B21" s="1605"/>
      <c r="C21" s="1605"/>
      <c r="D21" s="1605"/>
      <c r="E21" s="1605"/>
      <c r="F21" s="1605"/>
      <c r="G21" s="1605"/>
      <c r="H21" s="1605"/>
      <c r="I21" s="1605"/>
      <c r="J21" s="1605"/>
      <c r="L21" s="1605"/>
      <c r="M21" s="1605"/>
      <c r="N21" s="1605"/>
      <c r="P21" s="1606"/>
      <c r="Q21" s="1605"/>
      <c r="R21" s="1605"/>
      <c r="S21" s="1605"/>
      <c r="T21" s="1605"/>
    </row>
    <row r="22" spans="1:20" ht="15.75">
      <c r="A22" t="s">
        <v>3937</v>
      </c>
      <c r="B22" s="1605"/>
      <c r="E22" s="1749"/>
      <c r="F22" s="1749"/>
      <c r="G22" s="1749"/>
      <c r="H22" s="1749"/>
      <c r="I22" s="1749"/>
      <c r="J22" s="1749"/>
      <c r="K22" s="1605"/>
      <c r="L22" s="1605"/>
      <c r="M22" s="1605"/>
      <c r="N22" s="1605"/>
      <c r="O22" s="1605"/>
      <c r="P22" s="1606"/>
      <c r="Q22" s="1605"/>
      <c r="R22" s="1605"/>
      <c r="S22" s="1605"/>
      <c r="T22" s="1605"/>
    </row>
  </sheetData>
  <mergeCells count="49">
    <mergeCell ref="A3:C3"/>
    <mergeCell ref="E3:H3"/>
    <mergeCell ref="I3:J3"/>
    <mergeCell ref="K3:M3"/>
    <mergeCell ref="A4:C4"/>
    <mergeCell ref="E4:H4"/>
    <mergeCell ref="I4:J4"/>
    <mergeCell ref="K4:M4"/>
    <mergeCell ref="A5:C5"/>
    <mergeCell ref="E5:H5"/>
    <mergeCell ref="I5:J5"/>
    <mergeCell ref="K5:M5"/>
    <mergeCell ref="A6:C6"/>
    <mergeCell ref="D6:M6"/>
    <mergeCell ref="A11:I11"/>
    <mergeCell ref="J11:K11"/>
    <mergeCell ref="L11:N11"/>
    <mergeCell ref="O11:P11"/>
    <mergeCell ref="Q11:T11"/>
    <mergeCell ref="A10:I10"/>
    <mergeCell ref="J10:K10"/>
    <mergeCell ref="L10:N10"/>
    <mergeCell ref="O10:P10"/>
    <mergeCell ref="Q10:T10"/>
    <mergeCell ref="A13:I13"/>
    <mergeCell ref="J13:K13"/>
    <mergeCell ref="L13:N13"/>
    <mergeCell ref="O13:P13"/>
    <mergeCell ref="Q13:T13"/>
    <mergeCell ref="A12:I12"/>
    <mergeCell ref="J12:K12"/>
    <mergeCell ref="L12:N12"/>
    <mergeCell ref="O12:P12"/>
    <mergeCell ref="Q12:T12"/>
    <mergeCell ref="A15:I15"/>
    <mergeCell ref="J15:K15"/>
    <mergeCell ref="L15:N15"/>
    <mergeCell ref="O15:P15"/>
    <mergeCell ref="Q15:T15"/>
    <mergeCell ref="A14:I14"/>
    <mergeCell ref="J14:K14"/>
    <mergeCell ref="L14:N14"/>
    <mergeCell ref="O14:P14"/>
    <mergeCell ref="Q14:T14"/>
    <mergeCell ref="A16:B16"/>
    <mergeCell ref="C16:S16"/>
    <mergeCell ref="D18:E18"/>
    <mergeCell ref="E22:G22"/>
    <mergeCell ref="H22:J22"/>
  </mergeCells>
  <phoneticPr fontId="2" type="noConversion"/>
  <pageMargins left="0.7" right="0.7" top="0.75" bottom="0.75" header="0.3" footer="0.3"/>
  <legacyDrawing r:id="rId1"/>
  <oleObjects>
    <oleObject progId="Equation.3" shapeId="242689" r:id="rId2"/>
  </oleObjects>
</worksheet>
</file>

<file path=xl/worksheets/sheet22.xml><?xml version="1.0" encoding="utf-8"?>
<worksheet xmlns="http://schemas.openxmlformats.org/spreadsheetml/2006/main" xmlns:r="http://schemas.openxmlformats.org/officeDocument/2006/relationships">
  <dimension ref="A1:AJ48"/>
  <sheetViews>
    <sheetView workbookViewId="0">
      <selection activeCell="A19" sqref="A19:D20"/>
    </sheetView>
  </sheetViews>
  <sheetFormatPr defaultRowHeight="14.25" outlineLevelRow="1"/>
  <cols>
    <col min="1" max="1" width="14.875" customWidth="1"/>
    <col min="2" max="2" width="14.125" customWidth="1"/>
    <col min="3" max="3" width="15.375" customWidth="1"/>
    <col min="4" max="4" width="20.5" customWidth="1"/>
    <col min="9" max="9" width="19.5" customWidth="1"/>
    <col min="25" max="25" width="12.375" customWidth="1"/>
  </cols>
  <sheetData>
    <row r="1" spans="1:5">
      <c r="A1" s="2432" t="s">
        <v>1970</v>
      </c>
      <c r="B1" s="2433"/>
      <c r="C1" s="2433"/>
      <c r="D1" s="2433"/>
      <c r="E1" s="2433"/>
    </row>
    <row r="2" spans="1:5" outlineLevel="1">
      <c r="A2" s="2385" t="s">
        <v>1971</v>
      </c>
      <c r="B2" s="1713"/>
      <c r="C2" s="1713"/>
      <c r="D2" s="105"/>
      <c r="E2" s="638"/>
    </row>
    <row r="3" spans="1:5" ht="18.75" outlineLevel="1">
      <c r="A3" s="699" t="s">
        <v>1920</v>
      </c>
      <c r="B3" s="699"/>
      <c r="C3" s="6" t="s">
        <v>69</v>
      </c>
      <c r="D3" s="6" t="s">
        <v>70</v>
      </c>
      <c r="E3" s="700" t="s">
        <v>1972</v>
      </c>
    </row>
    <row r="4" spans="1:5" outlineLevel="1">
      <c r="A4" s="698" t="s">
        <v>1973</v>
      </c>
      <c r="B4" s="698"/>
      <c r="C4" s="6" t="s">
        <v>72</v>
      </c>
      <c r="D4" s="6" t="s">
        <v>72</v>
      </c>
      <c r="E4" s="700" t="s">
        <v>1974</v>
      </c>
    </row>
    <row r="5" spans="1:5" ht="28.5" outlineLevel="1">
      <c r="A5" s="731" t="s">
        <v>1975</v>
      </c>
      <c r="B5" s="731"/>
      <c r="C5" s="6" t="s">
        <v>72</v>
      </c>
      <c r="D5" s="6" t="s">
        <v>72</v>
      </c>
      <c r="E5" s="700" t="s">
        <v>1974</v>
      </c>
    </row>
    <row r="6" spans="1:5" outlineLevel="1">
      <c r="A6" s="698" t="s">
        <v>1976</v>
      </c>
      <c r="B6" s="698"/>
      <c r="C6" s="6" t="s">
        <v>72</v>
      </c>
      <c r="D6" s="6" t="s">
        <v>1977</v>
      </c>
      <c r="E6" s="700" t="s">
        <v>1974</v>
      </c>
    </row>
    <row r="7" spans="1:5" outlineLevel="1">
      <c r="A7" s="698" t="s">
        <v>1978</v>
      </c>
      <c r="B7" s="698"/>
      <c r="C7" s="6" t="s">
        <v>72</v>
      </c>
      <c r="D7" s="6" t="s">
        <v>1977</v>
      </c>
      <c r="E7" s="700" t="s">
        <v>1974</v>
      </c>
    </row>
    <row r="8" spans="1:5" outlineLevel="1">
      <c r="A8" s="698" t="s">
        <v>1979</v>
      </c>
      <c r="B8" s="698"/>
      <c r="C8" s="6" t="s">
        <v>72</v>
      </c>
      <c r="D8" s="6" t="s">
        <v>1980</v>
      </c>
      <c r="E8" s="700" t="s">
        <v>1981</v>
      </c>
    </row>
    <row r="9" spans="1:5" outlineLevel="1">
      <c r="A9" s="698" t="s">
        <v>119</v>
      </c>
      <c r="B9" s="698" t="s">
        <v>1982</v>
      </c>
      <c r="C9" s="6" t="s">
        <v>72</v>
      </c>
      <c r="D9" s="6" t="s">
        <v>1980</v>
      </c>
      <c r="E9" s="700" t="s">
        <v>1983</v>
      </c>
    </row>
    <row r="10" spans="1:5" outlineLevel="1">
      <c r="A10" s="698" t="s">
        <v>1984</v>
      </c>
      <c r="B10" s="698"/>
      <c r="C10" s="6" t="s">
        <v>72</v>
      </c>
      <c r="D10" s="6" t="s">
        <v>1980</v>
      </c>
      <c r="E10" s="700" t="s">
        <v>1985</v>
      </c>
    </row>
    <row r="11" spans="1:5" outlineLevel="1">
      <c r="A11" s="698"/>
      <c r="B11" s="698"/>
      <c r="C11" s="6"/>
      <c r="D11" s="6"/>
      <c r="E11" s="2"/>
    </row>
    <row r="12" spans="1:5" outlineLevel="1">
      <c r="A12" s="698"/>
      <c r="B12" s="698"/>
      <c r="C12" s="6"/>
      <c r="D12" s="6"/>
      <c r="E12" s="2"/>
    </row>
    <row r="13" spans="1:5" outlineLevel="1">
      <c r="A13" s="6"/>
      <c r="B13" s="6"/>
      <c r="C13" s="6"/>
      <c r="D13" s="6"/>
      <c r="E13" s="2"/>
    </row>
    <row r="14" spans="1:5" outlineLevel="1">
      <c r="A14" s="6"/>
      <c r="B14" s="6"/>
      <c r="C14" s="6"/>
      <c r="D14" s="6"/>
      <c r="E14" s="2"/>
    </row>
    <row r="15" spans="1:5" outlineLevel="1">
      <c r="A15" s="6"/>
      <c r="B15" s="6"/>
      <c r="C15" s="6"/>
      <c r="D15" s="6"/>
      <c r="E15" s="2"/>
    </row>
    <row r="17" spans="1:36">
      <c r="A17" s="2435" t="s">
        <v>1986</v>
      </c>
      <c r="B17" s="2436"/>
      <c r="C17" s="2436"/>
      <c r="D17" s="2436"/>
    </row>
    <row r="18" spans="1:36">
      <c r="A18" t="s">
        <v>119</v>
      </c>
      <c r="Q18" s="703" t="s">
        <v>1987</v>
      </c>
      <c r="AC18" s="703" t="s">
        <v>1988</v>
      </c>
    </row>
    <row r="19" spans="1:36" ht="14.25" customHeight="1" outlineLevel="1">
      <c r="A19" s="2394" t="s">
        <v>1989</v>
      </c>
      <c r="B19" s="2302"/>
      <c r="C19" s="2394" t="s">
        <v>1990</v>
      </c>
      <c r="D19" s="2462"/>
      <c r="E19" s="744" t="s">
        <v>1991</v>
      </c>
      <c r="F19" s="2397" t="s">
        <v>1992</v>
      </c>
      <c r="G19" s="2457"/>
      <c r="H19" s="2399" t="s">
        <v>1993</v>
      </c>
      <c r="I19" s="745" t="s">
        <v>1874</v>
      </c>
      <c r="J19" s="2465" t="s">
        <v>1994</v>
      </c>
      <c r="K19" s="2465"/>
      <c r="L19" s="2466" t="s">
        <v>1995</v>
      </c>
      <c r="M19" s="2466" t="s">
        <v>1989</v>
      </c>
      <c r="Q19" s="2394" t="s">
        <v>1989</v>
      </c>
      <c r="R19" s="2302"/>
      <c r="S19" s="2394" t="s">
        <v>1990</v>
      </c>
      <c r="T19" s="2462"/>
      <c r="U19" s="744" t="s">
        <v>1991</v>
      </c>
      <c r="V19" s="2397" t="s">
        <v>1992</v>
      </c>
      <c r="W19" s="2457"/>
      <c r="X19" s="2399" t="s">
        <v>1993</v>
      </c>
      <c r="Y19" s="745" t="s">
        <v>1874</v>
      </c>
      <c r="AC19" s="2394" t="s">
        <v>1989</v>
      </c>
      <c r="AD19" s="2302"/>
      <c r="AE19" s="2394" t="s">
        <v>1990</v>
      </c>
      <c r="AF19" s="2462"/>
      <c r="AG19" s="744" t="s">
        <v>1991</v>
      </c>
      <c r="AH19" s="2397" t="s">
        <v>1992</v>
      </c>
      <c r="AI19" s="2457"/>
      <c r="AJ19" s="2399" t="s">
        <v>1993</v>
      </c>
    </row>
    <row r="20" spans="1:36" outlineLevel="1">
      <c r="A20" s="2303"/>
      <c r="B20" s="2304"/>
      <c r="C20" s="2463"/>
      <c r="D20" s="2464"/>
      <c r="E20" s="746" t="s">
        <v>1996</v>
      </c>
      <c r="F20" s="2458"/>
      <c r="G20" s="2459"/>
      <c r="H20" s="2400"/>
      <c r="I20" s="745" t="s">
        <v>1877</v>
      </c>
      <c r="J20" s="2465"/>
      <c r="K20" s="2465"/>
      <c r="L20" s="2466"/>
      <c r="M20" s="2466"/>
      <c r="Q20" s="2303"/>
      <c r="R20" s="2304"/>
      <c r="S20" s="2463"/>
      <c r="T20" s="2464"/>
      <c r="U20" s="746" t="s">
        <v>1996</v>
      </c>
      <c r="V20" s="2458"/>
      <c r="W20" s="2459"/>
      <c r="X20" s="2400"/>
      <c r="Y20" s="745" t="s">
        <v>1877</v>
      </c>
      <c r="AC20" s="2303"/>
      <c r="AD20" s="2304"/>
      <c r="AE20" s="2463"/>
      <c r="AF20" s="2464"/>
      <c r="AG20" s="746" t="s">
        <v>1996</v>
      </c>
      <c r="AH20" s="2458"/>
      <c r="AI20" s="2459"/>
      <c r="AJ20" s="2400"/>
    </row>
    <row r="21" spans="1:36" outlineLevel="1">
      <c r="A21" s="2460">
        <v>10</v>
      </c>
      <c r="B21" s="2335" t="s">
        <v>1997</v>
      </c>
      <c r="C21" s="42">
        <v>10</v>
      </c>
      <c r="D21" s="747" t="s">
        <v>1997</v>
      </c>
      <c r="E21" s="43"/>
      <c r="F21" s="81">
        <v>10.002610000000001</v>
      </c>
      <c r="G21" s="748" t="s">
        <v>1997</v>
      </c>
      <c r="H21" s="748"/>
      <c r="I21" s="684">
        <f t="shared" ref="I21:I44" si="0">((L48/1.732)^2+((J48/1000000*ABS(F21)+K48/1000000*M48)/2)^2)^0.5*2</f>
        <v>0</v>
      </c>
      <c r="J21" s="749">
        <v>85</v>
      </c>
      <c r="K21" s="750">
        <v>10</v>
      </c>
      <c r="L21" s="686" t="e">
        <f ca="1">10^(-IF(CELL("format",G21)="G",0,VALUE(REPLACE(CELL("format",G21),1,1,))))/2</f>
        <v>#VALUE!</v>
      </c>
      <c r="M21" s="686">
        <v>20</v>
      </c>
      <c r="Q21" s="2460">
        <v>10</v>
      </c>
      <c r="R21" s="2335" t="s">
        <v>1997</v>
      </c>
      <c r="S21" s="42">
        <v>10</v>
      </c>
      <c r="T21" s="747" t="s">
        <v>1997</v>
      </c>
      <c r="U21" s="43"/>
      <c r="V21" s="81">
        <v>10.002610000000001</v>
      </c>
      <c r="W21" s="748" t="s">
        <v>1997</v>
      </c>
      <c r="X21" s="748"/>
      <c r="Y21" s="684">
        <f t="shared" ref="Y21:Y44" si="1">((AB48/1.732)^2+((Z48/1000000*ABS(V21)+AA48/1000000*AC48)/2)^2)^0.5*2</f>
        <v>0</v>
      </c>
      <c r="AC21" s="2460">
        <v>10</v>
      </c>
      <c r="AD21" s="2335" t="s">
        <v>1997</v>
      </c>
      <c r="AE21" s="42">
        <v>10</v>
      </c>
      <c r="AF21" s="747" t="s">
        <v>1997</v>
      </c>
      <c r="AG21" s="43"/>
      <c r="AH21" s="81">
        <v>10.002610000000001</v>
      </c>
      <c r="AI21" s="748" t="s">
        <v>1997</v>
      </c>
      <c r="AJ21" s="748"/>
    </row>
    <row r="22" spans="1:36" outlineLevel="1">
      <c r="A22" s="2461"/>
      <c r="B22" s="2315"/>
      <c r="C22" s="42">
        <v>9</v>
      </c>
      <c r="D22" s="747" t="s">
        <v>1997</v>
      </c>
      <c r="E22" s="43"/>
      <c r="F22" s="81">
        <v>9.0020900000000008</v>
      </c>
      <c r="G22" s="748" t="s">
        <v>1997</v>
      </c>
      <c r="H22" s="748"/>
      <c r="I22" s="684">
        <f t="shared" si="0"/>
        <v>0</v>
      </c>
      <c r="J22" s="749">
        <v>85</v>
      </c>
      <c r="K22" s="750">
        <v>10</v>
      </c>
      <c r="L22" s="686" t="e">
        <f t="shared" ref="L22:L45" ca="1" si="2">10^(-IF(CELL("format",G22)="G",0,VALUE(REPLACE(CELL("format",G22),1,1,))))/2</f>
        <v>#VALUE!</v>
      </c>
      <c r="M22" s="686">
        <v>20</v>
      </c>
      <c r="Q22" s="2461"/>
      <c r="R22" s="2315"/>
      <c r="S22" s="42">
        <v>9</v>
      </c>
      <c r="T22" s="747" t="s">
        <v>1997</v>
      </c>
      <c r="U22" s="43"/>
      <c r="V22" s="81">
        <v>9.0020900000000008</v>
      </c>
      <c r="W22" s="748" t="s">
        <v>1997</v>
      </c>
      <c r="X22" s="748"/>
      <c r="Y22" s="684">
        <f t="shared" si="1"/>
        <v>0</v>
      </c>
      <c r="AC22" s="2461"/>
      <c r="AD22" s="2315"/>
      <c r="AE22" s="42">
        <v>9</v>
      </c>
      <c r="AF22" s="747" t="s">
        <v>1997</v>
      </c>
      <c r="AG22" s="43"/>
      <c r="AH22" s="81">
        <v>9.0020900000000008</v>
      </c>
      <c r="AI22" s="748" t="s">
        <v>1997</v>
      </c>
      <c r="AJ22" s="748"/>
    </row>
    <row r="23" spans="1:36" outlineLevel="1">
      <c r="A23" s="2461"/>
      <c r="B23" s="2315"/>
      <c r="C23" s="42">
        <v>8</v>
      </c>
      <c r="D23" s="747" t="s">
        <v>1997</v>
      </c>
      <c r="E23" s="43"/>
      <c r="F23" s="81">
        <v>8.0016800000000003</v>
      </c>
      <c r="G23" s="748" t="s">
        <v>1997</v>
      </c>
      <c r="H23" s="748"/>
      <c r="I23" s="684">
        <f t="shared" si="0"/>
        <v>0</v>
      </c>
      <c r="J23" s="749">
        <v>85</v>
      </c>
      <c r="K23" s="750">
        <v>10</v>
      </c>
      <c r="L23" s="686" t="e">
        <f t="shared" ca="1" si="2"/>
        <v>#VALUE!</v>
      </c>
      <c r="M23" s="686">
        <v>20</v>
      </c>
      <c r="Q23" s="2461"/>
      <c r="R23" s="2315"/>
      <c r="S23" s="42">
        <v>8</v>
      </c>
      <c r="T23" s="747" t="s">
        <v>1997</v>
      </c>
      <c r="U23" s="43"/>
      <c r="V23" s="81">
        <v>8.0016800000000003</v>
      </c>
      <c r="W23" s="748" t="s">
        <v>1997</v>
      </c>
      <c r="X23" s="748"/>
      <c r="Y23" s="684">
        <f t="shared" si="1"/>
        <v>0</v>
      </c>
      <c r="AC23" s="2461"/>
      <c r="AD23" s="2315"/>
      <c r="AE23" s="42">
        <v>8</v>
      </c>
      <c r="AF23" s="747" t="s">
        <v>1997</v>
      </c>
      <c r="AG23" s="43"/>
      <c r="AH23" s="81">
        <v>8.0016800000000003</v>
      </c>
      <c r="AI23" s="748" t="s">
        <v>1997</v>
      </c>
      <c r="AJ23" s="748"/>
    </row>
    <row r="24" spans="1:36" outlineLevel="1">
      <c r="A24" s="2461"/>
      <c r="B24" s="2315"/>
      <c r="C24" s="42">
        <v>7</v>
      </c>
      <c r="D24" s="747" t="s">
        <v>1997</v>
      </c>
      <c r="E24" s="43"/>
      <c r="F24" s="81">
        <v>7.0015700000000001</v>
      </c>
      <c r="G24" s="748" t="s">
        <v>1997</v>
      </c>
      <c r="H24" s="748"/>
      <c r="I24" s="684">
        <f t="shared" si="0"/>
        <v>0</v>
      </c>
      <c r="J24" s="749">
        <v>85</v>
      </c>
      <c r="K24" s="750">
        <v>10</v>
      </c>
      <c r="L24" s="686" t="e">
        <f t="shared" ca="1" si="2"/>
        <v>#VALUE!</v>
      </c>
      <c r="M24" s="686">
        <v>20</v>
      </c>
      <c r="Q24" s="2461"/>
      <c r="R24" s="2315"/>
      <c r="S24" s="42">
        <v>7</v>
      </c>
      <c r="T24" s="747" t="s">
        <v>1997</v>
      </c>
      <c r="U24" s="43"/>
      <c r="V24" s="81">
        <v>7.0015700000000001</v>
      </c>
      <c r="W24" s="748" t="s">
        <v>1997</v>
      </c>
      <c r="X24" s="748"/>
      <c r="Y24" s="684">
        <f t="shared" si="1"/>
        <v>0</v>
      </c>
      <c r="AC24" s="2461"/>
      <c r="AD24" s="2315"/>
      <c r="AE24" s="42">
        <v>7</v>
      </c>
      <c r="AF24" s="747" t="s">
        <v>1997</v>
      </c>
      <c r="AG24" s="43"/>
      <c r="AH24" s="81">
        <v>7.0015700000000001</v>
      </c>
      <c r="AI24" s="748" t="s">
        <v>1997</v>
      </c>
      <c r="AJ24" s="748"/>
    </row>
    <row r="25" spans="1:36" outlineLevel="1">
      <c r="A25" s="2461"/>
      <c r="B25" s="2315"/>
      <c r="C25" s="42">
        <v>6</v>
      </c>
      <c r="D25" s="747" t="s">
        <v>1997</v>
      </c>
      <c r="E25" s="43"/>
      <c r="F25" s="81">
        <v>6.0015000000000001</v>
      </c>
      <c r="G25" s="748" t="s">
        <v>1997</v>
      </c>
      <c r="H25" s="748"/>
      <c r="I25" s="684">
        <f t="shared" si="0"/>
        <v>0</v>
      </c>
      <c r="J25" s="749">
        <v>85</v>
      </c>
      <c r="K25" s="750">
        <v>10</v>
      </c>
      <c r="L25" s="686" t="e">
        <f t="shared" ca="1" si="2"/>
        <v>#VALUE!</v>
      </c>
      <c r="M25" s="686">
        <v>20</v>
      </c>
      <c r="Q25" s="2461"/>
      <c r="R25" s="2315"/>
      <c r="S25" s="42">
        <v>6</v>
      </c>
      <c r="T25" s="747" t="s">
        <v>1997</v>
      </c>
      <c r="U25" s="43"/>
      <c r="V25" s="81">
        <v>6.0015000000000001</v>
      </c>
      <c r="W25" s="748" t="s">
        <v>1997</v>
      </c>
      <c r="X25" s="748"/>
      <c r="Y25" s="684">
        <f t="shared" si="1"/>
        <v>0</v>
      </c>
      <c r="AC25" s="2461"/>
      <c r="AD25" s="2315"/>
      <c r="AE25" s="42">
        <v>6</v>
      </c>
      <c r="AF25" s="747" t="s">
        <v>1997</v>
      </c>
      <c r="AG25" s="43"/>
      <c r="AH25" s="81">
        <v>6.0015000000000001</v>
      </c>
      <c r="AI25" s="748" t="s">
        <v>1997</v>
      </c>
      <c r="AJ25" s="748"/>
    </row>
    <row r="26" spans="1:36" outlineLevel="1">
      <c r="A26" s="2461"/>
      <c r="B26" s="2315"/>
      <c r="C26" s="42">
        <v>5</v>
      </c>
      <c r="D26" s="747" t="s">
        <v>1997</v>
      </c>
      <c r="E26" s="43"/>
      <c r="F26" s="81">
        <v>5.0010700000000003</v>
      </c>
      <c r="G26" s="748" t="s">
        <v>1997</v>
      </c>
      <c r="H26" s="748"/>
      <c r="I26" s="684">
        <f t="shared" si="0"/>
        <v>0</v>
      </c>
      <c r="J26" s="749">
        <v>85</v>
      </c>
      <c r="K26" s="750">
        <v>10</v>
      </c>
      <c r="L26" s="686" t="e">
        <f t="shared" ca="1" si="2"/>
        <v>#VALUE!</v>
      </c>
      <c r="M26" s="686">
        <v>20</v>
      </c>
      <c r="Q26" s="2461"/>
      <c r="R26" s="2315"/>
      <c r="S26" s="42">
        <v>5</v>
      </c>
      <c r="T26" s="747" t="s">
        <v>1997</v>
      </c>
      <c r="U26" s="43"/>
      <c r="V26" s="81">
        <v>5.0010700000000003</v>
      </c>
      <c r="W26" s="748" t="s">
        <v>1997</v>
      </c>
      <c r="X26" s="748"/>
      <c r="Y26" s="684">
        <f t="shared" si="1"/>
        <v>0</v>
      </c>
      <c r="AC26" s="2461"/>
      <c r="AD26" s="2315"/>
      <c r="AE26" s="42">
        <v>5</v>
      </c>
      <c r="AF26" s="747" t="s">
        <v>1997</v>
      </c>
      <c r="AG26" s="43"/>
      <c r="AH26" s="81">
        <v>5.0010700000000003</v>
      </c>
      <c r="AI26" s="748" t="s">
        <v>1997</v>
      </c>
      <c r="AJ26" s="748"/>
    </row>
    <row r="27" spans="1:36" outlineLevel="1">
      <c r="A27" s="2461"/>
      <c r="B27" s="2315"/>
      <c r="C27" s="42">
        <v>4</v>
      </c>
      <c r="D27" s="747" t="s">
        <v>1997</v>
      </c>
      <c r="E27" s="43"/>
      <c r="F27" s="81">
        <v>4.0007999999999999</v>
      </c>
      <c r="G27" s="748" t="s">
        <v>1997</v>
      </c>
      <c r="H27" s="748"/>
      <c r="I27" s="684">
        <f t="shared" si="0"/>
        <v>0</v>
      </c>
      <c r="J27" s="749">
        <v>85</v>
      </c>
      <c r="K27" s="750">
        <v>10</v>
      </c>
      <c r="L27" s="686" t="e">
        <f t="shared" ca="1" si="2"/>
        <v>#VALUE!</v>
      </c>
      <c r="M27" s="686">
        <v>20</v>
      </c>
      <c r="Q27" s="2461"/>
      <c r="R27" s="2315"/>
      <c r="S27" s="42">
        <v>4</v>
      </c>
      <c r="T27" s="747" t="s">
        <v>1997</v>
      </c>
      <c r="U27" s="43"/>
      <c r="V27" s="81">
        <v>4.0007999999999999</v>
      </c>
      <c r="W27" s="748" t="s">
        <v>1997</v>
      </c>
      <c r="X27" s="748"/>
      <c r="Y27" s="684">
        <f t="shared" si="1"/>
        <v>0</v>
      </c>
      <c r="AC27" s="2461"/>
      <c r="AD27" s="2315"/>
      <c r="AE27" s="42">
        <v>4</v>
      </c>
      <c r="AF27" s="747" t="s">
        <v>1997</v>
      </c>
      <c r="AG27" s="43"/>
      <c r="AH27" s="81">
        <v>4.0007999999999999</v>
      </c>
      <c r="AI27" s="748" t="s">
        <v>1997</v>
      </c>
      <c r="AJ27" s="748"/>
    </row>
    <row r="28" spans="1:36" outlineLevel="1">
      <c r="A28" s="2461"/>
      <c r="B28" s="2315"/>
      <c r="C28" s="42">
        <v>3</v>
      </c>
      <c r="D28" s="747" t="s">
        <v>1997</v>
      </c>
      <c r="E28" s="43"/>
      <c r="F28" s="81">
        <v>3.0004400000000002</v>
      </c>
      <c r="G28" s="748" t="s">
        <v>1997</v>
      </c>
      <c r="H28" s="748"/>
      <c r="I28" s="684">
        <f t="shared" si="0"/>
        <v>0</v>
      </c>
      <c r="J28" s="749">
        <v>85</v>
      </c>
      <c r="K28" s="750">
        <v>10</v>
      </c>
      <c r="L28" s="686" t="e">
        <f t="shared" ca="1" si="2"/>
        <v>#VALUE!</v>
      </c>
      <c r="M28" s="686">
        <v>20</v>
      </c>
      <c r="Q28" s="2461"/>
      <c r="R28" s="2315"/>
      <c r="S28" s="42">
        <v>3</v>
      </c>
      <c r="T28" s="747" t="s">
        <v>1997</v>
      </c>
      <c r="U28" s="43"/>
      <c r="V28" s="81">
        <v>3.0004400000000002</v>
      </c>
      <c r="W28" s="748" t="s">
        <v>1997</v>
      </c>
      <c r="X28" s="748"/>
      <c r="Y28" s="684">
        <f t="shared" si="1"/>
        <v>0</v>
      </c>
      <c r="AC28" s="2461"/>
      <c r="AD28" s="2315"/>
      <c r="AE28" s="42">
        <v>3</v>
      </c>
      <c r="AF28" s="747" t="s">
        <v>1997</v>
      </c>
      <c r="AG28" s="43"/>
      <c r="AH28" s="81">
        <v>3.0004400000000002</v>
      </c>
      <c r="AI28" s="748" t="s">
        <v>1997</v>
      </c>
      <c r="AJ28" s="748"/>
    </row>
    <row r="29" spans="1:36" outlineLevel="1">
      <c r="A29" s="2461"/>
      <c r="B29" s="2315"/>
      <c r="C29" s="42">
        <v>2</v>
      </c>
      <c r="D29" s="747" t="s">
        <v>1997</v>
      </c>
      <c r="E29" s="43"/>
      <c r="F29" s="81">
        <v>2.0005000000000002</v>
      </c>
      <c r="G29" s="748" t="s">
        <v>1997</v>
      </c>
      <c r="H29" s="748"/>
      <c r="I29" s="684">
        <f t="shared" si="0"/>
        <v>0</v>
      </c>
      <c r="J29" s="749">
        <v>85</v>
      </c>
      <c r="K29" s="750">
        <v>10</v>
      </c>
      <c r="L29" s="686" t="e">
        <f t="shared" ca="1" si="2"/>
        <v>#VALUE!</v>
      </c>
      <c r="M29" s="686">
        <v>20</v>
      </c>
      <c r="Q29" s="2461"/>
      <c r="R29" s="2315"/>
      <c r="S29" s="42">
        <v>2</v>
      </c>
      <c r="T29" s="747" t="s">
        <v>1997</v>
      </c>
      <c r="U29" s="43"/>
      <c r="V29" s="81">
        <v>2.0005000000000002</v>
      </c>
      <c r="W29" s="748" t="s">
        <v>1997</v>
      </c>
      <c r="X29" s="748"/>
      <c r="Y29" s="684">
        <f t="shared" si="1"/>
        <v>0</v>
      </c>
      <c r="AC29" s="2461"/>
      <c r="AD29" s="2315"/>
      <c r="AE29" s="42">
        <v>2</v>
      </c>
      <c r="AF29" s="747" t="s">
        <v>1997</v>
      </c>
      <c r="AG29" s="43"/>
      <c r="AH29" s="81">
        <v>2.0005000000000002</v>
      </c>
      <c r="AI29" s="748" t="s">
        <v>1997</v>
      </c>
      <c r="AJ29" s="748"/>
    </row>
    <row r="30" spans="1:36" outlineLevel="1">
      <c r="A30" s="2461"/>
      <c r="B30" s="2315"/>
      <c r="C30" s="42">
        <v>1</v>
      </c>
      <c r="D30" s="747" t="s">
        <v>1997</v>
      </c>
      <c r="E30" s="43"/>
      <c r="F30" s="751">
        <v>1.00023</v>
      </c>
      <c r="G30" s="748" t="s">
        <v>1997</v>
      </c>
      <c r="H30" s="748"/>
      <c r="I30" s="684">
        <f t="shared" si="0"/>
        <v>0</v>
      </c>
      <c r="J30" s="749">
        <v>85</v>
      </c>
      <c r="K30" s="750">
        <v>10</v>
      </c>
      <c r="L30" s="686" t="e">
        <f t="shared" ca="1" si="2"/>
        <v>#VALUE!</v>
      </c>
      <c r="M30" s="686">
        <v>20</v>
      </c>
      <c r="Q30" s="2461"/>
      <c r="R30" s="2315"/>
      <c r="S30" s="42">
        <v>1</v>
      </c>
      <c r="T30" s="747" t="s">
        <v>1997</v>
      </c>
      <c r="U30" s="43"/>
      <c r="V30" s="751">
        <v>1.00023</v>
      </c>
      <c r="W30" s="748" t="s">
        <v>1997</v>
      </c>
      <c r="X30" s="748"/>
      <c r="Y30" s="684">
        <f t="shared" si="1"/>
        <v>0</v>
      </c>
      <c r="AC30" s="2461"/>
      <c r="AD30" s="2315"/>
      <c r="AE30" s="42">
        <v>1</v>
      </c>
      <c r="AF30" s="747" t="s">
        <v>1997</v>
      </c>
      <c r="AG30" s="43"/>
      <c r="AH30" s="751">
        <v>1.00023</v>
      </c>
      <c r="AI30" s="748" t="s">
        <v>1997</v>
      </c>
      <c r="AJ30" s="748"/>
    </row>
    <row r="31" spans="1:36" outlineLevel="1">
      <c r="A31" s="2347">
        <v>200</v>
      </c>
      <c r="B31" s="2456" t="s">
        <v>1998</v>
      </c>
      <c r="C31" s="44">
        <v>200</v>
      </c>
      <c r="D31" s="753" t="s">
        <v>1998</v>
      </c>
      <c r="E31" s="82"/>
      <c r="F31" s="46">
        <v>200.09100000000001</v>
      </c>
      <c r="G31" s="83" t="s">
        <v>75</v>
      </c>
      <c r="H31" s="83"/>
      <c r="I31" s="48">
        <f t="shared" si="0"/>
        <v>0</v>
      </c>
      <c r="J31" s="749">
        <v>110</v>
      </c>
      <c r="K31" s="750">
        <v>20</v>
      </c>
      <c r="L31" s="686" t="e">
        <f t="shared" ca="1" si="2"/>
        <v>#VALUE!</v>
      </c>
      <c r="M31" s="686">
        <v>200</v>
      </c>
      <c r="Q31" s="2347">
        <v>200</v>
      </c>
      <c r="R31" s="2456" t="s">
        <v>1998</v>
      </c>
      <c r="S31" s="44">
        <v>200</v>
      </c>
      <c r="T31" s="753" t="s">
        <v>1998</v>
      </c>
      <c r="U31" s="82"/>
      <c r="V31" s="46">
        <v>200.09100000000001</v>
      </c>
      <c r="W31" s="83" t="s">
        <v>75</v>
      </c>
      <c r="X31" s="83"/>
      <c r="Y31" s="48">
        <f t="shared" si="1"/>
        <v>0</v>
      </c>
      <c r="AC31" s="2347">
        <v>200</v>
      </c>
      <c r="AD31" s="2456" t="s">
        <v>1998</v>
      </c>
      <c r="AE31" s="44">
        <v>200</v>
      </c>
      <c r="AF31" s="753" t="s">
        <v>1998</v>
      </c>
      <c r="AG31" s="82"/>
      <c r="AH31" s="46">
        <v>200.09100000000001</v>
      </c>
      <c r="AI31" s="83" t="s">
        <v>75</v>
      </c>
      <c r="AJ31" s="83"/>
    </row>
    <row r="32" spans="1:36" outlineLevel="1">
      <c r="A32" s="2348"/>
      <c r="B32" s="1742"/>
      <c r="C32" s="44">
        <v>100</v>
      </c>
      <c r="D32" s="753" t="s">
        <v>1998</v>
      </c>
      <c r="E32" s="82"/>
      <c r="F32" s="46">
        <v>100.032</v>
      </c>
      <c r="G32" s="83" t="s">
        <v>75</v>
      </c>
      <c r="H32" s="83"/>
      <c r="I32" s="48">
        <f t="shared" si="0"/>
        <v>0</v>
      </c>
      <c r="J32" s="749">
        <v>110</v>
      </c>
      <c r="K32" s="750">
        <v>20</v>
      </c>
      <c r="L32" s="686" t="e">
        <f t="shared" ca="1" si="2"/>
        <v>#VALUE!</v>
      </c>
      <c r="M32" s="686">
        <v>200</v>
      </c>
      <c r="Q32" s="2348"/>
      <c r="R32" s="1742"/>
      <c r="S32" s="44">
        <v>100</v>
      </c>
      <c r="T32" s="753" t="s">
        <v>1998</v>
      </c>
      <c r="U32" s="82"/>
      <c r="V32" s="46">
        <v>100.032</v>
      </c>
      <c r="W32" s="83" t="s">
        <v>75</v>
      </c>
      <c r="X32" s="83"/>
      <c r="Y32" s="48">
        <f t="shared" si="1"/>
        <v>0</v>
      </c>
      <c r="AC32" s="2348"/>
      <c r="AD32" s="1742"/>
      <c r="AE32" s="44">
        <v>100</v>
      </c>
      <c r="AF32" s="753" t="s">
        <v>1998</v>
      </c>
      <c r="AG32" s="82"/>
      <c r="AH32" s="46">
        <v>100.032</v>
      </c>
      <c r="AI32" s="83" t="s">
        <v>75</v>
      </c>
      <c r="AJ32" s="83"/>
    </row>
    <row r="33" spans="1:36" outlineLevel="1">
      <c r="A33" s="2347">
        <v>2</v>
      </c>
      <c r="B33" s="2456" t="s">
        <v>1997</v>
      </c>
      <c r="C33" s="49">
        <v>2</v>
      </c>
      <c r="D33" s="754" t="s">
        <v>1997</v>
      </c>
      <c r="E33" s="50"/>
      <c r="F33" s="51">
        <v>2.00014</v>
      </c>
      <c r="G33" s="755" t="s">
        <v>1997</v>
      </c>
      <c r="H33" s="755"/>
      <c r="I33" s="77">
        <f t="shared" si="0"/>
        <v>0</v>
      </c>
      <c r="J33" s="749"/>
      <c r="K33" s="750"/>
      <c r="L33" s="686" t="e">
        <f t="shared" ca="1" si="2"/>
        <v>#VALUE!</v>
      </c>
      <c r="M33" s="686">
        <v>200</v>
      </c>
      <c r="Q33" s="2347">
        <v>2</v>
      </c>
      <c r="R33" s="2456" t="s">
        <v>1997</v>
      </c>
      <c r="S33" s="49">
        <v>2</v>
      </c>
      <c r="T33" s="754" t="s">
        <v>1997</v>
      </c>
      <c r="U33" s="50"/>
      <c r="V33" s="51">
        <v>2.00014</v>
      </c>
      <c r="W33" s="755" t="s">
        <v>1997</v>
      </c>
      <c r="X33" s="755"/>
      <c r="Y33" s="77">
        <f t="shared" si="1"/>
        <v>0</v>
      </c>
      <c r="AC33" s="2347">
        <v>2</v>
      </c>
      <c r="AD33" s="2456" t="s">
        <v>1997</v>
      </c>
      <c r="AE33" s="49">
        <v>2</v>
      </c>
      <c r="AF33" s="754" t="s">
        <v>1997</v>
      </c>
      <c r="AG33" s="50"/>
      <c r="AH33" s="51">
        <v>2.00014</v>
      </c>
      <c r="AI33" s="755" t="s">
        <v>1997</v>
      </c>
      <c r="AJ33" s="755"/>
    </row>
    <row r="34" spans="1:36" outlineLevel="1">
      <c r="A34" s="2348"/>
      <c r="B34" s="1742"/>
      <c r="C34" s="49">
        <v>1</v>
      </c>
      <c r="D34" s="754" t="s">
        <v>1997</v>
      </c>
      <c r="E34" s="50"/>
      <c r="F34" s="51">
        <v>0.99998200000000004</v>
      </c>
      <c r="G34" s="755" t="s">
        <v>1997</v>
      </c>
      <c r="H34" s="755"/>
      <c r="I34" s="77">
        <f t="shared" si="0"/>
        <v>0</v>
      </c>
      <c r="J34" s="749">
        <v>85</v>
      </c>
      <c r="K34" s="750">
        <v>10</v>
      </c>
      <c r="L34" s="686" t="e">
        <f t="shared" ca="1" si="2"/>
        <v>#VALUE!</v>
      </c>
      <c r="M34" s="686">
        <v>2</v>
      </c>
      <c r="Q34" s="2348"/>
      <c r="R34" s="1742"/>
      <c r="S34" s="49">
        <v>1</v>
      </c>
      <c r="T34" s="754" t="s">
        <v>1997</v>
      </c>
      <c r="U34" s="50"/>
      <c r="V34" s="51">
        <v>0.99998200000000004</v>
      </c>
      <c r="W34" s="755" t="s">
        <v>1997</v>
      </c>
      <c r="X34" s="755"/>
      <c r="Y34" s="77">
        <f t="shared" si="1"/>
        <v>0</v>
      </c>
      <c r="AC34" s="2348"/>
      <c r="AD34" s="1742"/>
      <c r="AE34" s="49">
        <v>1</v>
      </c>
      <c r="AF34" s="754" t="s">
        <v>1997</v>
      </c>
      <c r="AG34" s="50"/>
      <c r="AH34" s="51">
        <v>0.99998200000000004</v>
      </c>
      <c r="AI34" s="755" t="s">
        <v>1997</v>
      </c>
      <c r="AJ34" s="755"/>
    </row>
    <row r="35" spans="1:36" outlineLevel="1">
      <c r="A35" s="2348"/>
      <c r="B35" s="1742"/>
      <c r="C35" s="49">
        <v>0.2</v>
      </c>
      <c r="D35" s="754" t="s">
        <v>1997</v>
      </c>
      <c r="E35" s="50"/>
      <c r="F35" s="51">
        <v>0.200043</v>
      </c>
      <c r="G35" s="755" t="s">
        <v>1997</v>
      </c>
      <c r="H35" s="755"/>
      <c r="I35" s="77">
        <f t="shared" si="0"/>
        <v>0</v>
      </c>
      <c r="J35" s="749">
        <v>85</v>
      </c>
      <c r="K35" s="750">
        <v>10</v>
      </c>
      <c r="L35" s="686" t="e">
        <f t="shared" ca="1" si="2"/>
        <v>#VALUE!</v>
      </c>
      <c r="M35" s="686">
        <v>2</v>
      </c>
      <c r="Q35" s="2348"/>
      <c r="R35" s="1742"/>
      <c r="S35" s="49">
        <v>0.2</v>
      </c>
      <c r="T35" s="754" t="s">
        <v>1997</v>
      </c>
      <c r="U35" s="50"/>
      <c r="V35" s="51">
        <v>0.200043</v>
      </c>
      <c r="W35" s="755" t="s">
        <v>1997</v>
      </c>
      <c r="X35" s="755"/>
      <c r="Y35" s="77">
        <f t="shared" si="1"/>
        <v>0</v>
      </c>
      <c r="AC35" s="2348"/>
      <c r="AD35" s="1742"/>
      <c r="AE35" s="49">
        <v>0.2</v>
      </c>
      <c r="AF35" s="754" t="s">
        <v>1997</v>
      </c>
      <c r="AG35" s="50"/>
      <c r="AH35" s="51">
        <v>0.200043</v>
      </c>
      <c r="AI35" s="755" t="s">
        <v>1997</v>
      </c>
      <c r="AJ35" s="755"/>
    </row>
    <row r="36" spans="1:36" outlineLevel="1">
      <c r="A36" s="2347">
        <v>100</v>
      </c>
      <c r="B36" s="2456" t="s">
        <v>1997</v>
      </c>
      <c r="C36" s="53">
        <v>100</v>
      </c>
      <c r="D36" s="754" t="s">
        <v>1997</v>
      </c>
      <c r="E36" s="85"/>
      <c r="F36" s="46">
        <v>100.02630000000001</v>
      </c>
      <c r="G36" s="755" t="s">
        <v>1997</v>
      </c>
      <c r="H36" s="755"/>
      <c r="I36" s="54">
        <f t="shared" si="0"/>
        <v>0</v>
      </c>
      <c r="J36" s="749">
        <v>85</v>
      </c>
      <c r="K36" s="750">
        <v>10</v>
      </c>
      <c r="L36" s="686" t="e">
        <f t="shared" ca="1" si="2"/>
        <v>#VALUE!</v>
      </c>
      <c r="M36" s="686">
        <v>2</v>
      </c>
      <c r="Q36" s="2347">
        <v>100</v>
      </c>
      <c r="R36" s="2456" t="s">
        <v>1997</v>
      </c>
      <c r="S36" s="53">
        <v>100</v>
      </c>
      <c r="T36" s="754" t="s">
        <v>1997</v>
      </c>
      <c r="U36" s="85"/>
      <c r="V36" s="46">
        <v>100.02630000000001</v>
      </c>
      <c r="W36" s="755" t="s">
        <v>1997</v>
      </c>
      <c r="X36" s="755"/>
      <c r="Y36" s="54">
        <f t="shared" si="1"/>
        <v>0</v>
      </c>
      <c r="AC36" s="2347">
        <v>100</v>
      </c>
      <c r="AD36" s="2456" t="s">
        <v>1997</v>
      </c>
      <c r="AE36" s="53">
        <v>100</v>
      </c>
      <c r="AF36" s="754" t="s">
        <v>1997</v>
      </c>
      <c r="AG36" s="85"/>
      <c r="AH36" s="46">
        <v>100.02630000000001</v>
      </c>
      <c r="AI36" s="755" t="s">
        <v>1997</v>
      </c>
      <c r="AJ36" s="755"/>
    </row>
    <row r="37" spans="1:36" outlineLevel="1">
      <c r="A37" s="2348"/>
      <c r="B37" s="1742"/>
      <c r="C37" s="53">
        <v>50</v>
      </c>
      <c r="D37" s="754" t="s">
        <v>1997</v>
      </c>
      <c r="E37" s="85"/>
      <c r="F37" s="46">
        <v>50.012799999999999</v>
      </c>
      <c r="G37" s="755" t="s">
        <v>1997</v>
      </c>
      <c r="H37" s="755"/>
      <c r="I37" s="54">
        <f t="shared" si="0"/>
        <v>0</v>
      </c>
      <c r="J37" s="749">
        <v>85</v>
      </c>
      <c r="K37" s="750">
        <v>10</v>
      </c>
      <c r="L37" s="686" t="e">
        <f t="shared" ca="1" si="2"/>
        <v>#VALUE!</v>
      </c>
      <c r="M37" s="686">
        <v>200</v>
      </c>
      <c r="Q37" s="2348"/>
      <c r="R37" s="1742"/>
      <c r="S37" s="53">
        <v>50</v>
      </c>
      <c r="T37" s="754" t="s">
        <v>1997</v>
      </c>
      <c r="U37" s="85"/>
      <c r="V37" s="46">
        <v>50.012799999999999</v>
      </c>
      <c r="W37" s="755" t="s">
        <v>1997</v>
      </c>
      <c r="X37" s="755"/>
      <c r="Y37" s="54">
        <f t="shared" si="1"/>
        <v>0</v>
      </c>
      <c r="AC37" s="2348"/>
      <c r="AD37" s="1742"/>
      <c r="AE37" s="53">
        <v>50</v>
      </c>
      <c r="AF37" s="754" t="s">
        <v>1997</v>
      </c>
      <c r="AG37" s="85"/>
      <c r="AH37" s="46">
        <v>50.012799999999999</v>
      </c>
      <c r="AI37" s="755" t="s">
        <v>1997</v>
      </c>
      <c r="AJ37" s="755"/>
    </row>
    <row r="38" spans="1:36" outlineLevel="1">
      <c r="A38" s="2348"/>
      <c r="B38" s="1742"/>
      <c r="C38" s="53">
        <v>10</v>
      </c>
      <c r="D38" s="754" t="s">
        <v>1997</v>
      </c>
      <c r="E38" s="85"/>
      <c r="F38" s="46">
        <v>10.002700000000001</v>
      </c>
      <c r="G38" s="755" t="s">
        <v>1997</v>
      </c>
      <c r="H38" s="755"/>
      <c r="I38" s="54">
        <f t="shared" si="0"/>
        <v>0</v>
      </c>
      <c r="J38" s="749">
        <v>85</v>
      </c>
      <c r="K38" s="750">
        <v>10</v>
      </c>
      <c r="L38" s="686" t="e">
        <f t="shared" ca="1" si="2"/>
        <v>#VALUE!</v>
      </c>
      <c r="M38" s="686">
        <v>200</v>
      </c>
      <c r="Q38" s="2348"/>
      <c r="R38" s="1742"/>
      <c r="S38" s="53">
        <v>10</v>
      </c>
      <c r="T38" s="754" t="s">
        <v>1997</v>
      </c>
      <c r="U38" s="85"/>
      <c r="V38" s="46">
        <v>10.002700000000001</v>
      </c>
      <c r="W38" s="755" t="s">
        <v>1997</v>
      </c>
      <c r="X38" s="755"/>
      <c r="Y38" s="54">
        <f t="shared" si="1"/>
        <v>0</v>
      </c>
      <c r="AC38" s="2348"/>
      <c r="AD38" s="1742"/>
      <c r="AE38" s="53">
        <v>10</v>
      </c>
      <c r="AF38" s="754" t="s">
        <v>1997</v>
      </c>
      <c r="AG38" s="85"/>
      <c r="AH38" s="46">
        <v>10.002700000000001</v>
      </c>
      <c r="AI38" s="755" t="s">
        <v>1997</v>
      </c>
      <c r="AJ38" s="755"/>
    </row>
    <row r="39" spans="1:36" outlineLevel="1">
      <c r="A39" s="2347">
        <v>300</v>
      </c>
      <c r="B39" s="2319" t="s">
        <v>1997</v>
      </c>
      <c r="C39" s="44">
        <v>300</v>
      </c>
      <c r="D39" s="754" t="s">
        <v>1997</v>
      </c>
      <c r="E39" s="82"/>
      <c r="F39" s="46">
        <v>300.02199999999999</v>
      </c>
      <c r="G39" s="755" t="s">
        <v>1997</v>
      </c>
      <c r="H39" s="755"/>
      <c r="I39" s="54">
        <f t="shared" si="0"/>
        <v>0</v>
      </c>
      <c r="J39" s="749">
        <v>85</v>
      </c>
      <c r="K39" s="750">
        <v>10</v>
      </c>
      <c r="L39" s="686" t="e">
        <f t="shared" ca="1" si="2"/>
        <v>#VALUE!</v>
      </c>
      <c r="M39" s="686">
        <v>200</v>
      </c>
      <c r="Q39" s="2347">
        <v>300</v>
      </c>
      <c r="R39" s="2319" t="s">
        <v>1997</v>
      </c>
      <c r="S39" s="44">
        <v>300</v>
      </c>
      <c r="T39" s="754" t="s">
        <v>1997</v>
      </c>
      <c r="U39" s="82"/>
      <c r="V39" s="46">
        <v>300.02199999999999</v>
      </c>
      <c r="W39" s="755" t="s">
        <v>1997</v>
      </c>
      <c r="X39" s="755"/>
      <c r="Y39" s="54">
        <f t="shared" si="1"/>
        <v>0</v>
      </c>
      <c r="AC39" s="2347">
        <v>300</v>
      </c>
      <c r="AD39" s="2319" t="s">
        <v>1997</v>
      </c>
      <c r="AE39" s="44">
        <v>300</v>
      </c>
      <c r="AF39" s="754" t="s">
        <v>1997</v>
      </c>
      <c r="AG39" s="82"/>
      <c r="AH39" s="46">
        <v>300.02199999999999</v>
      </c>
      <c r="AI39" s="755" t="s">
        <v>1997</v>
      </c>
      <c r="AJ39" s="755"/>
    </row>
    <row r="40" spans="1:36" outlineLevel="1">
      <c r="A40" s="2348"/>
      <c r="B40" s="1742"/>
      <c r="C40" s="44">
        <v>200</v>
      </c>
      <c r="D40" s="754" t="s">
        <v>1997</v>
      </c>
      <c r="E40" s="82"/>
      <c r="F40" s="46">
        <v>200.011</v>
      </c>
      <c r="G40" s="755" t="s">
        <v>1997</v>
      </c>
      <c r="H40" s="755"/>
      <c r="I40" s="54">
        <f t="shared" si="0"/>
        <v>0</v>
      </c>
      <c r="J40" s="749">
        <v>95</v>
      </c>
      <c r="K40" s="750">
        <v>20</v>
      </c>
      <c r="L40" s="686" t="e">
        <f t="shared" ca="1" si="2"/>
        <v>#VALUE!</v>
      </c>
      <c r="M40" s="686">
        <v>1000</v>
      </c>
      <c r="Q40" s="2348"/>
      <c r="R40" s="1742"/>
      <c r="S40" s="44">
        <v>200</v>
      </c>
      <c r="T40" s="754" t="s">
        <v>1997</v>
      </c>
      <c r="U40" s="82"/>
      <c r="V40" s="46">
        <v>200.011</v>
      </c>
      <c r="W40" s="755" t="s">
        <v>1997</v>
      </c>
      <c r="X40" s="755"/>
      <c r="Y40" s="54">
        <f t="shared" si="1"/>
        <v>0</v>
      </c>
      <c r="AC40" s="2348"/>
      <c r="AD40" s="1742"/>
      <c r="AE40" s="44">
        <v>200</v>
      </c>
      <c r="AF40" s="754" t="s">
        <v>1997</v>
      </c>
      <c r="AG40" s="82"/>
      <c r="AH40" s="46">
        <v>200.011</v>
      </c>
      <c r="AI40" s="755" t="s">
        <v>1997</v>
      </c>
      <c r="AJ40" s="755"/>
    </row>
    <row r="41" spans="1:36" outlineLevel="1">
      <c r="A41" s="2349"/>
      <c r="B41" s="1743"/>
      <c r="C41" s="44">
        <v>100</v>
      </c>
      <c r="D41" s="754" t="s">
        <v>1997</v>
      </c>
      <c r="E41" s="82"/>
      <c r="F41" s="46">
        <v>100.001</v>
      </c>
      <c r="G41" s="755" t="s">
        <v>1997</v>
      </c>
      <c r="H41" s="755"/>
      <c r="I41" s="54">
        <f t="shared" si="0"/>
        <v>0</v>
      </c>
      <c r="J41" s="749">
        <v>95</v>
      </c>
      <c r="K41" s="750">
        <v>20</v>
      </c>
      <c r="L41" s="686" t="e">
        <f t="shared" ca="1" si="2"/>
        <v>#VALUE!</v>
      </c>
      <c r="M41" s="686">
        <v>1000</v>
      </c>
      <c r="Q41" s="2349"/>
      <c r="R41" s="1743"/>
      <c r="S41" s="44">
        <v>100</v>
      </c>
      <c r="T41" s="754" t="s">
        <v>1997</v>
      </c>
      <c r="U41" s="82"/>
      <c r="V41" s="46">
        <v>100.001</v>
      </c>
      <c r="W41" s="755" t="s">
        <v>1997</v>
      </c>
      <c r="X41" s="755"/>
      <c r="Y41" s="54">
        <f t="shared" si="1"/>
        <v>0</v>
      </c>
      <c r="AC41" s="2349"/>
      <c r="AD41" s="1743"/>
      <c r="AE41" s="44">
        <v>100</v>
      </c>
      <c r="AF41" s="754" t="s">
        <v>1997</v>
      </c>
      <c r="AG41" s="82"/>
      <c r="AH41" s="46">
        <v>100.001</v>
      </c>
      <c r="AI41" s="755" t="s">
        <v>1997</v>
      </c>
      <c r="AJ41" s="755"/>
    </row>
    <row r="42" spans="1:36" outlineLevel="1">
      <c r="A42" s="2347">
        <v>1000</v>
      </c>
      <c r="B42" s="2319" t="s">
        <v>1997</v>
      </c>
      <c r="C42" s="55">
        <v>1000</v>
      </c>
      <c r="D42" s="754" t="s">
        <v>1997</v>
      </c>
      <c r="E42" s="82"/>
      <c r="F42" s="56">
        <v>1000.015</v>
      </c>
      <c r="G42" s="755" t="s">
        <v>1997</v>
      </c>
      <c r="H42" s="755"/>
      <c r="I42" s="57">
        <f t="shared" si="0"/>
        <v>0</v>
      </c>
      <c r="J42" s="749">
        <v>95</v>
      </c>
      <c r="K42" s="750">
        <v>20</v>
      </c>
      <c r="L42" s="686" t="e">
        <f t="shared" ca="1" si="2"/>
        <v>#VALUE!</v>
      </c>
      <c r="M42" s="686">
        <v>1000</v>
      </c>
      <c r="Q42" s="2347">
        <v>1000</v>
      </c>
      <c r="R42" s="2319" t="s">
        <v>1997</v>
      </c>
      <c r="S42" s="55">
        <v>1000</v>
      </c>
      <c r="T42" s="754" t="s">
        <v>1997</v>
      </c>
      <c r="U42" s="82"/>
      <c r="V42" s="56">
        <v>1000.015</v>
      </c>
      <c r="W42" s="755" t="s">
        <v>1997</v>
      </c>
      <c r="X42" s="755"/>
      <c r="Y42" s="57">
        <f t="shared" si="1"/>
        <v>0</v>
      </c>
      <c r="AC42" s="2347">
        <v>1000</v>
      </c>
      <c r="AD42" s="2319" t="s">
        <v>1997</v>
      </c>
      <c r="AE42" s="55">
        <v>1000</v>
      </c>
      <c r="AF42" s="754" t="s">
        <v>1997</v>
      </c>
      <c r="AG42" s="82"/>
      <c r="AH42" s="56">
        <v>1000.015</v>
      </c>
      <c r="AI42" s="755" t="s">
        <v>1997</v>
      </c>
      <c r="AJ42" s="755"/>
    </row>
    <row r="43" spans="1:36" outlineLevel="1">
      <c r="A43" s="2348"/>
      <c r="B43" s="1742"/>
      <c r="C43" s="55">
        <v>500</v>
      </c>
      <c r="D43" s="754" t="s">
        <v>1997</v>
      </c>
      <c r="E43" s="82"/>
      <c r="F43" s="56">
        <v>499.99200000000002</v>
      </c>
      <c r="G43" s="755" t="s">
        <v>1997</v>
      </c>
      <c r="H43" s="755"/>
      <c r="I43" s="57">
        <f t="shared" si="0"/>
        <v>0</v>
      </c>
      <c r="J43" s="749">
        <v>95</v>
      </c>
      <c r="K43" s="750">
        <v>20</v>
      </c>
      <c r="L43" s="686" t="e">
        <f t="shared" ca="1" si="2"/>
        <v>#VALUE!</v>
      </c>
      <c r="M43" s="686">
        <v>1000</v>
      </c>
      <c r="Q43" s="2348"/>
      <c r="R43" s="1742"/>
      <c r="S43" s="55">
        <v>500</v>
      </c>
      <c r="T43" s="754" t="s">
        <v>1997</v>
      </c>
      <c r="U43" s="82"/>
      <c r="V43" s="56">
        <v>499.99200000000002</v>
      </c>
      <c r="W43" s="755" t="s">
        <v>1997</v>
      </c>
      <c r="X43" s="755"/>
      <c r="Y43" s="57">
        <f t="shared" si="1"/>
        <v>0</v>
      </c>
      <c r="AC43" s="2348"/>
      <c r="AD43" s="1742"/>
      <c r="AE43" s="55">
        <v>500</v>
      </c>
      <c r="AF43" s="754" t="s">
        <v>1997</v>
      </c>
      <c r="AG43" s="82"/>
      <c r="AH43" s="56">
        <v>499.99200000000002</v>
      </c>
      <c r="AI43" s="755" t="s">
        <v>1997</v>
      </c>
      <c r="AJ43" s="755"/>
    </row>
    <row r="44" spans="1:36" outlineLevel="1">
      <c r="A44" s="2349"/>
      <c r="B44" s="1743"/>
      <c r="C44" s="55">
        <v>100</v>
      </c>
      <c r="D44" s="754" t="s">
        <v>1997</v>
      </c>
      <c r="E44" s="82"/>
      <c r="F44" s="56">
        <v>99.99</v>
      </c>
      <c r="G44" s="755" t="s">
        <v>1997</v>
      </c>
      <c r="H44" s="755"/>
      <c r="I44" s="57">
        <f t="shared" si="0"/>
        <v>0</v>
      </c>
      <c r="J44" s="749">
        <v>95</v>
      </c>
      <c r="K44" s="750">
        <v>20</v>
      </c>
      <c r="L44" s="686" t="e">
        <f t="shared" ca="1" si="2"/>
        <v>#VALUE!</v>
      </c>
      <c r="M44" s="686">
        <v>1000</v>
      </c>
      <c r="Q44" s="2349"/>
      <c r="R44" s="1743"/>
      <c r="S44" s="55">
        <v>100</v>
      </c>
      <c r="T44" s="754" t="s">
        <v>1997</v>
      </c>
      <c r="U44" s="82"/>
      <c r="V44" s="56">
        <v>99.99</v>
      </c>
      <c r="W44" s="755" t="s">
        <v>1997</v>
      </c>
      <c r="X44" s="755"/>
      <c r="Y44" s="57">
        <f t="shared" si="1"/>
        <v>0</v>
      </c>
      <c r="AC44" s="2349"/>
      <c r="AD44" s="1743"/>
      <c r="AE44" s="55">
        <v>100</v>
      </c>
      <c r="AF44" s="754" t="s">
        <v>1997</v>
      </c>
      <c r="AG44" s="82"/>
      <c r="AH44" s="56">
        <v>99.99</v>
      </c>
      <c r="AI44" s="755" t="s">
        <v>1997</v>
      </c>
      <c r="AJ44" s="755"/>
    </row>
    <row r="45" spans="1:36" outlineLevel="1">
      <c r="J45" s="361">
        <v>95</v>
      </c>
      <c r="K45" s="362">
        <v>20</v>
      </c>
      <c r="L45" s="2">
        <f t="shared" ca="1" si="2"/>
        <v>0.5</v>
      </c>
      <c r="M45" s="2">
        <v>1000</v>
      </c>
    </row>
    <row r="46" spans="1:36" outlineLevel="1"/>
    <row r="47" spans="1:36" outlineLevel="1">
      <c r="A47" s="702"/>
    </row>
    <row r="48" spans="1:36" outlineLevel="1">
      <c r="B48" s="744"/>
    </row>
  </sheetData>
  <mergeCells count="54">
    <mergeCell ref="A39:A41"/>
    <mergeCell ref="B39:B41"/>
    <mergeCell ref="A42:A44"/>
    <mergeCell ref="B42:B44"/>
    <mergeCell ref="B31:B32"/>
    <mergeCell ref="A33:A35"/>
    <mergeCell ref="B33:B35"/>
    <mergeCell ref="A21:A30"/>
    <mergeCell ref="B21:B30"/>
    <mergeCell ref="A31:A32"/>
    <mergeCell ref="A36:A38"/>
    <mergeCell ref="B36:B38"/>
    <mergeCell ref="F19:G20"/>
    <mergeCell ref="J19:K20"/>
    <mergeCell ref="L19:L20"/>
    <mergeCell ref="M19:M20"/>
    <mergeCell ref="H19:H20"/>
    <mergeCell ref="A1:E1"/>
    <mergeCell ref="A2:C2"/>
    <mergeCell ref="A17:D17"/>
    <mergeCell ref="A19:B20"/>
    <mergeCell ref="C19:D20"/>
    <mergeCell ref="AH19:AI20"/>
    <mergeCell ref="AJ19:AJ20"/>
    <mergeCell ref="Q21:Q30"/>
    <mergeCell ref="R21:R30"/>
    <mergeCell ref="AC21:AC30"/>
    <mergeCell ref="AD21:AD30"/>
    <mergeCell ref="Q19:R20"/>
    <mergeCell ref="S19:T20"/>
    <mergeCell ref="V19:W20"/>
    <mergeCell ref="X19:X20"/>
    <mergeCell ref="AC19:AD20"/>
    <mergeCell ref="AE19:AF20"/>
    <mergeCell ref="Q31:Q32"/>
    <mergeCell ref="R31:R32"/>
    <mergeCell ref="AC31:AC32"/>
    <mergeCell ref="AD31:AD32"/>
    <mergeCell ref="Q33:Q35"/>
    <mergeCell ref="R33:R35"/>
    <mergeCell ref="AC33:AC35"/>
    <mergeCell ref="AD33:AD35"/>
    <mergeCell ref="Q42:Q44"/>
    <mergeCell ref="R42:R44"/>
    <mergeCell ref="AC42:AC44"/>
    <mergeCell ref="AD42:AD44"/>
    <mergeCell ref="Q36:Q38"/>
    <mergeCell ref="R36:R38"/>
    <mergeCell ref="AC36:AC38"/>
    <mergeCell ref="AD36:AD38"/>
    <mergeCell ref="Q39:Q41"/>
    <mergeCell ref="R39:R41"/>
    <mergeCell ref="AC39:AC41"/>
    <mergeCell ref="AD39:AD41"/>
  </mergeCells>
  <phoneticPr fontId="25" type="noConversion"/>
  <pageMargins left="0.75" right="0.75" top="1" bottom="1" header="0.5" footer="0.5"/>
  <drawing r:id="rId1"/>
  <legacyDrawing r:id="rId2"/>
</worksheet>
</file>

<file path=xl/worksheets/sheet23.xml><?xml version="1.0" encoding="utf-8"?>
<worksheet xmlns="http://schemas.openxmlformats.org/spreadsheetml/2006/main" xmlns:r="http://schemas.openxmlformats.org/officeDocument/2006/relationships">
  <dimension ref="A1:AN122"/>
  <sheetViews>
    <sheetView topLeftCell="A85" workbookViewId="0">
      <selection activeCell="B59" sqref="B59"/>
    </sheetView>
  </sheetViews>
  <sheetFormatPr defaultRowHeight="14.25" outlineLevelRow="1"/>
  <cols>
    <col min="1" max="1" width="19.75" customWidth="1"/>
    <col min="3" max="3" width="28.25" customWidth="1"/>
    <col min="4" max="4" width="19.375" customWidth="1"/>
    <col min="12" max="12" width="15.125" customWidth="1"/>
  </cols>
  <sheetData>
    <row r="1" spans="1:4">
      <c r="A1" s="2477" t="s">
        <v>3429</v>
      </c>
      <c r="B1" s="2478"/>
      <c r="C1" s="2478"/>
    </row>
    <row r="3" spans="1:4" outlineLevel="1">
      <c r="A3" s="2434" t="s">
        <v>1999</v>
      </c>
      <c r="B3" s="2298"/>
      <c r="C3" s="2298"/>
      <c r="D3" s="2"/>
    </row>
    <row r="4" spans="1:4" ht="18.75" outlineLevel="1">
      <c r="A4" s="699" t="s">
        <v>1920</v>
      </c>
      <c r="B4" s="6" t="s">
        <v>69</v>
      </c>
      <c r="C4" s="6" t="s">
        <v>70</v>
      </c>
      <c r="D4" s="700" t="s">
        <v>2000</v>
      </c>
    </row>
    <row r="5" spans="1:4" outlineLevel="1">
      <c r="A5" s="698" t="s">
        <v>2001</v>
      </c>
      <c r="B5" s="6" t="s">
        <v>72</v>
      </c>
      <c r="C5" s="6" t="s">
        <v>72</v>
      </c>
      <c r="D5" s="700" t="s">
        <v>2002</v>
      </c>
    </row>
    <row r="6" spans="1:4" outlineLevel="1">
      <c r="A6" s="731" t="s">
        <v>2003</v>
      </c>
      <c r="B6" s="6" t="s">
        <v>72</v>
      </c>
      <c r="C6" s="6" t="s">
        <v>72</v>
      </c>
      <c r="D6" s="700" t="s">
        <v>2002</v>
      </c>
    </row>
    <row r="7" spans="1:4" outlineLevel="1">
      <c r="A7" s="698" t="s">
        <v>3430</v>
      </c>
      <c r="B7" s="6" t="s">
        <v>72</v>
      </c>
      <c r="C7" s="6" t="s">
        <v>2004</v>
      </c>
      <c r="D7" s="700" t="s">
        <v>2005</v>
      </c>
    </row>
    <row r="8" spans="1:4" outlineLevel="1">
      <c r="A8" s="698" t="s">
        <v>2006</v>
      </c>
      <c r="B8" s="6" t="s">
        <v>72</v>
      </c>
      <c r="C8" s="6" t="s">
        <v>2004</v>
      </c>
      <c r="D8" s="756" t="s">
        <v>2007</v>
      </c>
    </row>
    <row r="9" spans="1:4" outlineLevel="1">
      <c r="A9" s="698" t="s">
        <v>2008</v>
      </c>
      <c r="B9" s="6" t="s">
        <v>72</v>
      </c>
      <c r="C9" s="6" t="s">
        <v>2004</v>
      </c>
      <c r="D9" s="700" t="s">
        <v>2002</v>
      </c>
    </row>
    <row r="10" spans="1:4" outlineLevel="1">
      <c r="A10" s="698" t="s">
        <v>2009</v>
      </c>
      <c r="B10" s="6" t="s">
        <v>72</v>
      </c>
      <c r="C10" s="6" t="s">
        <v>2004</v>
      </c>
      <c r="D10" s="700" t="s">
        <v>2002</v>
      </c>
    </row>
    <row r="11" spans="1:4" outlineLevel="1">
      <c r="A11" s="698" t="s">
        <v>2010</v>
      </c>
      <c r="B11" s="6" t="s">
        <v>72</v>
      </c>
      <c r="C11" s="6" t="s">
        <v>2004</v>
      </c>
      <c r="D11" s="700" t="s">
        <v>2002</v>
      </c>
    </row>
    <row r="12" spans="1:4" outlineLevel="1">
      <c r="A12" s="698" t="s">
        <v>2011</v>
      </c>
      <c r="B12" s="6" t="s">
        <v>72</v>
      </c>
      <c r="C12" s="6" t="s">
        <v>2004</v>
      </c>
      <c r="D12" s="700" t="s">
        <v>2002</v>
      </c>
    </row>
    <row r="13" spans="1:4" outlineLevel="1">
      <c r="A13" s="698"/>
      <c r="B13" s="6"/>
      <c r="C13" s="6"/>
      <c r="D13" s="2"/>
    </row>
    <row r="14" spans="1:4" outlineLevel="1">
      <c r="A14" s="6"/>
      <c r="B14" s="6"/>
      <c r="C14" s="6"/>
      <c r="D14" s="2"/>
    </row>
    <row r="15" spans="1:4" outlineLevel="1">
      <c r="A15" s="6"/>
      <c r="B15" s="6"/>
      <c r="C15" s="6"/>
      <c r="D15" s="2"/>
    </row>
    <row r="16" spans="1:4" outlineLevel="1">
      <c r="A16" s="6"/>
      <c r="B16" s="6"/>
      <c r="C16" s="6"/>
      <c r="D16" s="2"/>
    </row>
    <row r="17" spans="1:40" outlineLevel="1">
      <c r="A17" t="s">
        <v>73</v>
      </c>
    </row>
    <row r="20" spans="1:40">
      <c r="A20" s="2435" t="s">
        <v>2012</v>
      </c>
      <c r="B20" s="2436"/>
      <c r="C20" s="2436"/>
      <c r="D20" s="2436"/>
    </row>
    <row r="22" spans="1:40" outlineLevel="1">
      <c r="A22" s="1361" t="s">
        <v>3428</v>
      </c>
      <c r="B22" s="674"/>
      <c r="C22" s="674"/>
      <c r="D22" s="674"/>
      <c r="E22" s="674"/>
      <c r="F22" s="674"/>
      <c r="G22" s="674"/>
      <c r="H22" s="674"/>
      <c r="I22" s="674"/>
      <c r="J22" s="674"/>
      <c r="K22" s="674"/>
      <c r="L22" s="674"/>
      <c r="U22" s="703" t="s">
        <v>2013</v>
      </c>
      <c r="AG22" s="703" t="s">
        <v>2014</v>
      </c>
    </row>
    <row r="23" spans="1:40" ht="14.25" customHeight="1" outlineLevel="1">
      <c r="A23" s="2394" t="s">
        <v>2015</v>
      </c>
      <c r="B23" s="2302"/>
      <c r="C23" s="2479" t="s">
        <v>2016</v>
      </c>
      <c r="D23" s="2394" t="s">
        <v>2017</v>
      </c>
      <c r="E23" s="2302"/>
      <c r="F23" s="2395" t="s">
        <v>2018</v>
      </c>
      <c r="G23" s="2397" t="s">
        <v>2019</v>
      </c>
      <c r="H23" s="2473"/>
      <c r="I23" s="2467" t="s">
        <v>2020</v>
      </c>
      <c r="J23" s="2468"/>
      <c r="K23" s="2471" t="s">
        <v>2021</v>
      </c>
      <c r="L23" s="745" t="s">
        <v>2022</v>
      </c>
      <c r="M23" s="2465" t="s">
        <v>2023</v>
      </c>
      <c r="N23" s="2465"/>
      <c r="O23" s="2475" t="s">
        <v>2024</v>
      </c>
      <c r="P23" s="2466" t="s">
        <v>2025</v>
      </c>
      <c r="Q23" s="2466" t="s">
        <v>2015</v>
      </c>
      <c r="U23" s="2394" t="s">
        <v>2015</v>
      </c>
      <c r="V23" s="2302"/>
      <c r="W23" s="2394" t="s">
        <v>2017</v>
      </c>
      <c r="X23" s="2302"/>
      <c r="Y23" s="2395" t="s">
        <v>2018</v>
      </c>
      <c r="Z23" s="2467" t="s">
        <v>2020</v>
      </c>
      <c r="AA23" s="2468"/>
      <c r="AB23" s="2471" t="s">
        <v>2021</v>
      </c>
      <c r="AC23" s="745" t="s">
        <v>1874</v>
      </c>
      <c r="AG23" s="2394" t="s">
        <v>2015</v>
      </c>
      <c r="AH23" s="2302"/>
      <c r="AI23" s="2394" t="s">
        <v>2017</v>
      </c>
      <c r="AJ23" s="2302"/>
      <c r="AK23" s="2395" t="s">
        <v>2018</v>
      </c>
      <c r="AL23" s="2467" t="s">
        <v>2020</v>
      </c>
      <c r="AM23" s="2468"/>
      <c r="AN23" s="2471" t="s">
        <v>2021</v>
      </c>
    </row>
    <row r="24" spans="1:40" outlineLevel="1">
      <c r="A24" s="2303"/>
      <c r="B24" s="2304"/>
      <c r="C24" s="2480"/>
      <c r="D24" s="2303"/>
      <c r="E24" s="2304"/>
      <c r="F24" s="2396"/>
      <c r="G24" s="2398"/>
      <c r="H24" s="2474"/>
      <c r="I24" s="2469"/>
      <c r="J24" s="2470"/>
      <c r="K24" s="2472"/>
      <c r="L24" s="745" t="s">
        <v>1877</v>
      </c>
      <c r="M24" s="2465"/>
      <c r="N24" s="2465"/>
      <c r="O24" s="2476"/>
      <c r="P24" s="2466"/>
      <c r="Q24" s="2466"/>
      <c r="U24" s="2303"/>
      <c r="V24" s="2304"/>
      <c r="W24" s="2303"/>
      <c r="X24" s="2304"/>
      <c r="Y24" s="2396"/>
      <c r="Z24" s="2469"/>
      <c r="AA24" s="2470"/>
      <c r="AB24" s="2472"/>
      <c r="AC24" s="745" t="s">
        <v>1877</v>
      </c>
      <c r="AG24" s="2303"/>
      <c r="AH24" s="2304"/>
      <c r="AI24" s="2303"/>
      <c r="AJ24" s="2304"/>
      <c r="AK24" s="2396"/>
      <c r="AL24" s="2469"/>
      <c r="AM24" s="2470"/>
      <c r="AN24" s="2472"/>
    </row>
    <row r="25" spans="1:40" outlineLevel="1">
      <c r="A25" s="2312">
        <v>1</v>
      </c>
      <c r="B25" s="2335" t="s">
        <v>2026</v>
      </c>
      <c r="C25" s="759" t="s">
        <v>2027</v>
      </c>
      <c r="D25" s="86">
        <v>1</v>
      </c>
      <c r="E25" s="760" t="s">
        <v>2026</v>
      </c>
      <c r="F25" s="761"/>
      <c r="G25" s="87">
        <v>1.4999359999999999</v>
      </c>
      <c r="H25" s="88" t="s">
        <v>2028</v>
      </c>
      <c r="I25" s="89">
        <f>G25/1.5</f>
        <v>0.99995733333333325</v>
      </c>
      <c r="J25" s="90" t="s">
        <v>2026</v>
      </c>
      <c r="K25" s="90"/>
      <c r="L25" s="762" t="e">
        <f ca="1">((P25/1.732)^2+((M25/1000000*ABS(I25)+N25/1000000*Q25)/2)^2+(O25/2)^2)^0.5*2</f>
        <v>#VALUE!</v>
      </c>
      <c r="M25" s="686">
        <v>85</v>
      </c>
      <c r="N25" s="686">
        <v>10</v>
      </c>
      <c r="O25" s="686">
        <v>5.0000000000000002E-5</v>
      </c>
      <c r="P25" s="686" t="e">
        <f ca="1">10^(-IF(CELL("format",J25)="G",0,VALUE(REPLACE(CELL("format",J25),1,1,))))/2</f>
        <v>#VALUE!</v>
      </c>
      <c r="Q25" s="686">
        <v>2</v>
      </c>
      <c r="U25" s="2312">
        <v>1</v>
      </c>
      <c r="V25" s="2335" t="s">
        <v>2026</v>
      </c>
      <c r="W25" s="86">
        <v>1</v>
      </c>
      <c r="X25" s="760" t="s">
        <v>2026</v>
      </c>
      <c r="Y25" s="761"/>
      <c r="Z25" s="89" t="e">
        <f>#REF!/1.5</f>
        <v>#REF!</v>
      </c>
      <c r="AA25" s="90" t="s">
        <v>2026</v>
      </c>
      <c r="AB25" s="90"/>
      <c r="AC25" s="762" t="e">
        <f>((AG25/1.732)^2+((AD25/1000000*ABS(Z25)+AE25/1000000*AH25)/2)^2+(AF25/2)^2)^0.5*2</f>
        <v>#REF!</v>
      </c>
      <c r="AG25" s="2312">
        <v>1</v>
      </c>
      <c r="AH25" s="2335" t="s">
        <v>2026</v>
      </c>
      <c r="AI25" s="86">
        <v>1</v>
      </c>
      <c r="AJ25" s="760" t="s">
        <v>2026</v>
      </c>
      <c r="AK25" s="761"/>
      <c r="AL25" s="89" t="e">
        <f>#REF!/1.5</f>
        <v>#REF!</v>
      </c>
      <c r="AM25" s="90" t="s">
        <v>2026</v>
      </c>
      <c r="AN25" s="90"/>
    </row>
    <row r="26" spans="1:40" outlineLevel="1">
      <c r="A26" s="2313"/>
      <c r="B26" s="2315"/>
      <c r="C26" s="759" t="s">
        <v>2027</v>
      </c>
      <c r="D26" s="86">
        <v>0.9</v>
      </c>
      <c r="E26" s="760" t="s">
        <v>2026</v>
      </c>
      <c r="F26" s="761"/>
      <c r="G26" s="87">
        <v>1.3500300000000001</v>
      </c>
      <c r="H26" s="88" t="s">
        <v>2028</v>
      </c>
      <c r="I26" s="89">
        <f t="shared" ref="I26:I34" si="0">G26/1.5</f>
        <v>0.90002000000000004</v>
      </c>
      <c r="J26" s="90" t="s">
        <v>2026</v>
      </c>
      <c r="K26" s="90"/>
      <c r="L26" s="762" t="e">
        <f t="shared" ref="L26:L34" ca="1" si="1">((P26/1.732)^2+((M26/1000000*ABS(I26)+N26/1000000*Q26)/2)^2+(O26/2)^2)^0.5*2</f>
        <v>#VALUE!</v>
      </c>
      <c r="M26" s="686">
        <v>85</v>
      </c>
      <c r="N26" s="686">
        <v>10</v>
      </c>
      <c r="O26" s="686">
        <v>5.0000000000000002E-5</v>
      </c>
      <c r="P26" s="686" t="e">
        <f t="shared" ref="P26:P52" ca="1" si="2">10^(-IF(CELL("format",J26)="G",0,VALUE(REPLACE(CELL("format",J26),1,1,))))/2</f>
        <v>#VALUE!</v>
      </c>
      <c r="Q26" s="686">
        <v>2</v>
      </c>
      <c r="U26" s="2313"/>
      <c r="V26" s="2315"/>
      <c r="W26" s="86">
        <v>0.9</v>
      </c>
      <c r="X26" s="760" t="s">
        <v>2026</v>
      </c>
      <c r="Y26" s="761"/>
      <c r="Z26" s="89" t="e">
        <f>#REF!/1.5</f>
        <v>#REF!</v>
      </c>
      <c r="AA26" s="90" t="s">
        <v>2026</v>
      </c>
      <c r="AB26" s="90"/>
      <c r="AC26" s="762" t="e">
        <f t="shared" ref="AC26:AC34" si="3">((AG26/1.732)^2+((AD26/1000000*ABS(Z26)+AE26/1000000*AH26)/2)^2+(AF26/2)^2)^0.5*2</f>
        <v>#REF!</v>
      </c>
      <c r="AG26" s="2313"/>
      <c r="AH26" s="2315"/>
      <c r="AI26" s="86">
        <v>0.9</v>
      </c>
      <c r="AJ26" s="760" t="s">
        <v>2026</v>
      </c>
      <c r="AK26" s="761"/>
      <c r="AL26" s="89" t="e">
        <f>#REF!/1.5</f>
        <v>#REF!</v>
      </c>
      <c r="AM26" s="90" t="s">
        <v>2026</v>
      </c>
      <c r="AN26" s="90"/>
    </row>
    <row r="27" spans="1:40" outlineLevel="1">
      <c r="A27" s="2313"/>
      <c r="B27" s="2315"/>
      <c r="C27" s="759" t="s">
        <v>2027</v>
      </c>
      <c r="D27" s="86">
        <v>0.8</v>
      </c>
      <c r="E27" s="760" t="s">
        <v>2026</v>
      </c>
      <c r="F27" s="761"/>
      <c r="G27" s="87">
        <v>1.200108</v>
      </c>
      <c r="H27" s="88" t="s">
        <v>2028</v>
      </c>
      <c r="I27" s="89">
        <f t="shared" si="0"/>
        <v>0.80007200000000001</v>
      </c>
      <c r="J27" s="90" t="s">
        <v>2026</v>
      </c>
      <c r="K27" s="90"/>
      <c r="L27" s="762" t="e">
        <f t="shared" ca="1" si="1"/>
        <v>#VALUE!</v>
      </c>
      <c r="M27" s="686">
        <v>85</v>
      </c>
      <c r="N27" s="686">
        <v>10</v>
      </c>
      <c r="O27" s="686">
        <v>5.0000000000000002E-5</v>
      </c>
      <c r="P27" s="686" t="e">
        <f t="shared" ca="1" si="2"/>
        <v>#VALUE!</v>
      </c>
      <c r="Q27" s="686">
        <v>2</v>
      </c>
      <c r="U27" s="2313"/>
      <c r="V27" s="2315"/>
      <c r="W27" s="86">
        <v>0.8</v>
      </c>
      <c r="X27" s="760" t="s">
        <v>2026</v>
      </c>
      <c r="Y27" s="761"/>
      <c r="Z27" s="89" t="e">
        <f>#REF!/1.5</f>
        <v>#REF!</v>
      </c>
      <c r="AA27" s="90" t="s">
        <v>2026</v>
      </c>
      <c r="AB27" s="90"/>
      <c r="AC27" s="762" t="e">
        <f t="shared" si="3"/>
        <v>#REF!</v>
      </c>
      <c r="AG27" s="2313"/>
      <c r="AH27" s="2315"/>
      <c r="AI27" s="86">
        <v>0.8</v>
      </c>
      <c r="AJ27" s="760" t="s">
        <v>2026</v>
      </c>
      <c r="AK27" s="761"/>
      <c r="AL27" s="89" t="e">
        <f>#REF!/1.5</f>
        <v>#REF!</v>
      </c>
      <c r="AM27" s="90" t="s">
        <v>2026</v>
      </c>
      <c r="AN27" s="90"/>
    </row>
    <row r="28" spans="1:40" outlineLevel="1">
      <c r="A28" s="2313"/>
      <c r="B28" s="2315"/>
      <c r="C28" s="759" t="s">
        <v>2027</v>
      </c>
      <c r="D28" s="86">
        <v>0.7</v>
      </c>
      <c r="E28" s="760" t="s">
        <v>2026</v>
      </c>
      <c r="F28" s="761"/>
      <c r="G28" s="87">
        <v>1.0500750000000001</v>
      </c>
      <c r="H28" s="88" t="s">
        <v>2028</v>
      </c>
      <c r="I28" s="89">
        <f t="shared" si="0"/>
        <v>0.70005000000000006</v>
      </c>
      <c r="J28" s="90" t="s">
        <v>2026</v>
      </c>
      <c r="K28" s="90"/>
      <c r="L28" s="762" t="e">
        <f t="shared" ca="1" si="1"/>
        <v>#VALUE!</v>
      </c>
      <c r="M28" s="686">
        <v>85</v>
      </c>
      <c r="N28" s="686">
        <v>10</v>
      </c>
      <c r="O28" s="686">
        <v>5.0000000000000002E-5</v>
      </c>
      <c r="P28" s="686" t="e">
        <f t="shared" ca="1" si="2"/>
        <v>#VALUE!</v>
      </c>
      <c r="Q28" s="686">
        <v>2</v>
      </c>
      <c r="U28" s="2313"/>
      <c r="V28" s="2315"/>
      <c r="W28" s="86">
        <v>0.7</v>
      </c>
      <c r="X28" s="760" t="s">
        <v>2026</v>
      </c>
      <c r="Y28" s="761"/>
      <c r="Z28" s="89" t="e">
        <f>#REF!/1.5</f>
        <v>#REF!</v>
      </c>
      <c r="AA28" s="90" t="s">
        <v>2026</v>
      </c>
      <c r="AB28" s="90"/>
      <c r="AC28" s="762" t="e">
        <f t="shared" si="3"/>
        <v>#REF!</v>
      </c>
      <c r="AG28" s="2313"/>
      <c r="AH28" s="2315"/>
      <c r="AI28" s="86">
        <v>0.7</v>
      </c>
      <c r="AJ28" s="760" t="s">
        <v>2026</v>
      </c>
      <c r="AK28" s="761"/>
      <c r="AL28" s="89" t="e">
        <f>#REF!/1.5</f>
        <v>#REF!</v>
      </c>
      <c r="AM28" s="90" t="s">
        <v>2026</v>
      </c>
      <c r="AN28" s="90"/>
    </row>
    <row r="29" spans="1:40" outlineLevel="1">
      <c r="A29" s="2313"/>
      <c r="B29" s="2315"/>
      <c r="C29" s="759" t="s">
        <v>2027</v>
      </c>
      <c r="D29" s="86">
        <v>0.6</v>
      </c>
      <c r="E29" s="760" t="s">
        <v>2026</v>
      </c>
      <c r="F29" s="761"/>
      <c r="G29" s="87">
        <v>0.90007999999999999</v>
      </c>
      <c r="H29" s="88" t="s">
        <v>2028</v>
      </c>
      <c r="I29" s="89">
        <f t="shared" si="0"/>
        <v>0.60005333333333333</v>
      </c>
      <c r="J29" s="90" t="s">
        <v>2026</v>
      </c>
      <c r="K29" s="90"/>
      <c r="L29" s="762" t="e">
        <f t="shared" ca="1" si="1"/>
        <v>#VALUE!</v>
      </c>
      <c r="M29" s="686">
        <v>85</v>
      </c>
      <c r="N29" s="686">
        <v>10</v>
      </c>
      <c r="O29" s="686">
        <v>5.0000000000000002E-5</v>
      </c>
      <c r="P29" s="686" t="e">
        <f t="shared" ca="1" si="2"/>
        <v>#VALUE!</v>
      </c>
      <c r="Q29" s="686">
        <v>2</v>
      </c>
      <c r="U29" s="2313"/>
      <c r="V29" s="2315"/>
      <c r="W29" s="86">
        <v>0.6</v>
      </c>
      <c r="X29" s="760" t="s">
        <v>2026</v>
      </c>
      <c r="Y29" s="761"/>
      <c r="Z29" s="89" t="e">
        <f>#REF!/1.5</f>
        <v>#REF!</v>
      </c>
      <c r="AA29" s="90" t="s">
        <v>2026</v>
      </c>
      <c r="AB29" s="90"/>
      <c r="AC29" s="762" t="e">
        <f t="shared" si="3"/>
        <v>#REF!</v>
      </c>
      <c r="AG29" s="2313"/>
      <c r="AH29" s="2315"/>
      <c r="AI29" s="86">
        <v>0.6</v>
      </c>
      <c r="AJ29" s="760" t="s">
        <v>2026</v>
      </c>
      <c r="AK29" s="761"/>
      <c r="AL29" s="89" t="e">
        <f>#REF!/1.5</f>
        <v>#REF!</v>
      </c>
      <c r="AM29" s="90" t="s">
        <v>2026</v>
      </c>
      <c r="AN29" s="90"/>
    </row>
    <row r="30" spans="1:40" outlineLevel="1">
      <c r="A30" s="2313"/>
      <c r="B30" s="2315"/>
      <c r="C30" s="759" t="s">
        <v>2027</v>
      </c>
      <c r="D30" s="86">
        <v>0.5</v>
      </c>
      <c r="E30" s="760" t="s">
        <v>2026</v>
      </c>
      <c r="F30" s="761"/>
      <c r="G30" s="87">
        <v>0.75010699999999997</v>
      </c>
      <c r="H30" s="88" t="s">
        <v>2028</v>
      </c>
      <c r="I30" s="89">
        <f t="shared" si="0"/>
        <v>0.50007133333333331</v>
      </c>
      <c r="J30" s="90" t="s">
        <v>2026</v>
      </c>
      <c r="K30" s="90"/>
      <c r="L30" s="762" t="e">
        <f t="shared" ca="1" si="1"/>
        <v>#VALUE!</v>
      </c>
      <c r="M30" s="686">
        <v>85</v>
      </c>
      <c r="N30" s="686">
        <v>10</v>
      </c>
      <c r="O30" s="686">
        <v>5.0000000000000002E-5</v>
      </c>
      <c r="P30" s="686" t="e">
        <f t="shared" ca="1" si="2"/>
        <v>#VALUE!</v>
      </c>
      <c r="Q30" s="686">
        <v>2</v>
      </c>
      <c r="U30" s="2313"/>
      <c r="V30" s="2315"/>
      <c r="W30" s="86">
        <v>0.5</v>
      </c>
      <c r="X30" s="760" t="s">
        <v>2026</v>
      </c>
      <c r="Y30" s="761"/>
      <c r="Z30" s="89" t="e">
        <f>#REF!/1.5</f>
        <v>#REF!</v>
      </c>
      <c r="AA30" s="90" t="s">
        <v>2026</v>
      </c>
      <c r="AB30" s="90"/>
      <c r="AC30" s="762" t="e">
        <f t="shared" si="3"/>
        <v>#REF!</v>
      </c>
      <c r="AG30" s="2313"/>
      <c r="AH30" s="2315"/>
      <c r="AI30" s="86">
        <v>0.5</v>
      </c>
      <c r="AJ30" s="760" t="s">
        <v>2026</v>
      </c>
      <c r="AK30" s="761"/>
      <c r="AL30" s="89" t="e">
        <f>#REF!/1.5</f>
        <v>#REF!</v>
      </c>
      <c r="AM30" s="90" t="s">
        <v>2026</v>
      </c>
      <c r="AN30" s="90"/>
    </row>
    <row r="31" spans="1:40" outlineLevel="1">
      <c r="A31" s="2313"/>
      <c r="B31" s="2315"/>
      <c r="C31" s="759" t="s">
        <v>2027</v>
      </c>
      <c r="D31" s="86">
        <v>0.4</v>
      </c>
      <c r="E31" s="760" t="s">
        <v>2026</v>
      </c>
      <c r="F31" s="761"/>
      <c r="G31" s="87">
        <v>0.60002900000000003</v>
      </c>
      <c r="H31" s="88" t="s">
        <v>2028</v>
      </c>
      <c r="I31" s="89">
        <f t="shared" si="0"/>
        <v>0.40001933333333334</v>
      </c>
      <c r="J31" s="90" t="s">
        <v>2026</v>
      </c>
      <c r="K31" s="90"/>
      <c r="L31" s="762" t="e">
        <f t="shared" ca="1" si="1"/>
        <v>#VALUE!</v>
      </c>
      <c r="M31" s="686">
        <v>85</v>
      </c>
      <c r="N31" s="686">
        <v>10</v>
      </c>
      <c r="O31" s="686">
        <v>5.0000000000000002E-5</v>
      </c>
      <c r="P31" s="686" t="e">
        <f t="shared" ca="1" si="2"/>
        <v>#VALUE!</v>
      </c>
      <c r="Q31" s="686">
        <v>2</v>
      </c>
      <c r="U31" s="2313"/>
      <c r="V31" s="2315"/>
      <c r="W31" s="86">
        <v>0.4</v>
      </c>
      <c r="X31" s="760" t="s">
        <v>2026</v>
      </c>
      <c r="Y31" s="761"/>
      <c r="Z31" s="89" t="e">
        <f>#REF!/1.5</f>
        <v>#REF!</v>
      </c>
      <c r="AA31" s="90" t="s">
        <v>2026</v>
      </c>
      <c r="AB31" s="90"/>
      <c r="AC31" s="762" t="e">
        <f t="shared" si="3"/>
        <v>#REF!</v>
      </c>
      <c r="AG31" s="2313"/>
      <c r="AH31" s="2315"/>
      <c r="AI31" s="86">
        <v>0.4</v>
      </c>
      <c r="AJ31" s="760" t="s">
        <v>2026</v>
      </c>
      <c r="AK31" s="761"/>
      <c r="AL31" s="89" t="e">
        <f>#REF!/1.5</f>
        <v>#REF!</v>
      </c>
      <c r="AM31" s="90" t="s">
        <v>2026</v>
      </c>
      <c r="AN31" s="90"/>
    </row>
    <row r="32" spans="1:40" outlineLevel="1">
      <c r="A32" s="2313"/>
      <c r="B32" s="2315"/>
      <c r="C32" s="759" t="s">
        <v>2027</v>
      </c>
      <c r="D32" s="86">
        <v>0.3</v>
      </c>
      <c r="E32" s="760" t="s">
        <v>2026</v>
      </c>
      <c r="F32" s="761"/>
      <c r="G32" s="87">
        <v>0.449992</v>
      </c>
      <c r="H32" s="88" t="s">
        <v>2028</v>
      </c>
      <c r="I32" s="89">
        <f t="shared" si="0"/>
        <v>0.29999466666666669</v>
      </c>
      <c r="J32" s="90" t="s">
        <v>2026</v>
      </c>
      <c r="K32" s="90"/>
      <c r="L32" s="762" t="e">
        <f t="shared" ca="1" si="1"/>
        <v>#VALUE!</v>
      </c>
      <c r="M32" s="686">
        <v>85</v>
      </c>
      <c r="N32" s="686">
        <v>10</v>
      </c>
      <c r="O32" s="686">
        <v>5.0000000000000002E-5</v>
      </c>
      <c r="P32" s="686" t="e">
        <f t="shared" ca="1" si="2"/>
        <v>#VALUE!</v>
      </c>
      <c r="Q32" s="686">
        <v>2</v>
      </c>
      <c r="U32" s="2313"/>
      <c r="V32" s="2315"/>
      <c r="W32" s="86">
        <v>0.3</v>
      </c>
      <c r="X32" s="760" t="s">
        <v>2026</v>
      </c>
      <c r="Y32" s="761"/>
      <c r="Z32" s="89" t="e">
        <f>#REF!/1.5</f>
        <v>#REF!</v>
      </c>
      <c r="AA32" s="90" t="s">
        <v>2026</v>
      </c>
      <c r="AB32" s="90"/>
      <c r="AC32" s="762" t="e">
        <f t="shared" si="3"/>
        <v>#REF!</v>
      </c>
      <c r="AG32" s="2313"/>
      <c r="AH32" s="2315"/>
      <c r="AI32" s="86">
        <v>0.3</v>
      </c>
      <c r="AJ32" s="760" t="s">
        <v>2026</v>
      </c>
      <c r="AK32" s="761"/>
      <c r="AL32" s="89" t="e">
        <f>#REF!/1.5</f>
        <v>#REF!</v>
      </c>
      <c r="AM32" s="90" t="s">
        <v>2026</v>
      </c>
      <c r="AN32" s="90"/>
    </row>
    <row r="33" spans="1:40" outlineLevel="1">
      <c r="A33" s="2313"/>
      <c r="B33" s="2315"/>
      <c r="C33" s="759" t="s">
        <v>2027</v>
      </c>
      <c r="D33" s="86">
        <v>0.2</v>
      </c>
      <c r="E33" s="760" t="s">
        <v>2026</v>
      </c>
      <c r="F33" s="761"/>
      <c r="G33" s="87">
        <v>0.29992000000000002</v>
      </c>
      <c r="H33" s="88" t="s">
        <v>2028</v>
      </c>
      <c r="I33" s="89">
        <f t="shared" si="0"/>
        <v>0.19994666666666669</v>
      </c>
      <c r="J33" s="90" t="s">
        <v>2026</v>
      </c>
      <c r="K33" s="90"/>
      <c r="L33" s="762" t="e">
        <f t="shared" ca="1" si="1"/>
        <v>#VALUE!</v>
      </c>
      <c r="M33" s="686">
        <v>85</v>
      </c>
      <c r="N33" s="686">
        <v>10</v>
      </c>
      <c r="O33" s="686">
        <v>5.0000000000000002E-5</v>
      </c>
      <c r="P33" s="686" t="e">
        <f t="shared" ca="1" si="2"/>
        <v>#VALUE!</v>
      </c>
      <c r="Q33" s="686">
        <v>2</v>
      </c>
      <c r="U33" s="2313"/>
      <c r="V33" s="2315"/>
      <c r="W33" s="86">
        <v>0.2</v>
      </c>
      <c r="X33" s="760" t="s">
        <v>2026</v>
      </c>
      <c r="Y33" s="761"/>
      <c r="Z33" s="89" t="e">
        <f>#REF!/1.5</f>
        <v>#REF!</v>
      </c>
      <c r="AA33" s="90" t="s">
        <v>2026</v>
      </c>
      <c r="AB33" s="90"/>
      <c r="AC33" s="762" t="e">
        <f t="shared" si="3"/>
        <v>#REF!</v>
      </c>
      <c r="AG33" s="2313"/>
      <c r="AH33" s="2315"/>
      <c r="AI33" s="86">
        <v>0.2</v>
      </c>
      <c r="AJ33" s="760" t="s">
        <v>2026</v>
      </c>
      <c r="AK33" s="761"/>
      <c r="AL33" s="89" t="e">
        <f>#REF!/1.5</f>
        <v>#REF!</v>
      </c>
      <c r="AM33" s="90" t="s">
        <v>2026</v>
      </c>
      <c r="AN33" s="90"/>
    </row>
    <row r="34" spans="1:40" outlineLevel="1">
      <c r="A34" s="2313"/>
      <c r="B34" s="2315"/>
      <c r="C34" s="759" t="s">
        <v>2027</v>
      </c>
      <c r="D34" s="86">
        <v>0.1</v>
      </c>
      <c r="E34" s="760" t="s">
        <v>2026</v>
      </c>
      <c r="F34" s="761"/>
      <c r="G34" s="763">
        <v>0.14976100000000001</v>
      </c>
      <c r="H34" s="88" t="s">
        <v>2028</v>
      </c>
      <c r="I34" s="89">
        <f t="shared" si="0"/>
        <v>9.9840666666666675E-2</v>
      </c>
      <c r="J34" s="90" t="s">
        <v>2026</v>
      </c>
      <c r="K34" s="90"/>
      <c r="L34" s="762" t="e">
        <f t="shared" ca="1" si="1"/>
        <v>#VALUE!</v>
      </c>
      <c r="M34" s="686">
        <v>85</v>
      </c>
      <c r="N34" s="686">
        <v>10</v>
      </c>
      <c r="O34" s="686">
        <v>5.0000000000000002E-5</v>
      </c>
      <c r="P34" s="686" t="e">
        <f t="shared" ca="1" si="2"/>
        <v>#VALUE!</v>
      </c>
      <c r="Q34" s="686">
        <v>2</v>
      </c>
      <c r="U34" s="2313"/>
      <c r="V34" s="2315"/>
      <c r="W34" s="86">
        <v>0.1</v>
      </c>
      <c r="X34" s="760" t="s">
        <v>2026</v>
      </c>
      <c r="Y34" s="761"/>
      <c r="Z34" s="89" t="e">
        <f>#REF!/1.5</f>
        <v>#REF!</v>
      </c>
      <c r="AA34" s="90" t="s">
        <v>2026</v>
      </c>
      <c r="AB34" s="90"/>
      <c r="AC34" s="762" t="e">
        <f t="shared" si="3"/>
        <v>#REF!</v>
      </c>
      <c r="AG34" s="2313"/>
      <c r="AH34" s="2315"/>
      <c r="AI34" s="86">
        <v>0.1</v>
      </c>
      <c r="AJ34" s="760" t="s">
        <v>2026</v>
      </c>
      <c r="AK34" s="761"/>
      <c r="AL34" s="89" t="e">
        <f>#REF!/1.5</f>
        <v>#REF!</v>
      </c>
      <c r="AM34" s="90" t="s">
        <v>2026</v>
      </c>
      <c r="AN34" s="90"/>
    </row>
    <row r="35" spans="1:40" outlineLevel="1">
      <c r="A35" s="2316">
        <v>2</v>
      </c>
      <c r="B35" s="2319" t="s">
        <v>2029</v>
      </c>
      <c r="C35" s="764" t="s">
        <v>2030</v>
      </c>
      <c r="D35" s="49">
        <v>2</v>
      </c>
      <c r="E35" s="91" t="s">
        <v>78</v>
      </c>
      <c r="F35" s="363"/>
      <c r="G35" s="51">
        <v>2.00047</v>
      </c>
      <c r="H35" s="47" t="s">
        <v>78</v>
      </c>
      <c r="I35" s="49">
        <f t="shared" ref="I35:I40" si="4">G35</f>
        <v>2.00047</v>
      </c>
      <c r="J35" s="84" t="s">
        <v>2031</v>
      </c>
      <c r="K35" s="84"/>
      <c r="L35" s="68" t="e">
        <f t="shared" ref="L35:L40" ca="1" si="5">((P35/1.732)^2+((M35/1000000*ABS(I35)+N35/1000000*Q35)/2)^2)^0.5*2</f>
        <v>#VALUE!</v>
      </c>
      <c r="M35" s="2">
        <v>280</v>
      </c>
      <c r="N35" s="2">
        <v>100</v>
      </c>
      <c r="O35" s="700" t="s">
        <v>2032</v>
      </c>
      <c r="P35" s="2" t="e">
        <f t="shared" ca="1" si="2"/>
        <v>#VALUE!</v>
      </c>
      <c r="Q35" s="2">
        <v>2</v>
      </c>
      <c r="U35" s="2316">
        <v>2</v>
      </c>
      <c r="V35" s="2319" t="s">
        <v>2031</v>
      </c>
      <c r="W35" s="49">
        <v>2</v>
      </c>
      <c r="X35" s="91" t="s">
        <v>78</v>
      </c>
      <c r="Y35" s="363"/>
      <c r="Z35" s="49" t="e">
        <f>#REF!</f>
        <v>#REF!</v>
      </c>
      <c r="AA35" s="84" t="s">
        <v>2033</v>
      </c>
      <c r="AB35" s="84"/>
      <c r="AC35" s="68" t="e">
        <f t="shared" ref="AC35:AC40" si="6">((AG35/1.732)^2+((AD35/1000000*ABS(Z35)+AE35/1000000*AH35)/2)^2)^0.5*2</f>
        <v>#REF!</v>
      </c>
      <c r="AG35" s="2316">
        <v>2</v>
      </c>
      <c r="AH35" s="2319" t="s">
        <v>2033</v>
      </c>
      <c r="AI35" s="49">
        <v>2</v>
      </c>
      <c r="AJ35" s="91" t="s">
        <v>78</v>
      </c>
      <c r="AK35" s="363"/>
      <c r="AL35" s="49" t="e">
        <f>#REF!</f>
        <v>#REF!</v>
      </c>
      <c r="AM35" s="84" t="s">
        <v>2034</v>
      </c>
      <c r="AN35" s="84"/>
    </row>
    <row r="36" spans="1:40" outlineLevel="1">
      <c r="A36" s="2317"/>
      <c r="B36" s="1742"/>
      <c r="C36" s="764" t="s">
        <v>2035</v>
      </c>
      <c r="D36" s="49">
        <v>1</v>
      </c>
      <c r="E36" s="91" t="s">
        <v>78</v>
      </c>
      <c r="F36" s="363"/>
      <c r="G36" s="51">
        <v>1.0003010000000001</v>
      </c>
      <c r="H36" s="47" t="s">
        <v>78</v>
      </c>
      <c r="I36" s="49">
        <f t="shared" si="4"/>
        <v>1.0003010000000001</v>
      </c>
      <c r="J36" s="84" t="s">
        <v>2034</v>
      </c>
      <c r="K36" s="84"/>
      <c r="L36" s="68" t="e">
        <f t="shared" ca="1" si="5"/>
        <v>#VALUE!</v>
      </c>
      <c r="M36" s="2">
        <v>280</v>
      </c>
      <c r="N36" s="2">
        <v>100</v>
      </c>
      <c r="O36" s="700" t="s">
        <v>2036</v>
      </c>
      <c r="P36" s="2" t="e">
        <f t="shared" ca="1" si="2"/>
        <v>#VALUE!</v>
      </c>
      <c r="Q36" s="2">
        <v>2</v>
      </c>
      <c r="U36" s="2317"/>
      <c r="V36" s="1742"/>
      <c r="W36" s="49">
        <v>1</v>
      </c>
      <c r="X36" s="91" t="s">
        <v>78</v>
      </c>
      <c r="Y36" s="363"/>
      <c r="Z36" s="49" t="e">
        <f>#REF!</f>
        <v>#REF!</v>
      </c>
      <c r="AA36" s="84" t="s">
        <v>2031</v>
      </c>
      <c r="AB36" s="84"/>
      <c r="AC36" s="68" t="e">
        <f t="shared" si="6"/>
        <v>#REF!</v>
      </c>
      <c r="AG36" s="2317"/>
      <c r="AH36" s="1742"/>
      <c r="AI36" s="49">
        <v>1</v>
      </c>
      <c r="AJ36" s="91" t="s">
        <v>78</v>
      </c>
      <c r="AK36" s="363"/>
      <c r="AL36" s="49" t="e">
        <f>#REF!</f>
        <v>#REF!</v>
      </c>
      <c r="AM36" s="84" t="s">
        <v>2033</v>
      </c>
      <c r="AN36" s="84"/>
    </row>
    <row r="37" spans="1:40" outlineLevel="1">
      <c r="A37" s="2318"/>
      <c r="B37" s="1742"/>
      <c r="C37" s="764" t="s">
        <v>2037</v>
      </c>
      <c r="D37" s="49">
        <v>0.2</v>
      </c>
      <c r="E37" s="91" t="s">
        <v>78</v>
      </c>
      <c r="F37" s="363"/>
      <c r="G37" s="51">
        <v>0.20036799999999999</v>
      </c>
      <c r="H37" s="47" t="s">
        <v>78</v>
      </c>
      <c r="I37" s="49">
        <f t="shared" si="4"/>
        <v>0.20036799999999999</v>
      </c>
      <c r="J37" s="84" t="s">
        <v>2033</v>
      </c>
      <c r="K37" s="84"/>
      <c r="L37" s="68" t="e">
        <f t="shared" ca="1" si="5"/>
        <v>#VALUE!</v>
      </c>
      <c r="M37" s="2">
        <v>280</v>
      </c>
      <c r="N37" s="2">
        <v>100</v>
      </c>
      <c r="O37" s="700" t="s">
        <v>2038</v>
      </c>
      <c r="P37" s="2" t="e">
        <f t="shared" ca="1" si="2"/>
        <v>#VALUE!</v>
      </c>
      <c r="Q37" s="2">
        <v>2</v>
      </c>
      <c r="U37" s="2318"/>
      <c r="V37" s="1742"/>
      <c r="W37" s="49">
        <v>0.2</v>
      </c>
      <c r="X37" s="91" t="s">
        <v>78</v>
      </c>
      <c r="Y37" s="363"/>
      <c r="Z37" s="49" t="e">
        <f>#REF!</f>
        <v>#REF!</v>
      </c>
      <c r="AA37" s="84" t="s">
        <v>2039</v>
      </c>
      <c r="AB37" s="84"/>
      <c r="AC37" s="68" t="e">
        <f t="shared" si="6"/>
        <v>#REF!</v>
      </c>
      <c r="AG37" s="2318"/>
      <c r="AH37" s="1742"/>
      <c r="AI37" s="49">
        <v>0.2</v>
      </c>
      <c r="AJ37" s="91" t="s">
        <v>78</v>
      </c>
      <c r="AK37" s="363"/>
      <c r="AL37" s="49" t="e">
        <f>#REF!</f>
        <v>#REF!</v>
      </c>
      <c r="AM37" s="84" t="s">
        <v>2040</v>
      </c>
      <c r="AN37" s="84"/>
    </row>
    <row r="38" spans="1:40" outlineLevel="1">
      <c r="A38" s="2316">
        <v>20</v>
      </c>
      <c r="B38" s="2319" t="s">
        <v>2040</v>
      </c>
      <c r="C38" s="764" t="s">
        <v>2041</v>
      </c>
      <c r="D38" s="69">
        <v>20</v>
      </c>
      <c r="E38" s="91" t="s">
        <v>78</v>
      </c>
      <c r="F38" s="363"/>
      <c r="G38" s="92">
        <v>20.006900000000002</v>
      </c>
      <c r="H38" s="47" t="s">
        <v>78</v>
      </c>
      <c r="I38" s="69">
        <f t="shared" si="4"/>
        <v>20.006900000000002</v>
      </c>
      <c r="J38" s="84" t="s">
        <v>2040</v>
      </c>
      <c r="K38" s="84"/>
      <c r="L38" s="70" t="e">
        <f t="shared" ca="1" si="5"/>
        <v>#VALUE!</v>
      </c>
      <c r="M38" s="2">
        <v>280</v>
      </c>
      <c r="N38" s="2">
        <v>100</v>
      </c>
      <c r="O38" s="700" t="s">
        <v>2042</v>
      </c>
      <c r="P38" s="2" t="e">
        <f t="shared" ca="1" si="2"/>
        <v>#VALUE!</v>
      </c>
      <c r="Q38" s="2">
        <v>20</v>
      </c>
      <c r="U38" s="2316">
        <v>20</v>
      </c>
      <c r="V38" s="2319" t="s">
        <v>2040</v>
      </c>
      <c r="W38" s="69">
        <v>20</v>
      </c>
      <c r="X38" s="91" t="s">
        <v>78</v>
      </c>
      <c r="Y38" s="363"/>
      <c r="Z38" s="69" t="e">
        <f>#REF!</f>
        <v>#REF!</v>
      </c>
      <c r="AA38" s="84" t="s">
        <v>2040</v>
      </c>
      <c r="AB38" s="84"/>
      <c r="AC38" s="70" t="e">
        <f t="shared" si="6"/>
        <v>#REF!</v>
      </c>
      <c r="AG38" s="2316">
        <v>20</v>
      </c>
      <c r="AH38" s="2319" t="s">
        <v>2040</v>
      </c>
      <c r="AI38" s="69">
        <v>20</v>
      </c>
      <c r="AJ38" s="91" t="s">
        <v>78</v>
      </c>
      <c r="AK38" s="363"/>
      <c r="AL38" s="69" t="e">
        <f>#REF!</f>
        <v>#REF!</v>
      </c>
      <c r="AM38" s="84" t="s">
        <v>2040</v>
      </c>
      <c r="AN38" s="84"/>
    </row>
    <row r="39" spans="1:40" outlineLevel="1">
      <c r="A39" s="2317"/>
      <c r="B39" s="1742"/>
      <c r="C39" s="764" t="s">
        <v>2041</v>
      </c>
      <c r="D39" s="69">
        <v>10</v>
      </c>
      <c r="E39" s="91" t="s">
        <v>78</v>
      </c>
      <c r="F39" s="363"/>
      <c r="G39" s="92">
        <v>10.00239</v>
      </c>
      <c r="H39" s="47" t="s">
        <v>78</v>
      </c>
      <c r="I39" s="69">
        <f t="shared" si="4"/>
        <v>10.00239</v>
      </c>
      <c r="J39" s="84" t="s">
        <v>2040</v>
      </c>
      <c r="K39" s="84"/>
      <c r="L39" s="70" t="e">
        <f t="shared" ca="1" si="5"/>
        <v>#VALUE!</v>
      </c>
      <c r="M39" s="2">
        <v>280</v>
      </c>
      <c r="N39" s="2">
        <v>100</v>
      </c>
      <c r="O39" s="700" t="s">
        <v>2042</v>
      </c>
      <c r="P39" s="2" t="e">
        <f t="shared" ca="1" si="2"/>
        <v>#VALUE!</v>
      </c>
      <c r="Q39" s="2">
        <v>20</v>
      </c>
      <c r="U39" s="2317"/>
      <c r="V39" s="1742"/>
      <c r="W39" s="69">
        <v>10</v>
      </c>
      <c r="X39" s="91" t="s">
        <v>78</v>
      </c>
      <c r="Y39" s="363"/>
      <c r="Z39" s="69" t="e">
        <f>#REF!</f>
        <v>#REF!</v>
      </c>
      <c r="AA39" s="84" t="s">
        <v>2040</v>
      </c>
      <c r="AB39" s="84"/>
      <c r="AC39" s="70" t="e">
        <f t="shared" si="6"/>
        <v>#REF!</v>
      </c>
      <c r="AG39" s="2317"/>
      <c r="AH39" s="1742"/>
      <c r="AI39" s="69">
        <v>10</v>
      </c>
      <c r="AJ39" s="91" t="s">
        <v>78</v>
      </c>
      <c r="AK39" s="363"/>
      <c r="AL39" s="69" t="e">
        <f>#REF!</f>
        <v>#REF!</v>
      </c>
      <c r="AM39" s="84" t="s">
        <v>2040</v>
      </c>
      <c r="AN39" s="84"/>
    </row>
    <row r="40" spans="1:40" outlineLevel="1">
      <c r="A40" s="2318"/>
      <c r="B40" s="1742"/>
      <c r="C40" s="764" t="s">
        <v>2041</v>
      </c>
      <c r="D40" s="69">
        <v>2</v>
      </c>
      <c r="E40" s="91" t="s">
        <v>78</v>
      </c>
      <c r="F40" s="363"/>
      <c r="G40" s="92">
        <v>2.0002599999999999</v>
      </c>
      <c r="H40" s="47" t="s">
        <v>78</v>
      </c>
      <c r="I40" s="69">
        <f t="shared" si="4"/>
        <v>2.0002599999999999</v>
      </c>
      <c r="J40" s="84" t="s">
        <v>2040</v>
      </c>
      <c r="K40" s="84"/>
      <c r="L40" s="70" t="e">
        <f t="shared" ca="1" si="5"/>
        <v>#VALUE!</v>
      </c>
      <c r="M40" s="2">
        <v>280</v>
      </c>
      <c r="N40" s="2">
        <v>100</v>
      </c>
      <c r="O40" s="700" t="s">
        <v>2042</v>
      </c>
      <c r="P40" s="2" t="e">
        <f t="shared" ca="1" si="2"/>
        <v>#VALUE!</v>
      </c>
      <c r="Q40" s="2">
        <v>20</v>
      </c>
      <c r="U40" s="2318"/>
      <c r="V40" s="1742"/>
      <c r="W40" s="69">
        <v>2</v>
      </c>
      <c r="X40" s="91" t="s">
        <v>78</v>
      </c>
      <c r="Y40" s="363"/>
      <c r="Z40" s="69" t="e">
        <f>#REF!</f>
        <v>#REF!</v>
      </c>
      <c r="AA40" s="84" t="s">
        <v>2040</v>
      </c>
      <c r="AB40" s="84"/>
      <c r="AC40" s="70" t="e">
        <f t="shared" si="6"/>
        <v>#REF!</v>
      </c>
      <c r="AG40" s="2318"/>
      <c r="AH40" s="1742"/>
      <c r="AI40" s="69">
        <v>2</v>
      </c>
      <c r="AJ40" s="91" t="s">
        <v>78</v>
      </c>
      <c r="AK40" s="363"/>
      <c r="AL40" s="69" t="e">
        <f>#REF!</f>
        <v>#REF!</v>
      </c>
      <c r="AM40" s="84" t="s">
        <v>2043</v>
      </c>
      <c r="AN40" s="84"/>
    </row>
    <row r="41" spans="1:40" outlineLevel="1">
      <c r="A41" s="2316">
        <v>200</v>
      </c>
      <c r="B41" s="2319" t="s">
        <v>2043</v>
      </c>
      <c r="C41" s="764" t="s">
        <v>2044</v>
      </c>
      <c r="D41" s="44">
        <v>200</v>
      </c>
      <c r="E41" s="91" t="s">
        <v>78</v>
      </c>
      <c r="F41" s="363"/>
      <c r="G41" s="51">
        <v>1.4997199999999999</v>
      </c>
      <c r="H41" s="765" t="s">
        <v>2045</v>
      </c>
      <c r="I41" s="44">
        <f>G41/1.5*200</f>
        <v>199.96266666666668</v>
      </c>
      <c r="J41" s="84" t="s">
        <v>2043</v>
      </c>
      <c r="K41" s="84"/>
      <c r="L41" s="93" t="e">
        <f ca="1">((P41/1.732)^2+((M41/1000000*ABS(I41)+N41/1000000*Q41)/2)^2+(O41/2)^2)^0.5*2</f>
        <v>#VALUE!</v>
      </c>
      <c r="M41" s="2">
        <v>85</v>
      </c>
      <c r="N41" s="2">
        <v>10</v>
      </c>
      <c r="O41" s="2">
        <v>5.0000000000000002E-5</v>
      </c>
      <c r="P41" s="2" t="e">
        <f t="shared" ca="1" si="2"/>
        <v>#VALUE!</v>
      </c>
      <c r="Q41" s="2">
        <v>2</v>
      </c>
      <c r="U41" s="2316">
        <v>200</v>
      </c>
      <c r="V41" s="2319" t="s">
        <v>2043</v>
      </c>
      <c r="W41" s="44">
        <v>200</v>
      </c>
      <c r="X41" s="91" t="s">
        <v>78</v>
      </c>
      <c r="Y41" s="363"/>
      <c r="Z41" s="44" t="e">
        <f>#REF!/1.5*200</f>
        <v>#REF!</v>
      </c>
      <c r="AA41" s="84" t="s">
        <v>2043</v>
      </c>
      <c r="AB41" s="84"/>
      <c r="AC41" s="93" t="e">
        <f>((AG41/1.732)^2+((AD41/1000000*ABS(Z41)+AE41/1000000*AH41)/2)^2+(AF41/2)^2)^0.5*2</f>
        <v>#REF!</v>
      </c>
      <c r="AG41" s="2316">
        <v>200</v>
      </c>
      <c r="AH41" s="2319" t="s">
        <v>2043</v>
      </c>
      <c r="AI41" s="44">
        <v>200</v>
      </c>
      <c r="AJ41" s="91" t="s">
        <v>78</v>
      </c>
      <c r="AK41" s="363"/>
      <c r="AL41" s="44" t="e">
        <f>#REF!/1.5*200</f>
        <v>#REF!</v>
      </c>
      <c r="AM41" s="84" t="s">
        <v>2043</v>
      </c>
      <c r="AN41" s="84"/>
    </row>
    <row r="42" spans="1:40" outlineLevel="1">
      <c r="A42" s="2317"/>
      <c r="B42" s="1742"/>
      <c r="C42" s="764" t="s">
        <v>2044</v>
      </c>
      <c r="D42" s="44">
        <v>100</v>
      </c>
      <c r="E42" s="91" t="s">
        <v>78</v>
      </c>
      <c r="F42" s="363"/>
      <c r="G42" s="51">
        <v>0.74956999999999996</v>
      </c>
      <c r="H42" s="765" t="s">
        <v>2045</v>
      </c>
      <c r="I42" s="44">
        <f>G42/1.5*200</f>
        <v>99.942666666666653</v>
      </c>
      <c r="J42" s="84" t="s">
        <v>2043</v>
      </c>
      <c r="K42" s="84"/>
      <c r="L42" s="93" t="e">
        <f t="shared" ref="L42:L52" ca="1" si="7">((P42/1.732)^2+((M42/1000000*ABS(I42)+N42/1000000*Q42)/2)^2+(O42/2)^2)^0.5*2</f>
        <v>#VALUE!</v>
      </c>
      <c r="M42" s="2">
        <v>85</v>
      </c>
      <c r="N42" s="2">
        <v>10</v>
      </c>
      <c r="O42" s="2">
        <v>5.0000000000000002E-5</v>
      </c>
      <c r="P42" s="2" t="e">
        <f t="shared" ca="1" si="2"/>
        <v>#VALUE!</v>
      </c>
      <c r="Q42" s="2">
        <v>2</v>
      </c>
      <c r="U42" s="2317"/>
      <c r="V42" s="1742"/>
      <c r="W42" s="44">
        <v>100</v>
      </c>
      <c r="X42" s="91" t="s">
        <v>78</v>
      </c>
      <c r="Y42" s="363"/>
      <c r="Z42" s="44" t="e">
        <f>#REF!/1.5*200</f>
        <v>#REF!</v>
      </c>
      <c r="AA42" s="84" t="s">
        <v>2043</v>
      </c>
      <c r="AB42" s="84"/>
      <c r="AC42" s="93" t="e">
        <f t="shared" ref="AC42:AC52" si="8">((AG42/1.732)^2+((AD42/1000000*ABS(Z42)+AE42/1000000*AH42)/2)^2+(AF42/2)^2)^0.5*2</f>
        <v>#REF!</v>
      </c>
      <c r="AG42" s="2317"/>
      <c r="AH42" s="1742"/>
      <c r="AI42" s="44">
        <v>100</v>
      </c>
      <c r="AJ42" s="91" t="s">
        <v>78</v>
      </c>
      <c r="AK42" s="363"/>
      <c r="AL42" s="44" t="e">
        <f>#REF!/1.5*200</f>
        <v>#REF!</v>
      </c>
      <c r="AM42" s="84" t="s">
        <v>2043</v>
      </c>
      <c r="AN42" s="84"/>
    </row>
    <row r="43" spans="1:40" outlineLevel="1">
      <c r="A43" s="2318"/>
      <c r="B43" s="1743"/>
      <c r="C43" s="764" t="s">
        <v>2044</v>
      </c>
      <c r="D43" s="44">
        <v>20</v>
      </c>
      <c r="E43" s="91" t="s">
        <v>78</v>
      </c>
      <c r="F43" s="363"/>
      <c r="G43" s="51">
        <v>0.14967</v>
      </c>
      <c r="H43" s="765" t="s">
        <v>2045</v>
      </c>
      <c r="I43" s="44">
        <f>G43/1.5*200</f>
        <v>19.956</v>
      </c>
      <c r="J43" s="84" t="s">
        <v>2043</v>
      </c>
      <c r="K43" s="84"/>
      <c r="L43" s="93" t="e">
        <f t="shared" ca="1" si="7"/>
        <v>#VALUE!</v>
      </c>
      <c r="M43" s="2">
        <v>85</v>
      </c>
      <c r="N43" s="2">
        <v>10</v>
      </c>
      <c r="O43" s="2">
        <v>5.0000000000000002E-5</v>
      </c>
      <c r="P43" s="2" t="e">
        <f t="shared" ca="1" si="2"/>
        <v>#VALUE!</v>
      </c>
      <c r="Q43" s="2">
        <v>2</v>
      </c>
      <c r="U43" s="2318"/>
      <c r="V43" s="1743"/>
      <c r="W43" s="44">
        <v>20</v>
      </c>
      <c r="X43" s="91" t="s">
        <v>78</v>
      </c>
      <c r="Y43" s="363"/>
      <c r="Z43" s="44" t="e">
        <f>#REF!/1.5*200</f>
        <v>#REF!</v>
      </c>
      <c r="AA43" s="84" t="s">
        <v>2043</v>
      </c>
      <c r="AB43" s="84"/>
      <c r="AC43" s="93" t="e">
        <f t="shared" si="8"/>
        <v>#REF!</v>
      </c>
      <c r="AG43" s="2318"/>
      <c r="AH43" s="1743"/>
      <c r="AI43" s="44">
        <v>20</v>
      </c>
      <c r="AJ43" s="91" t="s">
        <v>78</v>
      </c>
      <c r="AK43" s="363"/>
      <c r="AL43" s="44" t="e">
        <f>#REF!/1.5*200</f>
        <v>#REF!</v>
      </c>
      <c r="AM43" s="84" t="s">
        <v>2043</v>
      </c>
      <c r="AN43" s="84"/>
    </row>
    <row r="44" spans="1:40" outlineLevel="1">
      <c r="A44" s="2316">
        <v>2</v>
      </c>
      <c r="B44" s="2319" t="s">
        <v>2046</v>
      </c>
      <c r="C44" s="764" t="s">
        <v>2044</v>
      </c>
      <c r="D44" s="49">
        <v>2</v>
      </c>
      <c r="E44" s="71" t="s">
        <v>79</v>
      </c>
      <c r="F44" s="50"/>
      <c r="G44" s="94">
        <v>1.4995270000000001</v>
      </c>
      <c r="H44" s="72" t="s">
        <v>2045</v>
      </c>
      <c r="I44" s="49">
        <f>G44/1.5*2</f>
        <v>1.9993693333333333</v>
      </c>
      <c r="J44" s="84" t="s">
        <v>2046</v>
      </c>
      <c r="K44" s="84"/>
      <c r="L44" s="73" t="e">
        <f t="shared" ca="1" si="7"/>
        <v>#VALUE!</v>
      </c>
      <c r="M44" s="2">
        <v>85</v>
      </c>
      <c r="N44" s="2">
        <v>10</v>
      </c>
      <c r="O44" s="2">
        <v>5.0000000000000002E-5</v>
      </c>
      <c r="P44" s="2" t="e">
        <f t="shared" ca="1" si="2"/>
        <v>#VALUE!</v>
      </c>
      <c r="Q44" s="2">
        <v>2</v>
      </c>
      <c r="U44" s="2316">
        <v>2</v>
      </c>
      <c r="V44" s="2319" t="s">
        <v>2046</v>
      </c>
      <c r="W44" s="49">
        <v>2</v>
      </c>
      <c r="X44" s="71" t="s">
        <v>79</v>
      </c>
      <c r="Y44" s="50"/>
      <c r="Z44" s="49" t="e">
        <f>#REF!/1.5*2</f>
        <v>#REF!</v>
      </c>
      <c r="AA44" s="84" t="s">
        <v>2046</v>
      </c>
      <c r="AB44" s="84"/>
      <c r="AC44" s="73" t="e">
        <f t="shared" si="8"/>
        <v>#REF!</v>
      </c>
      <c r="AG44" s="2316">
        <v>2</v>
      </c>
      <c r="AH44" s="2319" t="s">
        <v>2046</v>
      </c>
      <c r="AI44" s="49">
        <v>2</v>
      </c>
      <c r="AJ44" s="71" t="s">
        <v>79</v>
      </c>
      <c r="AK44" s="50"/>
      <c r="AL44" s="49" t="e">
        <f>#REF!/1.5*2</f>
        <v>#REF!</v>
      </c>
      <c r="AM44" s="84" t="s">
        <v>2046</v>
      </c>
      <c r="AN44" s="84"/>
    </row>
    <row r="45" spans="1:40" outlineLevel="1">
      <c r="A45" s="2317"/>
      <c r="B45" s="1742"/>
      <c r="C45" s="764" t="s">
        <v>2044</v>
      </c>
      <c r="D45" s="49">
        <v>1</v>
      </c>
      <c r="E45" s="71" t="s">
        <v>79</v>
      </c>
      <c r="F45" s="50"/>
      <c r="G45" s="94">
        <v>0.74961</v>
      </c>
      <c r="H45" s="72" t="s">
        <v>2045</v>
      </c>
      <c r="I45" s="49">
        <f>G45/1.5*2</f>
        <v>0.99948000000000004</v>
      </c>
      <c r="J45" s="84" t="s">
        <v>2046</v>
      </c>
      <c r="K45" s="84"/>
      <c r="L45" s="73" t="e">
        <f t="shared" ca="1" si="7"/>
        <v>#VALUE!</v>
      </c>
      <c r="M45" s="2">
        <v>85</v>
      </c>
      <c r="N45" s="2">
        <v>10</v>
      </c>
      <c r="O45" s="2">
        <v>5.0000000000000002E-5</v>
      </c>
      <c r="P45" s="2" t="e">
        <f t="shared" ca="1" si="2"/>
        <v>#VALUE!</v>
      </c>
      <c r="Q45" s="2">
        <v>2</v>
      </c>
      <c r="U45" s="2317"/>
      <c r="V45" s="1742"/>
      <c r="W45" s="49">
        <v>1</v>
      </c>
      <c r="X45" s="71" t="s">
        <v>79</v>
      </c>
      <c r="Y45" s="50"/>
      <c r="Z45" s="49" t="e">
        <f>#REF!/1.5*2</f>
        <v>#REF!</v>
      </c>
      <c r="AA45" s="84" t="s">
        <v>2046</v>
      </c>
      <c r="AB45" s="84"/>
      <c r="AC45" s="73" t="e">
        <f t="shared" si="8"/>
        <v>#REF!</v>
      </c>
      <c r="AG45" s="2317"/>
      <c r="AH45" s="1742"/>
      <c r="AI45" s="49">
        <v>1</v>
      </c>
      <c r="AJ45" s="71" t="s">
        <v>79</v>
      </c>
      <c r="AK45" s="50"/>
      <c r="AL45" s="49" t="e">
        <f>#REF!/1.5*2</f>
        <v>#REF!</v>
      </c>
      <c r="AM45" s="84" t="s">
        <v>2046</v>
      </c>
      <c r="AN45" s="84"/>
    </row>
    <row r="46" spans="1:40" outlineLevel="1">
      <c r="A46" s="2318"/>
      <c r="B46" s="1743"/>
      <c r="C46" s="764" t="s">
        <v>2044</v>
      </c>
      <c r="D46" s="49">
        <v>0.2</v>
      </c>
      <c r="E46" s="71" t="s">
        <v>79</v>
      </c>
      <c r="F46" s="50"/>
      <c r="G46" s="94">
        <v>0.14962300000000001</v>
      </c>
      <c r="H46" s="72" t="s">
        <v>2045</v>
      </c>
      <c r="I46" s="49">
        <f>G46/1.5*2</f>
        <v>0.19949733333333333</v>
      </c>
      <c r="J46" s="84" t="s">
        <v>2046</v>
      </c>
      <c r="K46" s="84"/>
      <c r="L46" s="73" t="e">
        <f t="shared" ca="1" si="7"/>
        <v>#VALUE!</v>
      </c>
      <c r="M46" s="2">
        <v>85</v>
      </c>
      <c r="N46" s="2">
        <v>10</v>
      </c>
      <c r="O46" s="2">
        <v>5.0000000000000002E-5</v>
      </c>
      <c r="P46" s="2" t="e">
        <f t="shared" ca="1" si="2"/>
        <v>#VALUE!</v>
      </c>
      <c r="Q46" s="2">
        <v>2</v>
      </c>
      <c r="U46" s="2318"/>
      <c r="V46" s="1743"/>
      <c r="W46" s="49">
        <v>0.2</v>
      </c>
      <c r="X46" s="71" t="s">
        <v>79</v>
      </c>
      <c r="Y46" s="50"/>
      <c r="Z46" s="49" t="e">
        <f>#REF!/1.5*2</f>
        <v>#REF!</v>
      </c>
      <c r="AA46" s="84" t="s">
        <v>2046</v>
      </c>
      <c r="AB46" s="84"/>
      <c r="AC46" s="73" t="e">
        <f t="shared" si="8"/>
        <v>#REF!</v>
      </c>
      <c r="AG46" s="2318"/>
      <c r="AH46" s="1743"/>
      <c r="AI46" s="49">
        <v>0.2</v>
      </c>
      <c r="AJ46" s="71" t="s">
        <v>79</v>
      </c>
      <c r="AK46" s="50"/>
      <c r="AL46" s="49" t="e">
        <f>#REF!/1.5*2</f>
        <v>#REF!</v>
      </c>
      <c r="AM46" s="84" t="s">
        <v>2046</v>
      </c>
      <c r="AN46" s="84"/>
    </row>
    <row r="47" spans="1:40" outlineLevel="1">
      <c r="A47" s="2316">
        <v>5</v>
      </c>
      <c r="B47" s="2319" t="s">
        <v>2046</v>
      </c>
      <c r="C47" s="764" t="s">
        <v>2044</v>
      </c>
      <c r="D47" s="49">
        <v>5</v>
      </c>
      <c r="E47" s="71" t="s">
        <v>79</v>
      </c>
      <c r="F47" s="50"/>
      <c r="G47" s="94">
        <v>1.4996780000000001</v>
      </c>
      <c r="H47" s="72" t="s">
        <v>2045</v>
      </c>
      <c r="I47" s="49">
        <f>G47/1.5*5</f>
        <v>4.9989266666666667</v>
      </c>
      <c r="J47" s="84" t="s">
        <v>2046</v>
      </c>
      <c r="K47" s="84"/>
      <c r="L47" s="73" t="e">
        <f t="shared" ca="1" si="7"/>
        <v>#VALUE!</v>
      </c>
      <c r="M47" s="2">
        <v>85</v>
      </c>
      <c r="N47" s="2">
        <v>10</v>
      </c>
      <c r="O47" s="2">
        <v>5.0000000000000002E-5</v>
      </c>
      <c r="P47" s="2" t="e">
        <f t="shared" ca="1" si="2"/>
        <v>#VALUE!</v>
      </c>
      <c r="Q47" s="2">
        <v>2</v>
      </c>
      <c r="U47" s="2316">
        <v>5</v>
      </c>
      <c r="V47" s="2319" t="s">
        <v>2046</v>
      </c>
      <c r="W47" s="49">
        <v>5</v>
      </c>
      <c r="X47" s="71" t="s">
        <v>79</v>
      </c>
      <c r="Y47" s="50"/>
      <c r="Z47" s="49" t="e">
        <f>#REF!/1.5*5</f>
        <v>#REF!</v>
      </c>
      <c r="AA47" s="84" t="s">
        <v>2046</v>
      </c>
      <c r="AB47" s="84"/>
      <c r="AC47" s="73" t="e">
        <f t="shared" si="8"/>
        <v>#REF!</v>
      </c>
      <c r="AG47" s="2316">
        <v>5</v>
      </c>
      <c r="AH47" s="2319" t="s">
        <v>2046</v>
      </c>
      <c r="AI47" s="49">
        <v>5</v>
      </c>
      <c r="AJ47" s="71" t="s">
        <v>79</v>
      </c>
      <c r="AK47" s="50"/>
      <c r="AL47" s="49" t="e">
        <f>#REF!/1.5*5</f>
        <v>#REF!</v>
      </c>
      <c r="AM47" s="84" t="s">
        <v>2046</v>
      </c>
      <c r="AN47" s="84"/>
    </row>
    <row r="48" spans="1:40" outlineLevel="1">
      <c r="A48" s="2317"/>
      <c r="B48" s="1742"/>
      <c r="C48" s="764" t="s">
        <v>2044</v>
      </c>
      <c r="D48" s="49">
        <v>3</v>
      </c>
      <c r="E48" s="71" t="s">
        <v>79</v>
      </c>
      <c r="F48" s="50"/>
      <c r="G48" s="94">
        <v>0.89973999999999998</v>
      </c>
      <c r="H48" s="72" t="s">
        <v>2045</v>
      </c>
      <c r="I48" s="49">
        <f>G48/1.5*5</f>
        <v>2.999133333333333</v>
      </c>
      <c r="J48" s="84" t="s">
        <v>2046</v>
      </c>
      <c r="K48" s="84"/>
      <c r="L48" s="73" t="e">
        <f t="shared" ca="1" si="7"/>
        <v>#VALUE!</v>
      </c>
      <c r="M48" s="2">
        <v>85</v>
      </c>
      <c r="N48" s="2">
        <v>10</v>
      </c>
      <c r="O48" s="2">
        <v>5.0000000000000002E-5</v>
      </c>
      <c r="P48" s="2" t="e">
        <f t="shared" ca="1" si="2"/>
        <v>#VALUE!</v>
      </c>
      <c r="Q48" s="2">
        <v>2</v>
      </c>
      <c r="U48" s="2317"/>
      <c r="V48" s="1742"/>
      <c r="W48" s="49">
        <v>3</v>
      </c>
      <c r="X48" s="71" t="s">
        <v>79</v>
      </c>
      <c r="Y48" s="50"/>
      <c r="Z48" s="49" t="e">
        <f>#REF!/1.5*5</f>
        <v>#REF!</v>
      </c>
      <c r="AA48" s="84" t="s">
        <v>2046</v>
      </c>
      <c r="AB48" s="84"/>
      <c r="AC48" s="73" t="e">
        <f t="shared" si="8"/>
        <v>#REF!</v>
      </c>
      <c r="AG48" s="2317"/>
      <c r="AH48" s="1742"/>
      <c r="AI48" s="49">
        <v>3</v>
      </c>
      <c r="AJ48" s="71" t="s">
        <v>79</v>
      </c>
      <c r="AK48" s="50"/>
      <c r="AL48" s="49" t="e">
        <f>#REF!/1.5*5</f>
        <v>#REF!</v>
      </c>
      <c r="AM48" s="84" t="s">
        <v>2046</v>
      </c>
      <c r="AN48" s="84"/>
    </row>
    <row r="49" spans="1:40" outlineLevel="1">
      <c r="A49" s="2318"/>
      <c r="B49" s="1743"/>
      <c r="C49" s="764" t="s">
        <v>2044</v>
      </c>
      <c r="D49" s="49">
        <v>1</v>
      </c>
      <c r="E49" s="71" t="s">
        <v>79</v>
      </c>
      <c r="F49" s="50"/>
      <c r="G49" s="94">
        <v>0.299869</v>
      </c>
      <c r="H49" s="72" t="s">
        <v>2045</v>
      </c>
      <c r="I49" s="49">
        <f>G49/1.5*5</f>
        <v>0.99956333333333325</v>
      </c>
      <c r="J49" s="84" t="s">
        <v>2046</v>
      </c>
      <c r="K49" s="84"/>
      <c r="L49" s="73" t="e">
        <f t="shared" ca="1" si="7"/>
        <v>#VALUE!</v>
      </c>
      <c r="M49" s="2">
        <v>85</v>
      </c>
      <c r="N49" s="2">
        <v>10</v>
      </c>
      <c r="O49" s="2">
        <v>5.0000000000000002E-5</v>
      </c>
      <c r="P49" s="2" t="e">
        <f t="shared" ca="1" si="2"/>
        <v>#VALUE!</v>
      </c>
      <c r="Q49" s="2">
        <v>2</v>
      </c>
      <c r="U49" s="2318"/>
      <c r="V49" s="1743"/>
      <c r="W49" s="49">
        <v>1</v>
      </c>
      <c r="X49" s="71" t="s">
        <v>79</v>
      </c>
      <c r="Y49" s="50"/>
      <c r="Z49" s="49" t="e">
        <f>#REF!/1.5*5</f>
        <v>#REF!</v>
      </c>
      <c r="AA49" s="84" t="s">
        <v>2046</v>
      </c>
      <c r="AB49" s="84"/>
      <c r="AC49" s="73" t="e">
        <f t="shared" si="8"/>
        <v>#REF!</v>
      </c>
      <c r="AG49" s="2318"/>
      <c r="AH49" s="1743"/>
      <c r="AI49" s="49">
        <v>1</v>
      </c>
      <c r="AJ49" s="71" t="s">
        <v>79</v>
      </c>
      <c r="AK49" s="50"/>
      <c r="AL49" s="49" t="e">
        <f>#REF!/1.5*5</f>
        <v>#REF!</v>
      </c>
      <c r="AM49" s="84" t="s">
        <v>2046</v>
      </c>
      <c r="AN49" s="84"/>
    </row>
    <row r="50" spans="1:40" outlineLevel="1">
      <c r="A50" s="2316">
        <v>20</v>
      </c>
      <c r="B50" s="2319" t="s">
        <v>2046</v>
      </c>
      <c r="C50" s="764" t="s">
        <v>2044</v>
      </c>
      <c r="D50" s="69">
        <v>20</v>
      </c>
      <c r="E50" s="72" t="s">
        <v>79</v>
      </c>
      <c r="F50" s="85"/>
      <c r="G50" s="94">
        <v>1.4997579999999999</v>
      </c>
      <c r="H50" s="72" t="s">
        <v>2045</v>
      </c>
      <c r="I50" s="69">
        <f>G50/1.5*20</f>
        <v>19.996773333333334</v>
      </c>
      <c r="J50" s="84" t="s">
        <v>2046</v>
      </c>
      <c r="K50" s="84"/>
      <c r="L50" s="95" t="e">
        <f t="shared" ca="1" si="7"/>
        <v>#VALUE!</v>
      </c>
      <c r="M50" s="2">
        <v>85</v>
      </c>
      <c r="N50" s="2">
        <v>10</v>
      </c>
      <c r="O50" s="2">
        <v>5.0000000000000002E-5</v>
      </c>
      <c r="P50" s="2" t="e">
        <f t="shared" ca="1" si="2"/>
        <v>#VALUE!</v>
      </c>
      <c r="Q50" s="2">
        <v>2</v>
      </c>
      <c r="U50" s="2316">
        <v>20</v>
      </c>
      <c r="V50" s="2319" t="s">
        <v>2046</v>
      </c>
      <c r="W50" s="69">
        <v>20</v>
      </c>
      <c r="X50" s="72" t="s">
        <v>79</v>
      </c>
      <c r="Y50" s="85"/>
      <c r="Z50" s="69" t="e">
        <f>#REF!/1.5*20</f>
        <v>#REF!</v>
      </c>
      <c r="AA50" s="84" t="s">
        <v>2046</v>
      </c>
      <c r="AB50" s="84"/>
      <c r="AC50" s="95" t="e">
        <f t="shared" si="8"/>
        <v>#REF!</v>
      </c>
      <c r="AG50" s="2316">
        <v>20</v>
      </c>
      <c r="AH50" s="2319" t="s">
        <v>2046</v>
      </c>
      <c r="AI50" s="69">
        <v>20</v>
      </c>
      <c r="AJ50" s="72" t="s">
        <v>79</v>
      </c>
      <c r="AK50" s="85"/>
      <c r="AL50" s="69" t="e">
        <f>#REF!/1.5*20</f>
        <v>#REF!</v>
      </c>
      <c r="AM50" s="84" t="s">
        <v>2046</v>
      </c>
      <c r="AN50" s="84"/>
    </row>
    <row r="51" spans="1:40" outlineLevel="1">
      <c r="A51" s="2317"/>
      <c r="B51" s="1742"/>
      <c r="C51" s="764" t="s">
        <v>2044</v>
      </c>
      <c r="D51" s="69">
        <v>10</v>
      </c>
      <c r="E51" s="72" t="s">
        <v>79</v>
      </c>
      <c r="F51" s="85"/>
      <c r="G51" s="94">
        <v>0.74977000000000005</v>
      </c>
      <c r="H51" s="72" t="s">
        <v>2045</v>
      </c>
      <c r="I51" s="69">
        <f>G51/1.5*20</f>
        <v>9.9969333333333346</v>
      </c>
      <c r="J51" s="84" t="s">
        <v>2046</v>
      </c>
      <c r="K51" s="84"/>
      <c r="L51" s="95" t="e">
        <f t="shared" ca="1" si="7"/>
        <v>#VALUE!</v>
      </c>
      <c r="M51" s="2">
        <v>85</v>
      </c>
      <c r="N51" s="2">
        <v>10</v>
      </c>
      <c r="O51" s="2">
        <v>5.0000000000000002E-5</v>
      </c>
      <c r="P51" s="2" t="e">
        <f t="shared" ca="1" si="2"/>
        <v>#VALUE!</v>
      </c>
      <c r="Q51" s="2">
        <v>2</v>
      </c>
      <c r="U51" s="2317"/>
      <c r="V51" s="1742"/>
      <c r="W51" s="69">
        <v>10</v>
      </c>
      <c r="X51" s="72" t="s">
        <v>79</v>
      </c>
      <c r="Y51" s="85"/>
      <c r="Z51" s="69" t="e">
        <f>#REF!/1.5*20</f>
        <v>#REF!</v>
      </c>
      <c r="AA51" s="84" t="s">
        <v>2046</v>
      </c>
      <c r="AB51" s="84"/>
      <c r="AC51" s="95" t="e">
        <f t="shared" si="8"/>
        <v>#REF!</v>
      </c>
      <c r="AG51" s="2317"/>
      <c r="AH51" s="1742"/>
      <c r="AI51" s="69">
        <v>10</v>
      </c>
      <c r="AJ51" s="72" t="s">
        <v>79</v>
      </c>
      <c r="AK51" s="85"/>
      <c r="AL51" s="69" t="e">
        <f>#REF!/1.5*20</f>
        <v>#REF!</v>
      </c>
      <c r="AM51" s="84" t="s">
        <v>2046</v>
      </c>
      <c r="AN51" s="84"/>
    </row>
    <row r="52" spans="1:40" outlineLevel="1">
      <c r="A52" s="2318"/>
      <c r="B52" s="1743"/>
      <c r="C52" s="766" t="s">
        <v>2044</v>
      </c>
      <c r="D52" s="69">
        <v>4</v>
      </c>
      <c r="E52" s="72" t="s">
        <v>79</v>
      </c>
      <c r="F52" s="85"/>
      <c r="G52" s="94">
        <v>0.29974099999999998</v>
      </c>
      <c r="H52" s="72" t="s">
        <v>2045</v>
      </c>
      <c r="I52" s="69">
        <f>G52/1.5*20</f>
        <v>3.9965466666666667</v>
      </c>
      <c r="J52" s="84" t="s">
        <v>2046</v>
      </c>
      <c r="K52" s="84"/>
      <c r="L52" s="95" t="e">
        <f t="shared" ca="1" si="7"/>
        <v>#VALUE!</v>
      </c>
      <c r="M52" s="2">
        <v>85</v>
      </c>
      <c r="N52" s="2">
        <v>10</v>
      </c>
      <c r="O52" s="2">
        <v>5.0000000000000002E-5</v>
      </c>
      <c r="P52" s="2" t="e">
        <f t="shared" ca="1" si="2"/>
        <v>#VALUE!</v>
      </c>
      <c r="Q52" s="2">
        <v>2</v>
      </c>
      <c r="U52" s="2318"/>
      <c r="V52" s="1743"/>
      <c r="W52" s="69">
        <v>4</v>
      </c>
      <c r="X52" s="72" t="s">
        <v>79</v>
      </c>
      <c r="Y52" s="85"/>
      <c r="Z52" s="69" t="e">
        <f>#REF!/1.5*20</f>
        <v>#REF!</v>
      </c>
      <c r="AA52" s="84" t="s">
        <v>2046</v>
      </c>
      <c r="AB52" s="84"/>
      <c r="AC52" s="95" t="e">
        <f t="shared" si="8"/>
        <v>#REF!</v>
      </c>
      <c r="AG52" s="2318"/>
      <c r="AH52" s="1743"/>
      <c r="AI52" s="69">
        <v>4</v>
      </c>
      <c r="AJ52" s="72" t="s">
        <v>79</v>
      </c>
      <c r="AK52" s="85"/>
      <c r="AL52" s="69" t="e">
        <f>#REF!/1.5*20</f>
        <v>#REF!</v>
      </c>
      <c r="AM52" s="84" t="s">
        <v>2046</v>
      </c>
      <c r="AN52" s="84"/>
    </row>
    <row r="53" spans="1:40" outlineLevel="1"/>
    <row r="54" spans="1:40" outlineLevel="1"/>
    <row r="55" spans="1:40" outlineLevel="1">
      <c r="A55" s="702" t="s">
        <v>2047</v>
      </c>
    </row>
    <row r="56" spans="1:40" outlineLevel="1">
      <c r="B56" s="702"/>
    </row>
    <row r="59" spans="1:40">
      <c r="A59" s="1612" t="s">
        <v>4019</v>
      </c>
      <c r="B59" s="1668" t="s">
        <v>4412</v>
      </c>
      <c r="C59" s="1613"/>
      <c r="D59" s="1613"/>
      <c r="E59" s="1613"/>
      <c r="F59" s="1613"/>
      <c r="G59" s="1613"/>
      <c r="H59" s="1613"/>
      <c r="I59" s="1613"/>
      <c r="J59" s="1613"/>
      <c r="K59" s="1613"/>
      <c r="L59" s="1613"/>
      <c r="M59" s="1613"/>
      <c r="N59" s="1613"/>
      <c r="O59" s="1613"/>
      <c r="P59" s="1613"/>
      <c r="Q59" s="1749"/>
      <c r="R59" s="1749"/>
    </row>
    <row r="60" spans="1:40">
      <c r="A60" s="1749" t="s">
        <v>4020</v>
      </c>
      <c r="B60" s="1749"/>
      <c r="C60" s="2327" t="s">
        <v>4022</v>
      </c>
      <c r="D60" s="1749"/>
      <c r="E60" s="1749"/>
      <c r="F60" s="2481"/>
      <c r="G60" s="1749" t="s">
        <v>4023</v>
      </c>
      <c r="H60" s="1749"/>
      <c r="I60" s="1749"/>
      <c r="J60" s="1749"/>
      <c r="K60" s="2327" t="s">
        <v>4025</v>
      </c>
      <c r="L60" s="1749"/>
      <c r="M60" s="1749"/>
      <c r="N60" s="1749"/>
      <c r="O60" s="2298" t="s">
        <v>4026</v>
      </c>
      <c r="P60" s="2297"/>
      <c r="Q60" s="2297"/>
      <c r="R60" s="2340"/>
      <c r="S60" s="1749" t="s">
        <v>4027</v>
      </c>
    </row>
    <row r="61" spans="1:40">
      <c r="A61" s="1749"/>
      <c r="B61" s="1749"/>
      <c r="C61" s="2327" t="s">
        <v>4028</v>
      </c>
      <c r="D61" s="2481"/>
      <c r="E61" s="2327" t="s">
        <v>4029</v>
      </c>
      <c r="F61" s="2481"/>
      <c r="G61" s="1749" t="s">
        <v>4030</v>
      </c>
      <c r="H61" s="1749"/>
      <c r="I61" s="1749" t="s">
        <v>4031</v>
      </c>
      <c r="J61" s="1749"/>
      <c r="K61" s="2327" t="s">
        <v>1629</v>
      </c>
      <c r="L61" s="2481"/>
      <c r="M61" s="2327" t="s">
        <v>1631</v>
      </c>
      <c r="N61" s="2481"/>
      <c r="O61" s="2327" t="s">
        <v>1629</v>
      </c>
      <c r="P61" s="2481"/>
      <c r="Q61" s="2327" t="s">
        <v>1631</v>
      </c>
      <c r="R61" s="2481"/>
      <c r="S61" s="1749"/>
    </row>
    <row r="62" spans="1:40">
      <c r="A62" s="1749">
        <v>100</v>
      </c>
      <c r="B62" s="1749"/>
      <c r="C62" s="1749">
        <v>99.89</v>
      </c>
      <c r="D62" s="1749"/>
      <c r="E62" s="1749">
        <v>99.71</v>
      </c>
      <c r="F62" s="1749"/>
      <c r="G62" s="1749">
        <v>1.49579</v>
      </c>
      <c r="H62" s="1749"/>
      <c r="I62" s="1749">
        <v>1.49508</v>
      </c>
      <c r="J62" s="1749"/>
      <c r="K62" s="1749">
        <v>99.82</v>
      </c>
      <c r="L62" s="1749"/>
      <c r="M62" s="1749">
        <v>99.65</v>
      </c>
      <c r="N62" s="1749"/>
      <c r="O62" s="1749" t="e">
        <f>(C62-K62)/$A$42*100</f>
        <v>#DIV/0!</v>
      </c>
      <c r="P62" s="1749"/>
      <c r="Q62" s="1749" t="e">
        <f>(E62-M62)/$A$42*100</f>
        <v>#DIV/0!</v>
      </c>
      <c r="R62" s="1749"/>
    </row>
    <row r="63" spans="1:40">
      <c r="A63" s="1749"/>
      <c r="B63" s="1749"/>
      <c r="C63" s="1749">
        <v>59.83</v>
      </c>
      <c r="D63" s="1749"/>
      <c r="E63" s="1749">
        <v>58.48</v>
      </c>
      <c r="F63" s="1749"/>
      <c r="G63" s="1749">
        <v>0.89578000000000002</v>
      </c>
      <c r="H63" s="1749"/>
      <c r="I63" s="1749">
        <v>0.89575000000000005</v>
      </c>
      <c r="J63" s="1749"/>
      <c r="K63" s="1749">
        <v>59.75</v>
      </c>
      <c r="L63" s="1749"/>
      <c r="M63" s="1749">
        <v>58.39</v>
      </c>
      <c r="N63" s="1749"/>
      <c r="O63" s="1749" t="e">
        <f>(C63-K63)/$A$42*100</f>
        <v>#DIV/0!</v>
      </c>
      <c r="P63" s="1749"/>
      <c r="Q63" s="1749" t="e">
        <f>(E63-M63)/$A$42*100</f>
        <v>#DIV/0!</v>
      </c>
      <c r="R63" s="1749"/>
    </row>
    <row r="64" spans="1:40">
      <c r="A64" s="1749"/>
      <c r="B64" s="1749"/>
      <c r="C64" s="1749">
        <v>9.9960000000000004</v>
      </c>
      <c r="D64" s="1749"/>
      <c r="E64" s="1749">
        <v>9.83</v>
      </c>
      <c r="F64" s="1749"/>
      <c r="G64" s="1749">
        <v>0.14577000000000001</v>
      </c>
      <c r="H64" s="1749"/>
      <c r="I64" s="1749">
        <v>0.14727999999999999</v>
      </c>
      <c r="J64" s="1749"/>
      <c r="K64" s="1749">
        <v>9.73</v>
      </c>
      <c r="L64" s="1749"/>
      <c r="M64" s="1749">
        <v>9.81</v>
      </c>
      <c r="N64" s="1749"/>
      <c r="O64" s="1749" t="e">
        <f>(C64-K64)/$A$42*100</f>
        <v>#DIV/0!</v>
      </c>
      <c r="P64" s="1749"/>
      <c r="Q64" s="1749" t="e">
        <f>(E64-M64)/$A$42*100</f>
        <v>#DIV/0!</v>
      </c>
      <c r="R64" s="1749"/>
    </row>
    <row r="65" spans="1:19">
      <c r="A65" s="1749">
        <v>1</v>
      </c>
      <c r="B65" s="1749"/>
      <c r="C65" s="1749">
        <v>1</v>
      </c>
      <c r="D65" s="1749"/>
      <c r="E65" s="1749">
        <v>1</v>
      </c>
      <c r="F65" s="1749"/>
      <c r="G65" s="1749">
        <v>1.5013099999999999</v>
      </c>
      <c r="H65" s="1749"/>
      <c r="I65" s="1749">
        <v>1.4996</v>
      </c>
      <c r="J65" s="1749"/>
      <c r="K65" s="1749">
        <v>1.0000800000000001</v>
      </c>
      <c r="L65" s="1749"/>
      <c r="M65" s="1749">
        <v>1.0002310000000001</v>
      </c>
      <c r="N65" s="1749"/>
      <c r="O65" s="1749" t="e">
        <f>(C65-K65)/$A$45*100</f>
        <v>#DIV/0!</v>
      </c>
      <c r="P65" s="1749"/>
      <c r="Q65" s="1749" t="e">
        <f>(E65-M65)/$A$45*100</f>
        <v>#DIV/0!</v>
      </c>
      <c r="R65" s="1749"/>
      <c r="S65" s="1749">
        <f>2*(0.00002^2+0.00005^2+0.00000029^2)^0.5</f>
        <v>1.07704857829162E-4</v>
      </c>
    </row>
    <row r="66" spans="1:19">
      <c r="A66" s="1749"/>
      <c r="B66" s="1749"/>
      <c r="C66" s="1749">
        <v>0.9</v>
      </c>
      <c r="D66" s="1749"/>
      <c r="E66" s="1749">
        <v>0.9</v>
      </c>
      <c r="F66" s="1749"/>
      <c r="G66" s="1749">
        <v>1.35104</v>
      </c>
      <c r="H66" s="1749"/>
      <c r="I66" s="1749">
        <v>1.3499000000000001</v>
      </c>
      <c r="J66" s="1749"/>
      <c r="K66" s="1749">
        <v>0.90015999999999996</v>
      </c>
      <c r="L66" s="1749"/>
      <c r="M66" s="1749">
        <v>0.90039999999999998</v>
      </c>
      <c r="N66" s="1749"/>
      <c r="O66" s="1749" t="e">
        <f t="shared" ref="O66:O74" si="9">(C66-K66)/$A$45*100</f>
        <v>#DIV/0!</v>
      </c>
      <c r="P66" s="1749"/>
      <c r="Q66" s="1749" t="e">
        <f t="shared" ref="Q66:Q74" si="10">(E66-M66)/$A$45*100</f>
        <v>#DIV/0!</v>
      </c>
      <c r="R66" s="1749"/>
      <c r="S66" s="1749"/>
    </row>
    <row r="67" spans="1:19">
      <c r="A67" s="1749"/>
      <c r="B67" s="1749"/>
      <c r="C67" s="1749">
        <v>0.8</v>
      </c>
      <c r="D67" s="1749"/>
      <c r="E67" s="1749">
        <v>0.8</v>
      </c>
      <c r="F67" s="1749"/>
      <c r="G67" s="1749">
        <v>1.2002999999999999</v>
      </c>
      <c r="H67" s="1749"/>
      <c r="I67" s="1749">
        <v>1.1988000000000001</v>
      </c>
      <c r="J67" s="1749"/>
      <c r="K67" s="1749">
        <v>0.80054000000000003</v>
      </c>
      <c r="L67" s="1749"/>
      <c r="M67" s="1749">
        <v>0.79942999999999997</v>
      </c>
      <c r="N67" s="1749"/>
      <c r="O67" s="1749" t="e">
        <f t="shared" si="9"/>
        <v>#DIV/0!</v>
      </c>
      <c r="P67" s="1749"/>
      <c r="Q67" s="1749" t="e">
        <f t="shared" si="10"/>
        <v>#DIV/0!</v>
      </c>
      <c r="R67" s="1749"/>
      <c r="S67" s="1749"/>
    </row>
    <row r="68" spans="1:19">
      <c r="A68" s="1749"/>
      <c r="B68" s="1749"/>
      <c r="C68" s="1749">
        <v>0.7</v>
      </c>
      <c r="D68" s="1749"/>
      <c r="E68" s="1749">
        <v>0.7</v>
      </c>
      <c r="F68" s="1749"/>
      <c r="G68" s="1749">
        <v>1.04982</v>
      </c>
      <c r="H68" s="1749"/>
      <c r="I68" s="1749">
        <v>1.0490600000000001</v>
      </c>
      <c r="J68" s="1749"/>
      <c r="K68" s="1749">
        <v>0.69994000000000001</v>
      </c>
      <c r="L68" s="1749"/>
      <c r="M68" s="1749">
        <v>0.69930000000000003</v>
      </c>
      <c r="N68" s="1749"/>
      <c r="O68" s="1749" t="e">
        <f t="shared" si="9"/>
        <v>#DIV/0!</v>
      </c>
      <c r="P68" s="1749"/>
      <c r="Q68" s="1749" t="e">
        <f t="shared" si="10"/>
        <v>#DIV/0!</v>
      </c>
      <c r="R68" s="1749"/>
      <c r="S68" s="1749"/>
    </row>
    <row r="69" spans="1:19">
      <c r="A69" s="1749"/>
      <c r="B69" s="1749"/>
      <c r="C69" s="1749">
        <v>0.6</v>
      </c>
      <c r="D69" s="1749"/>
      <c r="E69" s="1749">
        <v>0.6</v>
      </c>
      <c r="F69" s="1749"/>
      <c r="G69" s="1749">
        <v>0.89914000000000005</v>
      </c>
      <c r="H69" s="1749"/>
      <c r="I69" s="1749">
        <v>0.89846000000000004</v>
      </c>
      <c r="J69" s="1749"/>
      <c r="K69" s="1749">
        <v>0.59955000000000003</v>
      </c>
      <c r="L69" s="1749"/>
      <c r="M69" s="1749">
        <v>0.59930000000000005</v>
      </c>
      <c r="N69" s="1749"/>
      <c r="O69" s="1749" t="e">
        <f t="shared" si="9"/>
        <v>#DIV/0!</v>
      </c>
      <c r="P69" s="1749"/>
      <c r="Q69" s="1749" t="e">
        <f t="shared" si="10"/>
        <v>#DIV/0!</v>
      </c>
      <c r="R69" s="1749"/>
      <c r="S69" s="1749"/>
    </row>
    <row r="70" spans="1:19">
      <c r="A70" s="1749"/>
      <c r="B70" s="1749"/>
      <c r="C70" s="1749">
        <v>0.5</v>
      </c>
      <c r="D70" s="1749"/>
      <c r="E70" s="1749">
        <v>0.5</v>
      </c>
      <c r="F70" s="1749"/>
      <c r="G70" s="1749">
        <v>0.74914000000000003</v>
      </c>
      <c r="H70" s="1749"/>
      <c r="I70" s="1749">
        <v>0.74851000000000001</v>
      </c>
      <c r="J70" s="1749"/>
      <c r="K70" s="1749">
        <v>0.49945000000000001</v>
      </c>
      <c r="L70" s="1749"/>
      <c r="M70" s="1749">
        <v>0.49919999999999998</v>
      </c>
      <c r="N70" s="1749"/>
      <c r="O70" s="1749" t="e">
        <f t="shared" si="9"/>
        <v>#DIV/0!</v>
      </c>
      <c r="P70" s="1749"/>
      <c r="Q70" s="1749" t="e">
        <f t="shared" si="10"/>
        <v>#DIV/0!</v>
      </c>
      <c r="R70" s="1749"/>
      <c r="S70" s="1749"/>
    </row>
    <row r="71" spans="1:19">
      <c r="A71" s="1749"/>
      <c r="B71" s="1749"/>
      <c r="C71" s="1749">
        <v>0.4</v>
      </c>
      <c r="D71" s="1749"/>
      <c r="E71" s="1749">
        <v>0.4</v>
      </c>
      <c r="F71" s="1749"/>
      <c r="G71" s="1749">
        <v>0.59838599999999997</v>
      </c>
      <c r="H71" s="1749"/>
      <c r="I71" s="1749">
        <v>0.59838999999999998</v>
      </c>
      <c r="J71" s="1749"/>
      <c r="K71" s="1749">
        <v>0.40028000000000002</v>
      </c>
      <c r="L71" s="1749"/>
      <c r="M71" s="1749">
        <v>0.39933000000000002</v>
      </c>
      <c r="N71" s="1749"/>
      <c r="O71" s="1749" t="e">
        <f t="shared" si="9"/>
        <v>#DIV/0!</v>
      </c>
      <c r="P71" s="1749"/>
      <c r="Q71" s="1749" t="e">
        <f t="shared" si="10"/>
        <v>#DIV/0!</v>
      </c>
      <c r="R71" s="1749"/>
      <c r="S71" s="1749"/>
    </row>
    <row r="72" spans="1:19">
      <c r="A72" s="1749"/>
      <c r="B72" s="1749"/>
      <c r="C72" s="1749">
        <v>0.3</v>
      </c>
      <c r="D72" s="1749"/>
      <c r="E72" s="1749">
        <v>0.3</v>
      </c>
      <c r="F72" s="1749"/>
      <c r="G72" s="1749">
        <v>0.44789000000000001</v>
      </c>
      <c r="H72" s="1749"/>
      <c r="I72" s="1749">
        <v>0.44785999999999998</v>
      </c>
      <c r="J72" s="1749"/>
      <c r="K72" s="1749">
        <v>0.29951519999999998</v>
      </c>
      <c r="L72" s="1749"/>
      <c r="M72" s="1749">
        <v>0.29921999999999999</v>
      </c>
      <c r="N72" s="1749"/>
      <c r="O72" s="1749" t="e">
        <f t="shared" si="9"/>
        <v>#DIV/0!</v>
      </c>
      <c r="P72" s="1749"/>
      <c r="Q72" s="1749" t="e">
        <f t="shared" si="10"/>
        <v>#DIV/0!</v>
      </c>
      <c r="R72" s="1749"/>
      <c r="S72" s="1749"/>
    </row>
    <row r="73" spans="1:19">
      <c r="A73" s="1749"/>
      <c r="B73" s="1749"/>
      <c r="C73" s="1749">
        <v>0.2</v>
      </c>
      <c r="D73" s="1749"/>
      <c r="E73" s="1749">
        <v>0.2</v>
      </c>
      <c r="F73" s="1749"/>
      <c r="G73" s="1749">
        <v>0.29731999999999997</v>
      </c>
      <c r="H73" s="1749"/>
      <c r="I73" s="1749">
        <v>0.29768</v>
      </c>
      <c r="J73" s="1749"/>
      <c r="K73" s="1749">
        <v>0.199485</v>
      </c>
      <c r="L73" s="1749"/>
      <c r="M73" s="1749">
        <v>0.19941</v>
      </c>
      <c r="N73" s="1749"/>
      <c r="O73" s="1749" t="e">
        <f t="shared" si="9"/>
        <v>#DIV/0!</v>
      </c>
      <c r="P73" s="1749"/>
      <c r="Q73" s="1749" t="e">
        <f t="shared" si="10"/>
        <v>#DIV/0!</v>
      </c>
      <c r="R73" s="1749"/>
      <c r="S73" s="1749"/>
    </row>
    <row r="74" spans="1:19">
      <c r="A74" s="1749"/>
      <c r="B74" s="1749"/>
      <c r="C74" s="1749">
        <v>0.1</v>
      </c>
      <c r="D74" s="1749"/>
      <c r="E74" s="1749">
        <v>0.1</v>
      </c>
      <c r="F74" s="1749"/>
      <c r="G74" s="1749">
        <v>0.14635000000000001</v>
      </c>
      <c r="H74" s="1749"/>
      <c r="I74" s="1749">
        <v>0.14773</v>
      </c>
      <c r="J74" s="1749"/>
      <c r="K74" s="1749">
        <v>9.9631999999999998E-2</v>
      </c>
      <c r="L74" s="1749"/>
      <c r="M74" s="1749">
        <v>9.9629999999999996E-2</v>
      </c>
      <c r="N74" s="1749"/>
      <c r="O74" s="1749" t="e">
        <f t="shared" si="9"/>
        <v>#DIV/0!</v>
      </c>
      <c r="P74" s="1749"/>
      <c r="Q74" s="1749" t="e">
        <f t="shared" si="10"/>
        <v>#DIV/0!</v>
      </c>
      <c r="R74" s="1749"/>
      <c r="S74" s="1749"/>
    </row>
    <row r="75" spans="1:19">
      <c r="A75" s="1749">
        <v>5</v>
      </c>
      <c r="B75" s="1749"/>
      <c r="C75" s="1749">
        <v>5</v>
      </c>
      <c r="D75" s="1749"/>
      <c r="E75" s="1749">
        <v>5</v>
      </c>
      <c r="F75" s="1749"/>
      <c r="G75" s="1749">
        <v>1.5025599999999999</v>
      </c>
      <c r="H75" s="1749"/>
      <c r="I75" s="1749">
        <v>1.50152</v>
      </c>
      <c r="J75" s="1749"/>
      <c r="K75" s="1749">
        <v>5.0010899999999996</v>
      </c>
      <c r="L75" s="1749"/>
      <c r="M75" s="1749">
        <v>5.0007099999999998</v>
      </c>
      <c r="N75" s="1749"/>
      <c r="O75" s="1749" t="e">
        <f>(C75-K75)/$A$55*100</f>
        <v>#VALUE!</v>
      </c>
      <c r="P75" s="1749"/>
      <c r="Q75" s="1749" t="e">
        <f>(E75-M75)/$A$55*100</f>
        <v>#VALUE!</v>
      </c>
      <c r="R75" s="1749"/>
      <c r="S75" s="1749">
        <f>2*(0.00002^2+0.00005^2+0.00000029^2)^0.5</f>
        <v>1.07704857829162E-4</v>
      </c>
    </row>
    <row r="76" spans="1:19">
      <c r="A76" s="1749"/>
      <c r="B76" s="1749"/>
      <c r="C76" s="1749">
        <v>4</v>
      </c>
      <c r="D76" s="1749"/>
      <c r="E76" s="1749">
        <v>4</v>
      </c>
      <c r="F76" s="1749"/>
      <c r="G76" s="1749">
        <v>1.2013199999999999</v>
      </c>
      <c r="H76" s="1749"/>
      <c r="I76" s="1749">
        <v>1.20035</v>
      </c>
      <c r="J76" s="1749"/>
      <c r="K76" s="1749">
        <v>4.0044199999999996</v>
      </c>
      <c r="L76" s="1749"/>
      <c r="M76" s="1749">
        <v>4.00143</v>
      </c>
      <c r="N76" s="1749"/>
      <c r="O76" s="1749" t="e">
        <f>(C76-K76)/$A$55*100</f>
        <v>#VALUE!</v>
      </c>
      <c r="P76" s="1749"/>
      <c r="Q76" s="1749" t="e">
        <f>(E76-M76)/$A$55*100</f>
        <v>#VALUE!</v>
      </c>
      <c r="R76" s="1749"/>
      <c r="S76" s="1749"/>
    </row>
    <row r="77" spans="1:19">
      <c r="A77" s="1749"/>
      <c r="B77" s="1749"/>
      <c r="C77" s="1749">
        <v>3</v>
      </c>
      <c r="D77" s="1749"/>
      <c r="E77" s="1749">
        <v>3</v>
      </c>
      <c r="F77" s="1749"/>
      <c r="G77" s="1749">
        <v>0.89985000000000004</v>
      </c>
      <c r="H77" s="1749"/>
      <c r="I77" s="1749">
        <v>0.89959999999999996</v>
      </c>
      <c r="J77" s="1749"/>
      <c r="K77" s="1749">
        <v>2.9970300000000001</v>
      </c>
      <c r="L77" s="1749"/>
      <c r="M77" s="1749">
        <v>2.9960200000000001</v>
      </c>
      <c r="N77" s="1749"/>
      <c r="O77" s="1749" t="e">
        <f>(C77-K77)/$A$55*100</f>
        <v>#VALUE!</v>
      </c>
      <c r="P77" s="1749"/>
      <c r="Q77" s="1749" t="e">
        <f>(E77-M77)/$A$55*100</f>
        <v>#VALUE!</v>
      </c>
      <c r="R77" s="1749"/>
      <c r="S77" s="1749"/>
    </row>
    <row r="78" spans="1:19">
      <c r="A78" s="1749"/>
      <c r="B78" s="1749"/>
      <c r="C78" s="1749">
        <v>2</v>
      </c>
      <c r="D78" s="1749"/>
      <c r="E78" s="1749">
        <v>2</v>
      </c>
      <c r="F78" s="1749"/>
      <c r="G78" s="1749">
        <v>0.59884999999999999</v>
      </c>
      <c r="H78" s="1749"/>
      <c r="I78" s="1749">
        <v>0.59914000000000001</v>
      </c>
      <c r="J78" s="1749"/>
      <c r="K78" s="1749">
        <v>1.9958400000000001</v>
      </c>
      <c r="L78" s="1749"/>
      <c r="M78" s="1749">
        <v>1.9964500000000001</v>
      </c>
      <c r="N78" s="1749"/>
      <c r="O78" s="1749" t="e">
        <f>(C78-K78)/$A$55*100</f>
        <v>#VALUE!</v>
      </c>
      <c r="P78" s="1749"/>
      <c r="Q78" s="1749" t="e">
        <f>(E78-M78)/$A$55*100</f>
        <v>#VALUE!</v>
      </c>
      <c r="R78" s="1749"/>
      <c r="S78" s="1749"/>
    </row>
    <row r="79" spans="1:19">
      <c r="A79" s="1749"/>
      <c r="B79" s="1749"/>
      <c r="C79" s="1749">
        <v>1</v>
      </c>
      <c r="D79" s="1749"/>
      <c r="E79" s="1749">
        <v>1</v>
      </c>
      <c r="F79" s="1749"/>
      <c r="G79" s="1749">
        <v>0.29754000000000003</v>
      </c>
      <c r="H79" s="1749"/>
      <c r="I79" s="1749">
        <v>0.29804999999999998</v>
      </c>
      <c r="J79" s="1749"/>
      <c r="K79" s="1749">
        <v>0.99783999999999995</v>
      </c>
      <c r="L79" s="1749"/>
      <c r="M79" s="1749">
        <v>0.99736000000000002</v>
      </c>
      <c r="N79" s="1749"/>
      <c r="O79" s="1749" t="e">
        <f>(C79-K79)/$A$55*100</f>
        <v>#VALUE!</v>
      </c>
      <c r="P79" s="1749"/>
      <c r="Q79" s="1749" t="e">
        <f>(E79-M79)/$A$55*100</f>
        <v>#VALUE!</v>
      </c>
      <c r="R79" s="1749"/>
      <c r="S79" s="1749"/>
    </row>
    <row r="80" spans="1:19">
      <c r="A80" s="1749">
        <v>25</v>
      </c>
      <c r="B80" s="1749"/>
      <c r="C80" s="1749">
        <v>25.351099999999999</v>
      </c>
      <c r="D80" s="1749"/>
      <c r="E80" s="1749">
        <v>25.302900000000001</v>
      </c>
      <c r="F80" s="1749"/>
      <c r="G80" s="1749">
        <v>1.2648900000000001</v>
      </c>
      <c r="H80" s="1749"/>
      <c r="I80" s="1749">
        <v>1.2648999999999999</v>
      </c>
      <c r="J80" s="1749"/>
      <c r="K80" s="1749">
        <v>25.332799999999999</v>
      </c>
      <c r="L80" s="1749"/>
      <c r="M80" s="1749">
        <v>25.282599999999999</v>
      </c>
      <c r="N80" s="1749"/>
      <c r="O80" s="1749" t="e">
        <f>(C80-K80)/$A$60*100</f>
        <v>#VALUE!</v>
      </c>
      <c r="P80" s="1749"/>
      <c r="Q80" s="1749" t="e">
        <f>(E80-M80)/$A$60*100</f>
        <v>#VALUE!</v>
      </c>
      <c r="R80" s="1749"/>
    </row>
    <row r="81" spans="1:19">
      <c r="A81" s="1749"/>
      <c r="B81" s="1749"/>
      <c r="C81" s="1749">
        <v>15.184900000000001</v>
      </c>
      <c r="D81" s="1749"/>
      <c r="E81" s="1749">
        <v>15.166700000000001</v>
      </c>
      <c r="F81" s="1749"/>
      <c r="G81" s="1749">
        <v>0.75758999999999999</v>
      </c>
      <c r="H81" s="1749"/>
      <c r="I81" s="1749">
        <v>0.75792000000000004</v>
      </c>
      <c r="J81" s="1749"/>
      <c r="K81" s="1749">
        <v>15.1648</v>
      </c>
      <c r="L81" s="1749"/>
      <c r="M81" s="1749">
        <v>15.145799999999999</v>
      </c>
      <c r="N81" s="1749"/>
      <c r="O81" s="1749" t="e">
        <f>(C81-K81)/$A$60*100</f>
        <v>#VALUE!</v>
      </c>
      <c r="P81" s="1749"/>
      <c r="Q81" s="1749" t="e">
        <f>(E81-M81)/$A$60*100</f>
        <v>#VALUE!</v>
      </c>
      <c r="R81" s="1749"/>
    </row>
    <row r="82" spans="1:19">
      <c r="A82" s="1749"/>
      <c r="B82" s="1749"/>
      <c r="C82" s="1749">
        <v>2.47471</v>
      </c>
      <c r="D82" s="1749"/>
      <c r="E82" s="1749">
        <v>2.496</v>
      </c>
      <c r="F82" s="1749"/>
      <c r="G82" s="1749">
        <v>0.12333</v>
      </c>
      <c r="H82" s="1749"/>
      <c r="I82" s="1749">
        <v>0.12466000000000001</v>
      </c>
      <c r="J82" s="1749"/>
      <c r="K82" s="1749">
        <v>2.4679700000000002</v>
      </c>
      <c r="L82" s="1749"/>
      <c r="M82" s="1749">
        <v>2.4894799999999999</v>
      </c>
      <c r="N82" s="1749"/>
      <c r="O82" s="1749" t="e">
        <f>(C82-K82)/$A$60*100</f>
        <v>#VALUE!</v>
      </c>
      <c r="P82" s="1749"/>
      <c r="Q82" s="1749" t="e">
        <f>(E82-M82)/$A$60*100</f>
        <v>#VALUE!</v>
      </c>
      <c r="R82" s="1749"/>
    </row>
    <row r="83" spans="1:19">
      <c r="A83" s="1749"/>
      <c r="B83" s="1749"/>
      <c r="C83" s="2327"/>
      <c r="D83" s="2481"/>
      <c r="E83" s="2327"/>
      <c r="F83" s="2481"/>
      <c r="K83" s="2327"/>
      <c r="L83" s="2481"/>
      <c r="M83" s="2327">
        <f t="shared" ref="M83:M88" si="11">I83/1.5*30</f>
        <v>0</v>
      </c>
      <c r="N83" s="2481"/>
      <c r="O83" s="2327"/>
      <c r="P83" s="2481"/>
      <c r="Q83" s="2327"/>
      <c r="R83" s="2481"/>
    </row>
    <row r="84" spans="1:19">
      <c r="A84" s="1749"/>
      <c r="B84" s="1749"/>
      <c r="C84" s="2327"/>
      <c r="D84" s="2481"/>
      <c r="E84" s="2327"/>
      <c r="F84" s="2481"/>
      <c r="K84" s="2327"/>
      <c r="L84" s="2481"/>
      <c r="M84" s="2327">
        <f t="shared" si="11"/>
        <v>0</v>
      </c>
      <c r="N84" s="2481"/>
      <c r="O84" s="2327"/>
      <c r="P84" s="2481"/>
      <c r="Q84" s="2327"/>
      <c r="R84" s="2481"/>
    </row>
    <row r="85" spans="1:19">
      <c r="A85" s="1749"/>
      <c r="B85" s="1749"/>
      <c r="C85" s="2327"/>
      <c r="D85" s="2481"/>
      <c r="E85" s="2327"/>
      <c r="F85" s="2481"/>
      <c r="K85" s="2327"/>
      <c r="L85" s="2481"/>
      <c r="M85" s="2327">
        <f t="shared" si="11"/>
        <v>0</v>
      </c>
      <c r="N85" s="2481"/>
      <c r="O85" s="2327"/>
      <c r="P85" s="2481"/>
      <c r="Q85" s="2327"/>
      <c r="R85" s="2481"/>
    </row>
    <row r="86" spans="1:19">
      <c r="A86" s="1749"/>
      <c r="B86" s="1749"/>
      <c r="C86" s="2327"/>
      <c r="D86" s="2481"/>
      <c r="E86" s="2327"/>
      <c r="F86" s="2481"/>
      <c r="K86" s="2327"/>
      <c r="L86" s="2481"/>
      <c r="M86" s="2327">
        <f t="shared" si="11"/>
        <v>0</v>
      </c>
      <c r="N86" s="2481"/>
      <c r="O86" s="2327"/>
      <c r="P86" s="2481"/>
      <c r="Q86" s="2327"/>
      <c r="R86" s="2481"/>
    </row>
    <row r="87" spans="1:19">
      <c r="A87" s="1749"/>
      <c r="B87" s="1749"/>
      <c r="C87" s="2327"/>
      <c r="D87" s="2481"/>
      <c r="E87" s="2327"/>
      <c r="F87" s="2481"/>
      <c r="K87" s="2327"/>
      <c r="L87" s="2481"/>
      <c r="M87" s="2327">
        <f t="shared" si="11"/>
        <v>0</v>
      </c>
      <c r="N87" s="2481"/>
      <c r="O87" s="2327"/>
      <c r="P87" s="2481"/>
      <c r="Q87" s="2327"/>
      <c r="R87" s="2481"/>
    </row>
    <row r="88" spans="1:19">
      <c r="A88" s="1749"/>
      <c r="B88" s="1749"/>
      <c r="C88" s="2327"/>
      <c r="D88" s="2481"/>
      <c r="E88" s="2327"/>
      <c r="F88" s="2481"/>
      <c r="K88" s="2327"/>
      <c r="L88" s="2481"/>
      <c r="M88" s="2327">
        <f t="shared" si="11"/>
        <v>0</v>
      </c>
      <c r="N88" s="2481"/>
      <c r="O88" s="2327"/>
      <c r="P88" s="2481"/>
      <c r="Q88" s="2327"/>
      <c r="R88" s="1749"/>
    </row>
    <row r="89" spans="1:19">
      <c r="A89" t="s">
        <v>4032</v>
      </c>
      <c r="Q89" s="1749"/>
      <c r="R89" s="1749"/>
      <c r="S89" s="1749"/>
    </row>
    <row r="92" spans="1:19">
      <c r="A92" t="s">
        <v>4033</v>
      </c>
      <c r="B92" t="s">
        <v>4318</v>
      </c>
      <c r="J92">
        <v>1</v>
      </c>
      <c r="K92">
        <v>5</v>
      </c>
    </row>
    <row r="93" spans="1:19">
      <c r="A93" s="1749" t="s">
        <v>4034</v>
      </c>
      <c r="B93" s="1749"/>
      <c r="C93" s="2297" t="s">
        <v>4035</v>
      </c>
      <c r="D93" s="2297"/>
      <c r="E93" s="2297"/>
      <c r="F93" s="2327" t="s">
        <v>4036</v>
      </c>
      <c r="G93" s="1749"/>
      <c r="H93" s="2481"/>
      <c r="I93" s="2327" t="s">
        <v>4037</v>
      </c>
      <c r="J93" s="2482"/>
      <c r="K93" s="2297"/>
      <c r="L93" s="1749" t="s">
        <v>4038</v>
      </c>
    </row>
    <row r="94" spans="1:19">
      <c r="A94" s="1749"/>
      <c r="B94" s="1749"/>
      <c r="C94" s="41" t="s">
        <v>4039</v>
      </c>
      <c r="D94" s="41" t="s">
        <v>4040</v>
      </c>
      <c r="E94" s="41" t="s">
        <v>4041</v>
      </c>
      <c r="F94" s="41" t="s">
        <v>4039</v>
      </c>
      <c r="G94" s="41" t="s">
        <v>4040</v>
      </c>
      <c r="H94" s="41" t="s">
        <v>4041</v>
      </c>
      <c r="I94" s="41" t="s">
        <v>4039</v>
      </c>
      <c r="J94" s="578" t="s">
        <v>4040</v>
      </c>
      <c r="K94" s="41" t="s">
        <v>4041</v>
      </c>
      <c r="L94" s="1749"/>
    </row>
    <row r="95" spans="1:19">
      <c r="A95" s="1749">
        <v>200</v>
      </c>
      <c r="B95" s="1749"/>
      <c r="C95">
        <f>A95</f>
        <v>200</v>
      </c>
      <c r="D95">
        <f t="shared" ref="D95:D103" si="12">C95</f>
        <v>200</v>
      </c>
      <c r="E95">
        <f t="shared" ref="E95:E101" si="13">C95</f>
        <v>200</v>
      </c>
      <c r="F95">
        <v>200.00800000000001</v>
      </c>
      <c r="G95">
        <v>200.01499999999999</v>
      </c>
      <c r="H95">
        <v>200.01400000000001</v>
      </c>
      <c r="I95">
        <f t="shared" ref="I95:K97" si="14">(C95-F95)/$A$44*100</f>
        <v>-0.40000000000048885</v>
      </c>
      <c r="J95">
        <f t="shared" si="14"/>
        <v>-0.74999999999931788</v>
      </c>
      <c r="K95">
        <f t="shared" si="14"/>
        <v>-0.70000000000050022</v>
      </c>
    </row>
    <row r="96" spans="1:19">
      <c r="A96" s="1749"/>
      <c r="B96" s="1749"/>
      <c r="C96">
        <f>C95*0.6</f>
        <v>120</v>
      </c>
      <c r="D96">
        <f t="shared" si="12"/>
        <v>120</v>
      </c>
      <c r="E96">
        <f t="shared" si="13"/>
        <v>120</v>
      </c>
      <c r="F96">
        <v>120.035</v>
      </c>
      <c r="G96">
        <v>120.048</v>
      </c>
      <c r="H96">
        <v>120.035</v>
      </c>
      <c r="I96">
        <f t="shared" si="14"/>
        <v>-1.7499999999998295</v>
      </c>
      <c r="J96">
        <f t="shared" si="14"/>
        <v>-2.4000000000000909</v>
      </c>
      <c r="K96">
        <f t="shared" si="14"/>
        <v>-1.7499999999998295</v>
      </c>
    </row>
    <row r="97" spans="1:12">
      <c r="A97" s="1749"/>
      <c r="B97" s="1749"/>
      <c r="C97">
        <f>C95*0.1</f>
        <v>20</v>
      </c>
      <c r="D97">
        <f t="shared" si="12"/>
        <v>20</v>
      </c>
      <c r="E97">
        <f t="shared" si="13"/>
        <v>20</v>
      </c>
      <c r="F97">
        <v>19.978000000000002</v>
      </c>
      <c r="G97">
        <v>19.984000000000002</v>
      </c>
      <c r="H97">
        <v>19.972000000000001</v>
      </c>
      <c r="I97">
        <f t="shared" si="14"/>
        <v>1.0999999999999233</v>
      </c>
      <c r="J97">
        <f t="shared" si="14"/>
        <v>0.79999999999991189</v>
      </c>
      <c r="K97">
        <f t="shared" si="14"/>
        <v>1.3999999999999346</v>
      </c>
    </row>
    <row r="98" spans="1:12">
      <c r="A98" s="1749">
        <v>1</v>
      </c>
      <c r="B98" s="1749"/>
      <c r="C98">
        <f>A98</f>
        <v>1</v>
      </c>
      <c r="D98">
        <f t="shared" si="12"/>
        <v>1</v>
      </c>
      <c r="E98">
        <f t="shared" si="13"/>
        <v>1</v>
      </c>
      <c r="F98">
        <v>0.99988999999999995</v>
      </c>
      <c r="G98">
        <v>0.99990000000000001</v>
      </c>
      <c r="H98">
        <v>0.99995000000000001</v>
      </c>
      <c r="I98">
        <f t="shared" ref="I98:K107" si="15">(C98-F98)/$A$47*100</f>
        <v>2.20000000000109E-3</v>
      </c>
      <c r="J98">
        <f t="shared" si="15"/>
        <v>1.9999999999997797E-3</v>
      </c>
      <c r="K98">
        <f t="shared" si="15"/>
        <v>9.9999999999988987E-4</v>
      </c>
      <c r="L98" s="1749">
        <f>2*(0.00002^2+0.00005^2+0.00000029^2)^0.5</f>
        <v>1.07704857829162E-4</v>
      </c>
    </row>
    <row r="99" spans="1:12">
      <c r="A99" s="1749"/>
      <c r="B99" s="1749"/>
      <c r="C99">
        <f>C98*0.9</f>
        <v>0.9</v>
      </c>
      <c r="D99">
        <f t="shared" si="12"/>
        <v>0.9</v>
      </c>
      <c r="E99">
        <f t="shared" si="13"/>
        <v>0.9</v>
      </c>
      <c r="F99">
        <v>0.89995999999999998</v>
      </c>
      <c r="G99">
        <v>0.89990999999999999</v>
      </c>
      <c r="H99">
        <v>0.89998999999999996</v>
      </c>
      <c r="I99">
        <f t="shared" si="15"/>
        <v>8.0000000000080007E-4</v>
      </c>
      <c r="J99">
        <f t="shared" si="15"/>
        <v>1.8000000000006899E-3</v>
      </c>
      <c r="K99">
        <f t="shared" si="15"/>
        <v>2.0000000000131021E-4</v>
      </c>
      <c r="L99" s="1749"/>
    </row>
    <row r="100" spans="1:12">
      <c r="A100" s="1749"/>
      <c r="B100" s="1749"/>
      <c r="C100">
        <f>C98*0.8</f>
        <v>0.8</v>
      </c>
      <c r="D100">
        <f t="shared" si="12"/>
        <v>0.8</v>
      </c>
      <c r="E100">
        <f t="shared" si="13"/>
        <v>0.8</v>
      </c>
      <c r="F100">
        <v>0.79998999999999998</v>
      </c>
      <c r="G100">
        <v>0.79995000000000005</v>
      </c>
      <c r="H100">
        <v>0.80001</v>
      </c>
      <c r="I100">
        <f t="shared" si="15"/>
        <v>2.0000000000131021E-4</v>
      </c>
      <c r="J100">
        <f t="shared" si="15"/>
        <v>9.9999999999988987E-4</v>
      </c>
      <c r="K100">
        <f t="shared" si="15"/>
        <v>-1.9999999999908982E-4</v>
      </c>
      <c r="L100" s="1749"/>
    </row>
    <row r="101" spans="1:12">
      <c r="A101" s="1749"/>
      <c r="B101" s="1749"/>
      <c r="C101">
        <f>C98*0.7</f>
        <v>0.7</v>
      </c>
      <c r="D101">
        <f t="shared" si="12"/>
        <v>0.7</v>
      </c>
      <c r="E101">
        <f t="shared" si="13"/>
        <v>0.7</v>
      </c>
      <c r="F101">
        <v>0.70008000000000004</v>
      </c>
      <c r="G101">
        <v>0.70004</v>
      </c>
      <c r="H101">
        <v>0.70008000000000004</v>
      </c>
      <c r="I101">
        <f t="shared" si="15"/>
        <v>-1.6000000000016001E-3</v>
      </c>
      <c r="J101">
        <f t="shared" si="15"/>
        <v>-8.0000000000080007E-4</v>
      </c>
      <c r="K101">
        <f t="shared" si="15"/>
        <v>-1.6000000000016001E-3</v>
      </c>
      <c r="L101" s="1749"/>
    </row>
    <row r="102" spans="1:12">
      <c r="A102" s="1749"/>
      <c r="B102" s="1749"/>
      <c r="C102">
        <f>C98*0.6</f>
        <v>0.6</v>
      </c>
      <c r="D102">
        <f t="shared" si="12"/>
        <v>0.6</v>
      </c>
      <c r="E102">
        <v>0.6</v>
      </c>
      <c r="F102">
        <v>0.60007999999999995</v>
      </c>
      <c r="G102">
        <v>0.60004000000000002</v>
      </c>
      <c r="H102">
        <v>0.60007999999999995</v>
      </c>
      <c r="I102">
        <f t="shared" si="15"/>
        <v>-1.5999999999993795E-3</v>
      </c>
      <c r="J102">
        <f t="shared" si="15"/>
        <v>-8.0000000000080007E-4</v>
      </c>
      <c r="K102">
        <f t="shared" si="15"/>
        <v>-1.5999999999993795E-3</v>
      </c>
      <c r="L102" s="1749"/>
    </row>
    <row r="103" spans="1:12">
      <c r="A103" s="1749"/>
      <c r="B103" s="1749"/>
      <c r="C103">
        <f>C98*0.5</f>
        <v>0.5</v>
      </c>
      <c r="D103">
        <f t="shared" si="12"/>
        <v>0.5</v>
      </c>
      <c r="E103">
        <f>C103</f>
        <v>0.5</v>
      </c>
      <c r="F103">
        <v>0.50007000000000001</v>
      </c>
      <c r="G103">
        <v>0.50004000000000004</v>
      </c>
      <c r="H103">
        <v>0.50007000000000001</v>
      </c>
      <c r="I103">
        <f t="shared" si="15"/>
        <v>-1.4000000000002899E-3</v>
      </c>
      <c r="J103">
        <f t="shared" si="15"/>
        <v>-8.0000000000080007E-4</v>
      </c>
      <c r="K103">
        <f t="shared" si="15"/>
        <v>-1.4000000000002899E-3</v>
      </c>
      <c r="L103" s="1749"/>
    </row>
    <row r="104" spans="1:12">
      <c r="A104" s="1749"/>
      <c r="B104" s="1749"/>
      <c r="C104">
        <v>0.4</v>
      </c>
      <c r="D104">
        <v>0.4</v>
      </c>
      <c r="E104">
        <v>0.4</v>
      </c>
      <c r="F104">
        <v>0.39983999999999997</v>
      </c>
      <c r="G104">
        <v>0.39999699999999999</v>
      </c>
      <c r="H104">
        <v>0.40005000000000002</v>
      </c>
      <c r="I104">
        <f t="shared" si="15"/>
        <v>3.2000000000009798E-3</v>
      </c>
      <c r="J104">
        <f t="shared" si="15"/>
        <v>6.000000000061511E-5</v>
      </c>
      <c r="K104">
        <f t="shared" si="15"/>
        <v>-9.9999999999988987E-4</v>
      </c>
      <c r="L104" s="1749"/>
    </row>
    <row r="105" spans="1:12">
      <c r="A105" s="1749"/>
      <c r="B105" s="1749"/>
      <c r="C105">
        <v>0.3</v>
      </c>
      <c r="D105">
        <v>0.3</v>
      </c>
      <c r="E105">
        <v>0.3</v>
      </c>
      <c r="F105">
        <v>0.29998999999999998</v>
      </c>
      <c r="G105">
        <v>0.3</v>
      </c>
      <c r="H105">
        <v>0.30001</v>
      </c>
      <c r="I105">
        <f t="shared" si="15"/>
        <v>2.0000000000020002E-4</v>
      </c>
      <c r="J105">
        <f t="shared" si="15"/>
        <v>0</v>
      </c>
      <c r="K105">
        <f t="shared" si="15"/>
        <v>-2.0000000000020002E-4</v>
      </c>
      <c r="L105" s="1749"/>
    </row>
    <row r="106" spans="1:12">
      <c r="A106" s="1749"/>
      <c r="B106" s="1749"/>
      <c r="C106">
        <v>0.2</v>
      </c>
      <c r="D106">
        <v>0.2</v>
      </c>
      <c r="E106">
        <v>0.2</v>
      </c>
      <c r="F106">
        <v>0.19994000000000001</v>
      </c>
      <c r="G106">
        <v>0.19993</v>
      </c>
      <c r="H106">
        <v>0.19994999999999999</v>
      </c>
      <c r="I106">
        <f t="shared" si="15"/>
        <v>1.2000000000000899E-3</v>
      </c>
      <c r="J106">
        <f t="shared" si="15"/>
        <v>1.4000000000002899E-3</v>
      </c>
      <c r="K106">
        <f t="shared" si="15"/>
        <v>1.000000000000445E-3</v>
      </c>
      <c r="L106" s="1749"/>
    </row>
    <row r="107" spans="1:12">
      <c r="A107" s="1749"/>
      <c r="B107" s="1749"/>
      <c r="C107">
        <v>0.1</v>
      </c>
      <c r="D107">
        <v>0.1</v>
      </c>
      <c r="E107">
        <v>0.1</v>
      </c>
      <c r="F107">
        <v>9.9860000000000004E-2</v>
      </c>
      <c r="G107">
        <v>9.9849999999999994E-2</v>
      </c>
      <c r="H107">
        <v>9.9839999999999998E-2</v>
      </c>
      <c r="I107">
        <f t="shared" si="15"/>
        <v>2.8000000000000247E-3</v>
      </c>
      <c r="J107">
        <f t="shared" si="15"/>
        <v>3.0000000000002247E-3</v>
      </c>
      <c r="K107">
        <f t="shared" si="15"/>
        <v>3.2000000000001467E-3</v>
      </c>
      <c r="L107" s="1749"/>
    </row>
    <row r="108" spans="1:12">
      <c r="A108" s="1749">
        <v>5</v>
      </c>
      <c r="B108" s="1749"/>
      <c r="C108">
        <v>5</v>
      </c>
      <c r="D108">
        <v>5</v>
      </c>
      <c r="E108">
        <v>5</v>
      </c>
      <c r="F108">
        <v>4.9992999999999999</v>
      </c>
      <c r="G108">
        <v>4.9995200000000004</v>
      </c>
      <c r="H108">
        <v>4.9997699999999998</v>
      </c>
      <c r="I108" t="e">
        <f t="shared" ref="I108:K112" si="16">(C108-F108)/$A$57*100</f>
        <v>#DIV/0!</v>
      </c>
      <c r="J108" t="e">
        <f t="shared" si="16"/>
        <v>#DIV/0!</v>
      </c>
      <c r="K108" t="e">
        <f t="shared" si="16"/>
        <v>#DIV/0!</v>
      </c>
      <c r="L108" s="1749">
        <f>2*(0.00002^2+0.00005^2+0.00000029^2)^0.5</f>
        <v>1.07704857829162E-4</v>
      </c>
    </row>
    <row r="109" spans="1:12">
      <c r="A109" s="1749"/>
      <c r="B109" s="1749"/>
      <c r="C109">
        <v>4</v>
      </c>
      <c r="D109">
        <v>4</v>
      </c>
      <c r="E109">
        <v>4</v>
      </c>
      <c r="F109">
        <v>4.0013899999999998</v>
      </c>
      <c r="G109">
        <v>4.0006899999999996</v>
      </c>
      <c r="H109">
        <v>4.0002000000000004</v>
      </c>
      <c r="I109" t="e">
        <f t="shared" si="16"/>
        <v>#DIV/0!</v>
      </c>
      <c r="J109" t="e">
        <f t="shared" si="16"/>
        <v>#DIV/0!</v>
      </c>
      <c r="K109" t="e">
        <f t="shared" si="16"/>
        <v>#DIV/0!</v>
      </c>
      <c r="L109" s="1749"/>
    </row>
    <row r="110" spans="1:12">
      <c r="A110" s="1749"/>
      <c r="B110" s="1749"/>
      <c r="C110">
        <v>3</v>
      </c>
      <c r="D110">
        <v>3</v>
      </c>
      <c r="E110">
        <v>3</v>
      </c>
      <c r="F110">
        <v>3.00027</v>
      </c>
      <c r="G110">
        <v>3.0001600000000002</v>
      </c>
      <c r="H110">
        <v>3.0004</v>
      </c>
      <c r="I110" t="e">
        <f t="shared" si="16"/>
        <v>#DIV/0!</v>
      </c>
      <c r="J110" t="e">
        <f t="shared" si="16"/>
        <v>#DIV/0!</v>
      </c>
      <c r="K110" t="e">
        <f t="shared" si="16"/>
        <v>#DIV/0!</v>
      </c>
      <c r="L110" s="1749"/>
    </row>
    <row r="111" spans="1:12">
      <c r="A111" s="1749"/>
      <c r="B111" s="1749"/>
      <c r="C111">
        <v>2</v>
      </c>
      <c r="D111">
        <v>2</v>
      </c>
      <c r="E111">
        <v>2</v>
      </c>
      <c r="F111">
        <v>2.0001899999999999</v>
      </c>
      <c r="G111">
        <v>2.0001099999999998</v>
      </c>
      <c r="H111">
        <v>2.0002</v>
      </c>
      <c r="I111" t="e">
        <f t="shared" si="16"/>
        <v>#DIV/0!</v>
      </c>
      <c r="J111" t="e">
        <f t="shared" si="16"/>
        <v>#DIV/0!</v>
      </c>
      <c r="K111" t="e">
        <f t="shared" si="16"/>
        <v>#DIV/0!</v>
      </c>
      <c r="L111" s="1749"/>
    </row>
    <row r="112" spans="1:12">
      <c r="A112" s="1749"/>
      <c r="B112" s="1749"/>
      <c r="C112">
        <v>1</v>
      </c>
      <c r="D112">
        <v>1</v>
      </c>
      <c r="E112">
        <v>1</v>
      </c>
      <c r="F112">
        <v>0.99972000000000005</v>
      </c>
      <c r="G112">
        <v>0.99956</v>
      </c>
      <c r="H112">
        <v>0.99978999999999996</v>
      </c>
      <c r="I112" t="e">
        <f t="shared" si="16"/>
        <v>#DIV/0!</v>
      </c>
      <c r="J112" t="e">
        <f t="shared" si="16"/>
        <v>#DIV/0!</v>
      </c>
      <c r="K112" t="e">
        <f t="shared" si="16"/>
        <v>#DIV/0!</v>
      </c>
      <c r="L112" s="1749"/>
    </row>
    <row r="113" spans="1:12">
      <c r="A113" s="1749">
        <v>20</v>
      </c>
      <c r="B113" s="1749"/>
      <c r="C113">
        <v>20</v>
      </c>
      <c r="D113">
        <v>20</v>
      </c>
      <c r="E113">
        <v>20</v>
      </c>
      <c r="F113">
        <v>19.997299999999999</v>
      </c>
      <c r="G113">
        <v>19.999099999999999</v>
      </c>
      <c r="H113">
        <v>19.998699999999999</v>
      </c>
      <c r="I113">
        <f>(C113-F113)/$A$62*100</f>
        <v>2.7000000000008129E-3</v>
      </c>
      <c r="J113">
        <f>(D113-G113)/$A$62*100</f>
        <v>9.0000000000145519E-4</v>
      </c>
      <c r="K113">
        <f>(E113-H113)/$A$62*100</f>
        <v>1.300000000000523E-3</v>
      </c>
      <c r="L113" s="1749">
        <f>2*(0.00002^2+0.00005^2+0.0000029^2)^0.5</f>
        <v>1.0785935286288344E-4</v>
      </c>
    </row>
    <row r="114" spans="1:12">
      <c r="A114" s="1749"/>
      <c r="B114" s="1749"/>
      <c r="C114">
        <v>12</v>
      </c>
      <c r="D114">
        <v>12</v>
      </c>
      <c r="E114">
        <v>12</v>
      </c>
      <c r="F114">
        <v>12.001200000000001</v>
      </c>
      <c r="G114">
        <v>12.002700000000001</v>
      </c>
      <c r="H114">
        <v>12.000999999999999</v>
      </c>
      <c r="I114">
        <f t="shared" ref="I114:K115" si="17">(C114-F114)/$A$62*100</f>
        <v>-1.200000000000756E-3</v>
      </c>
      <c r="J114">
        <f t="shared" si="17"/>
        <v>-2.7000000000008129E-3</v>
      </c>
      <c r="K114">
        <f t="shared" si="17"/>
        <v>-9.9999999999944578E-4</v>
      </c>
      <c r="L114" s="1749"/>
    </row>
    <row r="115" spans="1:12">
      <c r="A115" s="1749"/>
      <c r="B115" s="1749"/>
      <c r="C115">
        <v>2</v>
      </c>
      <c r="D115">
        <v>2</v>
      </c>
      <c r="E115">
        <v>2</v>
      </c>
      <c r="F115">
        <v>1.9970000000000001</v>
      </c>
      <c r="G115">
        <v>1.9970000000000001</v>
      </c>
      <c r="H115">
        <v>1.9964999999999999</v>
      </c>
      <c r="I115">
        <f t="shared" si="17"/>
        <v>2.9999999999998916E-3</v>
      </c>
      <c r="J115">
        <f t="shared" si="17"/>
        <v>2.9999999999998916E-3</v>
      </c>
      <c r="K115">
        <f t="shared" si="17"/>
        <v>3.5000000000000586E-3</v>
      </c>
      <c r="L115" s="1749"/>
    </row>
    <row r="116" spans="1:12">
      <c r="A116" s="1749"/>
      <c r="B116" s="1749"/>
      <c r="D116">
        <f t="shared" ref="D116:D121" si="18">C116</f>
        <v>0</v>
      </c>
      <c r="E116">
        <f t="shared" ref="E116:E121" si="19">C116</f>
        <v>0</v>
      </c>
      <c r="F116" t="e">
        <f>#REF!/1.5*20</f>
        <v>#REF!</v>
      </c>
      <c r="G116" t="e">
        <f>#REF!/1.5*20</f>
        <v>#REF!</v>
      </c>
      <c r="H116" t="e">
        <f>#REF!/1.5*20</f>
        <v>#REF!</v>
      </c>
    </row>
    <row r="117" spans="1:12">
      <c r="A117" s="1749"/>
      <c r="B117" s="1749"/>
      <c r="D117">
        <f t="shared" si="18"/>
        <v>0</v>
      </c>
      <c r="E117">
        <f t="shared" si="19"/>
        <v>0</v>
      </c>
      <c r="F117" t="e">
        <f>#REF!/1.5*20</f>
        <v>#REF!</v>
      </c>
      <c r="G117" t="e">
        <f>#REF!/1.5*20</f>
        <v>#REF!</v>
      </c>
      <c r="H117" t="e">
        <f>#REF!/1.5*20</f>
        <v>#REF!</v>
      </c>
    </row>
    <row r="118" spans="1:12">
      <c r="A118" s="1749"/>
      <c r="B118" s="1749"/>
      <c r="D118">
        <f t="shared" si="18"/>
        <v>0</v>
      </c>
      <c r="E118">
        <f t="shared" si="19"/>
        <v>0</v>
      </c>
      <c r="F118" t="e">
        <f>#REF!/1.5*20</f>
        <v>#REF!</v>
      </c>
      <c r="G118" t="e">
        <f>#REF!/1.5*20</f>
        <v>#REF!</v>
      </c>
      <c r="H118" t="e">
        <f>#REF!/1.5*20</f>
        <v>#REF!</v>
      </c>
    </row>
    <row r="119" spans="1:12">
      <c r="A119" s="1749"/>
      <c r="B119" s="1749"/>
      <c r="D119">
        <f t="shared" si="18"/>
        <v>0</v>
      </c>
      <c r="E119">
        <f t="shared" si="19"/>
        <v>0</v>
      </c>
      <c r="F119" t="e">
        <f>#REF!/1.5*20</f>
        <v>#REF!</v>
      </c>
      <c r="G119" t="e">
        <f>#REF!/1.5*20</f>
        <v>#REF!</v>
      </c>
      <c r="H119" t="e">
        <f>#REF!/1.5*20</f>
        <v>#REF!</v>
      </c>
    </row>
    <row r="120" spans="1:12">
      <c r="A120" s="1749"/>
      <c r="B120" s="1749"/>
      <c r="D120">
        <f t="shared" si="18"/>
        <v>0</v>
      </c>
      <c r="E120">
        <f t="shared" si="19"/>
        <v>0</v>
      </c>
      <c r="F120" t="e">
        <f>#REF!/1.5*20</f>
        <v>#REF!</v>
      </c>
      <c r="G120" t="e">
        <f>#REF!/1.5*20</f>
        <v>#REF!</v>
      </c>
      <c r="H120" t="e">
        <f>#REF!/1.5*20</f>
        <v>#REF!</v>
      </c>
    </row>
    <row r="121" spans="1:12">
      <c r="A121" s="1749"/>
      <c r="B121" s="1749"/>
      <c r="D121">
        <f t="shared" si="18"/>
        <v>0</v>
      </c>
      <c r="E121">
        <f t="shared" si="19"/>
        <v>0</v>
      </c>
      <c r="F121" t="e">
        <f>#REF!/1.5*20</f>
        <v>#REF!</v>
      </c>
      <c r="G121" t="e">
        <f>#REF!/1.5*20</f>
        <v>#REF!</v>
      </c>
      <c r="H121" t="e">
        <f>#REF!/1.5*20</f>
        <v>#REF!</v>
      </c>
    </row>
    <row r="122" spans="1:12">
      <c r="A122" t="s">
        <v>122</v>
      </c>
    </row>
  </sheetData>
  <mergeCells count="308">
    <mergeCell ref="Q89:S89"/>
    <mergeCell ref="A93:B94"/>
    <mergeCell ref="C93:E93"/>
    <mergeCell ref="F93:H93"/>
    <mergeCell ref="I93:K93"/>
    <mergeCell ref="L93:L94"/>
    <mergeCell ref="A116:B118"/>
    <mergeCell ref="A119:B121"/>
    <mergeCell ref="A95:B97"/>
    <mergeCell ref="A98:B107"/>
    <mergeCell ref="L98:L107"/>
    <mergeCell ref="A108:B112"/>
    <mergeCell ref="L108:L112"/>
    <mergeCell ref="A113:B115"/>
    <mergeCell ref="L113:L115"/>
    <mergeCell ref="A86:B88"/>
    <mergeCell ref="C86:D86"/>
    <mergeCell ref="E86:F86"/>
    <mergeCell ref="K86:L86"/>
    <mergeCell ref="M86:N86"/>
    <mergeCell ref="O86:P86"/>
    <mergeCell ref="Q86:R86"/>
    <mergeCell ref="C87:D87"/>
    <mergeCell ref="E87:F87"/>
    <mergeCell ref="K87:L87"/>
    <mergeCell ref="M87:N87"/>
    <mergeCell ref="O87:P87"/>
    <mergeCell ref="Q87:R87"/>
    <mergeCell ref="C88:D88"/>
    <mergeCell ref="E88:F88"/>
    <mergeCell ref="K88:L88"/>
    <mergeCell ref="M88:N88"/>
    <mergeCell ref="O88:P88"/>
    <mergeCell ref="Q88:R88"/>
    <mergeCell ref="M82:N82"/>
    <mergeCell ref="O82:P82"/>
    <mergeCell ref="Q82:R82"/>
    <mergeCell ref="A83:B85"/>
    <mergeCell ref="C83:D83"/>
    <mergeCell ref="E83:F83"/>
    <mergeCell ref="K83:L83"/>
    <mergeCell ref="M83:N83"/>
    <mergeCell ref="O83:P83"/>
    <mergeCell ref="Q83:R83"/>
    <mergeCell ref="C84:D84"/>
    <mergeCell ref="E84:F84"/>
    <mergeCell ref="K84:L84"/>
    <mergeCell ref="M84:N84"/>
    <mergeCell ref="O84:P84"/>
    <mergeCell ref="Q84:R84"/>
    <mergeCell ref="C85:D85"/>
    <mergeCell ref="E85:F85"/>
    <mergeCell ref="K85:L85"/>
    <mergeCell ref="M85:N85"/>
    <mergeCell ref="O85:P85"/>
    <mergeCell ref="Q85:R85"/>
    <mergeCell ref="O79:P79"/>
    <mergeCell ref="Q79:R79"/>
    <mergeCell ref="A80:B82"/>
    <mergeCell ref="C80:D80"/>
    <mergeCell ref="E80:F80"/>
    <mergeCell ref="G80:H80"/>
    <mergeCell ref="I80:J80"/>
    <mergeCell ref="K80:L80"/>
    <mergeCell ref="M80:N80"/>
    <mergeCell ref="O80:P80"/>
    <mergeCell ref="Q80:R80"/>
    <mergeCell ref="C81:D81"/>
    <mergeCell ref="E81:F81"/>
    <mergeCell ref="G81:H81"/>
    <mergeCell ref="I81:J81"/>
    <mergeCell ref="K81:L81"/>
    <mergeCell ref="M81:N81"/>
    <mergeCell ref="O81:P81"/>
    <mergeCell ref="Q81:R81"/>
    <mergeCell ref="C82:D82"/>
    <mergeCell ref="E82:F82"/>
    <mergeCell ref="G82:H82"/>
    <mergeCell ref="I82:J82"/>
    <mergeCell ref="K82:L82"/>
    <mergeCell ref="S75:S79"/>
    <mergeCell ref="C76:D76"/>
    <mergeCell ref="E76:F76"/>
    <mergeCell ref="G76:H76"/>
    <mergeCell ref="I76:J76"/>
    <mergeCell ref="K76:L76"/>
    <mergeCell ref="M76:N76"/>
    <mergeCell ref="O76:P76"/>
    <mergeCell ref="Q76:R76"/>
    <mergeCell ref="C77:D77"/>
    <mergeCell ref="E77:F77"/>
    <mergeCell ref="G77:H77"/>
    <mergeCell ref="I77:J77"/>
    <mergeCell ref="K77:L77"/>
    <mergeCell ref="M77:N77"/>
    <mergeCell ref="O77:P77"/>
    <mergeCell ref="Q77:R77"/>
    <mergeCell ref="K78:L78"/>
    <mergeCell ref="M78:N78"/>
    <mergeCell ref="O78:P78"/>
    <mergeCell ref="Q78:R78"/>
    <mergeCell ref="C79:D79"/>
    <mergeCell ref="E79:F79"/>
    <mergeCell ref="G79:H79"/>
    <mergeCell ref="C74:D74"/>
    <mergeCell ref="E74:F74"/>
    <mergeCell ref="G74:H74"/>
    <mergeCell ref="I74:J74"/>
    <mergeCell ref="K74:L74"/>
    <mergeCell ref="M74:N74"/>
    <mergeCell ref="O74:P74"/>
    <mergeCell ref="Q74:R74"/>
    <mergeCell ref="A75:B79"/>
    <mergeCell ref="C75:D75"/>
    <mergeCell ref="E75:F75"/>
    <mergeCell ref="G75:H75"/>
    <mergeCell ref="I75:J75"/>
    <mergeCell ref="K75:L75"/>
    <mergeCell ref="C78:D78"/>
    <mergeCell ref="E78:F78"/>
    <mergeCell ref="G78:H78"/>
    <mergeCell ref="I78:J78"/>
    <mergeCell ref="M75:N75"/>
    <mergeCell ref="O75:P75"/>
    <mergeCell ref="Q75:R75"/>
    <mergeCell ref="I79:J79"/>
    <mergeCell ref="K79:L79"/>
    <mergeCell ref="M79:N79"/>
    <mergeCell ref="C72:D72"/>
    <mergeCell ref="E72:F72"/>
    <mergeCell ref="G72:H72"/>
    <mergeCell ref="I72:J72"/>
    <mergeCell ref="K72:L72"/>
    <mergeCell ref="M72:N72"/>
    <mergeCell ref="O72:P72"/>
    <mergeCell ref="Q72:R72"/>
    <mergeCell ref="C73:D73"/>
    <mergeCell ref="E73:F73"/>
    <mergeCell ref="G73:H73"/>
    <mergeCell ref="I73:J73"/>
    <mergeCell ref="K73:L73"/>
    <mergeCell ref="M73:N73"/>
    <mergeCell ref="O73:P73"/>
    <mergeCell ref="Q73:R73"/>
    <mergeCell ref="M70:N70"/>
    <mergeCell ref="O70:P70"/>
    <mergeCell ref="Q70:R70"/>
    <mergeCell ref="C71:D71"/>
    <mergeCell ref="E71:F71"/>
    <mergeCell ref="G71:H71"/>
    <mergeCell ref="I71:J71"/>
    <mergeCell ref="K71:L71"/>
    <mergeCell ref="M71:N71"/>
    <mergeCell ref="O71:P71"/>
    <mergeCell ref="Q71:R71"/>
    <mergeCell ref="S65:S74"/>
    <mergeCell ref="C66:D66"/>
    <mergeCell ref="E66:F66"/>
    <mergeCell ref="G66:H66"/>
    <mergeCell ref="I66:J66"/>
    <mergeCell ref="K66:L66"/>
    <mergeCell ref="M66:N66"/>
    <mergeCell ref="O66:P66"/>
    <mergeCell ref="Q66:R66"/>
    <mergeCell ref="C67:D67"/>
    <mergeCell ref="E67:F67"/>
    <mergeCell ref="G67:H67"/>
    <mergeCell ref="I67:J67"/>
    <mergeCell ref="K67:L67"/>
    <mergeCell ref="M67:N67"/>
    <mergeCell ref="O67:P67"/>
    <mergeCell ref="Q67:R67"/>
    <mergeCell ref="K68:L68"/>
    <mergeCell ref="M68:N68"/>
    <mergeCell ref="O68:P68"/>
    <mergeCell ref="Q68:R68"/>
    <mergeCell ref="C69:D69"/>
    <mergeCell ref="E69:F69"/>
    <mergeCell ref="G69:H69"/>
    <mergeCell ref="Q64:R64"/>
    <mergeCell ref="A65:B74"/>
    <mergeCell ref="C65:D65"/>
    <mergeCell ref="E65:F65"/>
    <mergeCell ref="G65:H65"/>
    <mergeCell ref="I65:J65"/>
    <mergeCell ref="K65:L65"/>
    <mergeCell ref="C68:D68"/>
    <mergeCell ref="E68:F68"/>
    <mergeCell ref="G68:H68"/>
    <mergeCell ref="I68:J68"/>
    <mergeCell ref="M65:N65"/>
    <mergeCell ref="O65:P65"/>
    <mergeCell ref="Q65:R65"/>
    <mergeCell ref="I69:J69"/>
    <mergeCell ref="K69:L69"/>
    <mergeCell ref="M69:N69"/>
    <mergeCell ref="O69:P69"/>
    <mergeCell ref="Q69:R69"/>
    <mergeCell ref="C70:D70"/>
    <mergeCell ref="E70:F70"/>
    <mergeCell ref="G70:H70"/>
    <mergeCell ref="I70:J70"/>
    <mergeCell ref="K70:L70"/>
    <mergeCell ref="A62:B64"/>
    <mergeCell ref="C62:D62"/>
    <mergeCell ref="E62:F62"/>
    <mergeCell ref="G62:H62"/>
    <mergeCell ref="I62:J62"/>
    <mergeCell ref="K62:L62"/>
    <mergeCell ref="M62:N62"/>
    <mergeCell ref="O62:P62"/>
    <mergeCell ref="Q62:R62"/>
    <mergeCell ref="C63:D63"/>
    <mergeCell ref="E63:F63"/>
    <mergeCell ref="G63:H63"/>
    <mergeCell ref="I63:J63"/>
    <mergeCell ref="K63:L63"/>
    <mergeCell ref="M63:N63"/>
    <mergeCell ref="O63:P63"/>
    <mergeCell ref="Q63:R63"/>
    <mergeCell ref="C64:D64"/>
    <mergeCell ref="E64:F64"/>
    <mergeCell ref="G64:H64"/>
    <mergeCell ref="I64:J64"/>
    <mergeCell ref="K64:L64"/>
    <mergeCell ref="M64:N64"/>
    <mergeCell ref="O64:P64"/>
    <mergeCell ref="Q59:R59"/>
    <mergeCell ref="A60:B61"/>
    <mergeCell ref="C60:F60"/>
    <mergeCell ref="G60:J60"/>
    <mergeCell ref="K60:N60"/>
    <mergeCell ref="O60:R60"/>
    <mergeCell ref="S60:S61"/>
    <mergeCell ref="C61:D61"/>
    <mergeCell ref="E61:F61"/>
    <mergeCell ref="G61:H61"/>
    <mergeCell ref="I61:J61"/>
    <mergeCell ref="K61:L61"/>
    <mergeCell ref="M61:N61"/>
    <mergeCell ref="O61:P61"/>
    <mergeCell ref="Q61:R61"/>
    <mergeCell ref="A35:A37"/>
    <mergeCell ref="B35:B37"/>
    <mergeCell ref="A38:A40"/>
    <mergeCell ref="B38:B40"/>
    <mergeCell ref="A50:A52"/>
    <mergeCell ref="B50:B52"/>
    <mergeCell ref="A41:A43"/>
    <mergeCell ref="B41:B43"/>
    <mergeCell ref="A44:A46"/>
    <mergeCell ref="B44:B46"/>
    <mergeCell ref="A47:A49"/>
    <mergeCell ref="B47:B49"/>
    <mergeCell ref="F23:F24"/>
    <mergeCell ref="A1:C1"/>
    <mergeCell ref="A3:C3"/>
    <mergeCell ref="A20:D20"/>
    <mergeCell ref="A23:B24"/>
    <mergeCell ref="C23:C24"/>
    <mergeCell ref="D23:E24"/>
    <mergeCell ref="A25:A34"/>
    <mergeCell ref="B25:B34"/>
    <mergeCell ref="G23:H24"/>
    <mergeCell ref="I23:J24"/>
    <mergeCell ref="Y23:Y24"/>
    <mergeCell ref="Z23:AA24"/>
    <mergeCell ref="AB23:AB24"/>
    <mergeCell ref="AG23:AH24"/>
    <mergeCell ref="K23:K24"/>
    <mergeCell ref="M23:N24"/>
    <mergeCell ref="O23:O24"/>
    <mergeCell ref="P23:P24"/>
    <mergeCell ref="Q23:Q24"/>
    <mergeCell ref="AI23:AJ24"/>
    <mergeCell ref="AK23:AK24"/>
    <mergeCell ref="AL23:AM24"/>
    <mergeCell ref="AN23:AN24"/>
    <mergeCell ref="U25:U34"/>
    <mergeCell ref="V25:V34"/>
    <mergeCell ref="AG25:AG34"/>
    <mergeCell ref="AH25:AH34"/>
    <mergeCell ref="U23:V24"/>
    <mergeCell ref="W23:X24"/>
    <mergeCell ref="U35:U37"/>
    <mergeCell ref="V35:V37"/>
    <mergeCell ref="AG35:AG37"/>
    <mergeCell ref="AH35:AH37"/>
    <mergeCell ref="U38:U40"/>
    <mergeCell ref="V38:V40"/>
    <mergeCell ref="AG38:AG40"/>
    <mergeCell ref="AH38:AH40"/>
    <mergeCell ref="U47:U49"/>
    <mergeCell ref="V47:V49"/>
    <mergeCell ref="AG47:AG49"/>
    <mergeCell ref="AH47:AH49"/>
    <mergeCell ref="U50:U52"/>
    <mergeCell ref="V50:V52"/>
    <mergeCell ref="AG50:AG52"/>
    <mergeCell ref="AH50:AH52"/>
    <mergeCell ref="U41:U43"/>
    <mergeCell ref="V41:V43"/>
    <mergeCell ref="AG41:AG43"/>
    <mergeCell ref="AH41:AH43"/>
    <mergeCell ref="U44:U46"/>
    <mergeCell ref="V44:V46"/>
    <mergeCell ref="AG44:AG46"/>
    <mergeCell ref="AH44:AH46"/>
  </mergeCells>
  <phoneticPr fontId="25" type="noConversion"/>
  <conditionalFormatting sqref="O62:R82">
    <cfRule type="cellIs" dxfId="123" priority="5" stopIfTrue="1" operator="greaterThan">
      <formula>0.1</formula>
    </cfRule>
    <cfRule type="cellIs" dxfId="122" priority="6" stopIfTrue="1" operator="lessThan">
      <formula>-0.1</formula>
    </cfRule>
  </conditionalFormatting>
  <conditionalFormatting sqref="O83:Q89 R83:R88">
    <cfRule type="cellIs" dxfId="121" priority="7" stopIfTrue="1" operator="greaterThan">
      <formula>0.1</formula>
    </cfRule>
    <cfRule type="cellIs" priority="8" stopIfTrue="1" operator="lessThan">
      <formula>-0.1</formula>
    </cfRule>
  </conditionalFormatting>
  <conditionalFormatting sqref="I116:K121 I95:K97">
    <cfRule type="cellIs" dxfId="120" priority="1" stopIfTrue="1" operator="greaterThan">
      <formula>0.05</formula>
    </cfRule>
    <cfRule type="cellIs" dxfId="119" priority="2" stopIfTrue="1" operator="lessThan">
      <formula>-0.05</formula>
    </cfRule>
  </conditionalFormatting>
  <conditionalFormatting sqref="I98:K115">
    <cfRule type="cellIs" dxfId="118" priority="3" stopIfTrue="1" operator="greaterThan">
      <formula>0.05</formula>
    </cfRule>
    <cfRule type="cellIs" dxfId="117" priority="4" stopIfTrue="1" operator="lessThan">
      <formula>-0.05</formula>
    </cfRule>
  </conditionalFormatting>
  <pageMargins left="0.75" right="0.75" top="1" bottom="1" header="0.5" footer="0.5"/>
  <drawing r:id="rId1"/>
  <legacyDrawing r:id="rId2"/>
</worksheet>
</file>

<file path=xl/worksheets/sheet24.xml><?xml version="1.0" encoding="utf-8"?>
<worksheet xmlns="http://schemas.openxmlformats.org/spreadsheetml/2006/main" xmlns:r="http://schemas.openxmlformats.org/officeDocument/2006/relationships">
  <dimension ref="A1:U20"/>
  <sheetViews>
    <sheetView workbookViewId="0">
      <selection activeCell="E20" sqref="E20:G20"/>
    </sheetView>
  </sheetViews>
  <sheetFormatPr defaultRowHeight="14.25"/>
  <sheetData>
    <row r="1" spans="1:21">
      <c r="A1" t="s">
        <v>3889</v>
      </c>
    </row>
    <row r="2" spans="1:21" ht="15.75">
      <c r="A2" s="1605" t="s">
        <v>3960</v>
      </c>
      <c r="B2" s="1605"/>
      <c r="C2" s="1605"/>
      <c r="D2" s="1605"/>
      <c r="E2" s="1605"/>
      <c r="F2" s="1605"/>
      <c r="G2" s="1605"/>
      <c r="H2" s="1605"/>
      <c r="I2" s="1605"/>
      <c r="J2" s="1605"/>
      <c r="K2" s="1605"/>
      <c r="L2" s="1605"/>
      <c r="M2" s="1605"/>
      <c r="N2" s="1605"/>
      <c r="O2" s="1605"/>
      <c r="P2" s="1606"/>
      <c r="Q2" s="1605"/>
      <c r="R2" s="1605"/>
      <c r="S2" s="1605"/>
      <c r="T2" s="1605"/>
      <c r="U2" s="1605"/>
    </row>
    <row r="3" spans="1:21" ht="15.75">
      <c r="A3" s="2455" t="s">
        <v>3961</v>
      </c>
      <c r="B3" s="2455"/>
      <c r="C3" s="2455"/>
      <c r="D3" s="347" t="s">
        <v>3962</v>
      </c>
      <c r="E3" s="2455" t="s">
        <v>3963</v>
      </c>
      <c r="F3" s="2455"/>
      <c r="G3" s="2455"/>
      <c r="H3" s="2455"/>
      <c r="I3" s="2455" t="s">
        <v>3964</v>
      </c>
      <c r="J3" s="2455"/>
      <c r="K3" s="2455" t="s">
        <v>3965</v>
      </c>
      <c r="L3" s="2455"/>
      <c r="M3" s="2455"/>
      <c r="N3" s="1605"/>
      <c r="O3" s="1605"/>
      <c r="P3" s="1606"/>
      <c r="Q3" s="1605"/>
      <c r="R3" s="1605"/>
      <c r="S3" s="1605"/>
      <c r="T3" s="1605"/>
      <c r="U3" s="1605"/>
    </row>
    <row r="4" spans="1:21" ht="15.75">
      <c r="A4" s="2451">
        <v>0.99447300000000005</v>
      </c>
      <c r="B4" s="2451"/>
      <c r="C4" s="2451"/>
      <c r="D4" s="349">
        <v>0.99545300000000003</v>
      </c>
      <c r="E4" s="2451">
        <v>0.99447300000000005</v>
      </c>
      <c r="F4" s="2451"/>
      <c r="G4" s="2451"/>
      <c r="H4" s="2451"/>
      <c r="I4" s="2451">
        <v>0.99545300000000003</v>
      </c>
      <c r="J4" s="2451"/>
      <c r="K4" s="2451">
        <v>0.99447300000000005</v>
      </c>
      <c r="L4" s="2451"/>
      <c r="M4" s="2451"/>
      <c r="N4" s="1605"/>
      <c r="O4" s="1605"/>
      <c r="P4" s="1606"/>
      <c r="Q4" s="1605"/>
      <c r="R4" s="1605"/>
      <c r="S4" s="1605"/>
      <c r="T4" s="1605"/>
      <c r="U4" s="1605"/>
    </row>
    <row r="5" spans="1:21" ht="15.75">
      <c r="A5" s="2451">
        <v>0.99545300000000003</v>
      </c>
      <c r="B5" s="2451"/>
      <c r="C5" s="2451"/>
      <c r="D5" s="349">
        <v>0.99447300000000005</v>
      </c>
      <c r="E5" s="2451">
        <v>0.99545300000000003</v>
      </c>
      <c r="F5" s="2451"/>
      <c r="G5" s="2451"/>
      <c r="H5" s="2451"/>
      <c r="I5" s="2451">
        <v>0.99447300000000005</v>
      </c>
      <c r="J5" s="2451"/>
      <c r="K5" s="2451">
        <v>0.99545300000000003</v>
      </c>
      <c r="L5" s="2451"/>
      <c r="M5" s="2451"/>
      <c r="N5" s="1605"/>
      <c r="O5" s="1605"/>
      <c r="P5" s="1606"/>
      <c r="Q5" s="1605"/>
      <c r="R5" s="1605"/>
      <c r="S5" s="1605"/>
      <c r="T5" s="1605"/>
      <c r="U5" s="1605"/>
    </row>
    <row r="6" spans="1:21" ht="18.75">
      <c r="A6" s="2452" t="s">
        <v>3966</v>
      </c>
      <c r="B6" s="2453"/>
      <c r="C6" s="2454"/>
      <c r="D6" s="1814"/>
      <c r="E6" s="1713"/>
      <c r="F6" s="1713"/>
      <c r="G6" s="1713"/>
      <c r="H6" s="1713"/>
      <c r="I6" s="1713"/>
      <c r="J6" s="1713"/>
      <c r="K6" s="1713"/>
      <c r="L6" s="1713"/>
      <c r="M6" s="1714"/>
      <c r="N6" s="1605"/>
      <c r="O6" s="1605"/>
      <c r="P6" s="1606"/>
      <c r="Q6" s="1605"/>
      <c r="R6" s="1605"/>
      <c r="S6" s="1605"/>
      <c r="T6" s="1605"/>
      <c r="U6" s="1605"/>
    </row>
    <row r="7" spans="1:21" ht="15.75">
      <c r="A7" s="1605"/>
      <c r="B7" s="1605"/>
      <c r="C7" s="1605"/>
      <c r="D7" s="1605"/>
      <c r="E7" s="1605"/>
      <c r="F7" s="1605"/>
      <c r="G7" s="1605"/>
      <c r="H7" s="1605"/>
      <c r="I7" s="1605"/>
      <c r="J7" s="1605"/>
      <c r="K7" s="1605"/>
      <c r="L7" s="1605"/>
      <c r="M7" s="1605"/>
      <c r="N7" s="1605"/>
      <c r="O7" s="1605"/>
      <c r="P7" s="1606"/>
      <c r="Q7" s="1605"/>
      <c r="R7" s="1605"/>
      <c r="S7" s="1605"/>
      <c r="T7" s="1605"/>
      <c r="U7" s="1605"/>
    </row>
    <row r="8" spans="1:21" ht="15.75">
      <c r="A8" s="1605"/>
      <c r="B8" s="1605"/>
      <c r="C8" s="1605"/>
      <c r="D8" s="1605"/>
      <c r="E8" s="1605"/>
      <c r="F8" s="1605"/>
      <c r="G8" s="1605"/>
      <c r="H8" s="1605"/>
      <c r="I8" s="1605"/>
      <c r="J8" s="1605"/>
      <c r="K8" s="1605"/>
      <c r="L8" s="1605"/>
      <c r="M8" s="1605"/>
      <c r="N8" s="1605"/>
      <c r="O8" s="1605"/>
      <c r="P8" s="1606"/>
      <c r="Q8" s="1605"/>
      <c r="R8" s="1605"/>
      <c r="S8" s="1605"/>
      <c r="T8" s="1605"/>
      <c r="U8" s="1605"/>
    </row>
    <row r="9" spans="1:21" ht="15.75">
      <c r="A9" s="1605" t="s">
        <v>3967</v>
      </c>
      <c r="B9" s="1605"/>
      <c r="C9" s="1605"/>
      <c r="D9" s="1605"/>
      <c r="E9" s="1605"/>
      <c r="F9" s="1605"/>
      <c r="G9" s="1605"/>
      <c r="H9" s="1605"/>
      <c r="I9" s="1605"/>
      <c r="J9" s="1605"/>
      <c r="K9" s="1605"/>
      <c r="L9" s="1605"/>
      <c r="M9" s="1605"/>
      <c r="N9" s="1605"/>
      <c r="O9" s="1605"/>
      <c r="P9" s="1606"/>
      <c r="Q9" s="1605"/>
      <c r="R9" s="1605"/>
      <c r="S9" s="1605"/>
      <c r="T9" s="1605"/>
      <c r="U9" s="1605"/>
    </row>
    <row r="10" spans="1:21" ht="18.75">
      <c r="A10" t="s">
        <v>3968</v>
      </c>
      <c r="B10" s="1749" t="s">
        <v>3969</v>
      </c>
      <c r="C10" s="1749"/>
      <c r="D10" s="1749"/>
      <c r="E10" s="1749"/>
      <c r="F10" s="1749"/>
      <c r="G10" s="1749"/>
      <c r="H10" s="1749"/>
      <c r="I10" s="1749"/>
      <c r="J10" s="1749"/>
      <c r="K10" s="2450" t="s">
        <v>3970</v>
      </c>
      <c r="L10" s="2450"/>
      <c r="M10" s="1749" t="s">
        <v>3971</v>
      </c>
      <c r="N10" s="1749"/>
      <c r="O10" s="1749"/>
      <c r="P10" s="1749" t="s">
        <v>3972</v>
      </c>
      <c r="Q10" s="2450"/>
      <c r="R10" s="1749" t="s">
        <v>3838</v>
      </c>
      <c r="S10" s="2450"/>
      <c r="T10" s="2450"/>
      <c r="U10" s="2450"/>
    </row>
    <row r="11" spans="1:21" ht="18.75">
      <c r="A11">
        <v>1</v>
      </c>
      <c r="B11" s="1749" t="s">
        <v>3973</v>
      </c>
      <c r="C11" s="1749"/>
      <c r="D11" s="1749"/>
      <c r="E11" s="1749"/>
      <c r="F11" s="1749"/>
      <c r="G11" s="1749"/>
      <c r="H11" s="1749"/>
      <c r="I11" s="1749"/>
      <c r="J11" s="1749"/>
      <c r="K11" s="1749">
        <v>4.0000000000000003E-5</v>
      </c>
      <c r="L11" s="1749"/>
      <c r="M11" s="1749" t="s">
        <v>3974</v>
      </c>
      <c r="N11" s="1749"/>
      <c r="O11" s="1749"/>
      <c r="P11" s="2450">
        <v>2</v>
      </c>
      <c r="Q11" s="2450"/>
      <c r="R11" s="1749">
        <f>K11/P11</f>
        <v>2.0000000000000002E-5</v>
      </c>
      <c r="S11" s="1749"/>
      <c r="T11" s="1749"/>
      <c r="U11" s="1749"/>
    </row>
    <row r="12" spans="1:21" ht="18.75">
      <c r="A12">
        <v>2</v>
      </c>
      <c r="B12" s="1749" t="s">
        <v>3975</v>
      </c>
      <c r="C12" s="1749"/>
      <c r="D12" s="1749"/>
      <c r="E12" s="1749"/>
      <c r="F12" s="1749"/>
      <c r="G12" s="1749"/>
      <c r="H12" s="1749"/>
      <c r="I12" s="1749"/>
      <c r="J12" s="1749"/>
      <c r="K12" s="1749">
        <v>2.0000000000000001E-4</v>
      </c>
      <c r="L12" s="1749"/>
      <c r="M12" s="1749" t="s">
        <v>3976</v>
      </c>
      <c r="N12" s="1749"/>
      <c r="O12" s="1749"/>
      <c r="P12" s="2450">
        <v>2</v>
      </c>
      <c r="Q12" s="2450"/>
      <c r="R12" s="1749">
        <f>K12/P12</f>
        <v>1E-4</v>
      </c>
      <c r="S12" s="1749"/>
      <c r="T12" s="1749"/>
      <c r="U12" s="1749"/>
    </row>
    <row r="13" spans="1:21" ht="18.75">
      <c r="A13">
        <v>3</v>
      </c>
      <c r="B13" s="1749" t="s">
        <v>3977</v>
      </c>
      <c r="C13" s="1749"/>
      <c r="D13" s="1749"/>
      <c r="E13" s="1749"/>
      <c r="F13" s="1749"/>
      <c r="G13" s="1749"/>
      <c r="H13" s="1749"/>
      <c r="I13" s="1749"/>
      <c r="J13" s="1749"/>
      <c r="K13" s="1749">
        <v>5.0000000000000004E-6</v>
      </c>
      <c r="L13" s="1749"/>
      <c r="M13" s="1749" t="s">
        <v>3978</v>
      </c>
      <c r="N13" s="1749"/>
      <c r="O13" s="1749"/>
      <c r="P13" s="1749" t="s">
        <v>3979</v>
      </c>
      <c r="Q13" s="1749"/>
      <c r="R13" s="1749">
        <f>K13/SQRT(3)</f>
        <v>2.8867513459481293E-6</v>
      </c>
      <c r="S13" s="1749"/>
      <c r="T13" s="1749"/>
      <c r="U13" s="1749"/>
    </row>
    <row r="14" spans="1:21" ht="18.75">
      <c r="A14" t="s">
        <v>3980</v>
      </c>
      <c r="B14" s="1749"/>
      <c r="C14" s="1749"/>
      <c r="D14" s="1749"/>
      <c r="E14" s="1749"/>
      <c r="F14" s="1749"/>
      <c r="G14" s="1749"/>
      <c r="H14" s="1749"/>
      <c r="I14" s="1749"/>
      <c r="J14" s="1749"/>
      <c r="K14" s="1749"/>
      <c r="L14" s="1749"/>
      <c r="M14" s="1749"/>
      <c r="N14" s="1749"/>
      <c r="O14" s="1749"/>
      <c r="P14" s="1749"/>
      <c r="Q14" s="1749"/>
      <c r="R14" s="1749"/>
      <c r="S14" s="1749"/>
      <c r="T14" s="1749"/>
      <c r="U14" s="1749"/>
    </row>
    <row r="15" spans="1:21" ht="15.75">
      <c r="A15" s="1605" t="s">
        <v>3981</v>
      </c>
      <c r="B15" s="1605"/>
      <c r="C15" s="1605"/>
      <c r="D15" s="1605"/>
      <c r="E15" s="1605"/>
      <c r="F15" s="1605"/>
      <c r="G15" s="1605"/>
      <c r="H15" s="1605"/>
      <c r="I15" s="1605"/>
      <c r="J15" s="1605"/>
      <c r="L15" s="1605"/>
      <c r="M15" s="1605"/>
      <c r="N15" s="1605"/>
      <c r="O15" s="1605"/>
      <c r="P15" s="1606"/>
      <c r="Q15" s="1605"/>
      <c r="R15" s="1605"/>
      <c r="S15" s="1605"/>
      <c r="T15" s="1605"/>
      <c r="U15" s="1605"/>
    </row>
    <row r="16" spans="1:21" ht="18.75">
      <c r="A16" s="1605"/>
      <c r="B16" t="s">
        <v>3982</v>
      </c>
      <c r="C16" s="1605"/>
      <c r="D16" s="1749"/>
      <c r="E16" s="1749"/>
      <c r="F16" s="1605"/>
      <c r="G16" s="1605"/>
      <c r="H16" s="1605"/>
      <c r="I16" s="1605"/>
      <c r="J16" s="1605"/>
      <c r="L16" s="1605"/>
      <c r="M16" s="1605"/>
      <c r="N16" s="1605"/>
      <c r="O16" s="1605"/>
      <c r="P16" s="1606"/>
      <c r="Q16" s="1605"/>
      <c r="R16" s="1605"/>
      <c r="S16" s="1605"/>
      <c r="T16" s="1605"/>
      <c r="U16" s="1605"/>
    </row>
    <row r="17" spans="1:21" ht="15.75">
      <c r="A17" s="1605" t="s">
        <v>3983</v>
      </c>
      <c r="B17" s="1605"/>
      <c r="C17" s="1605"/>
      <c r="D17" s="1605"/>
      <c r="E17" s="1605"/>
      <c r="F17" s="1605"/>
      <c r="G17" s="1605"/>
      <c r="H17" s="1605"/>
      <c r="I17" s="1605"/>
      <c r="J17" s="1605"/>
      <c r="L17" s="1605"/>
      <c r="M17" s="1605"/>
      <c r="N17" s="1605"/>
      <c r="O17" s="1605"/>
      <c r="P17" s="1606"/>
      <c r="Q17" s="1605"/>
      <c r="R17" s="1605"/>
      <c r="S17" s="1605"/>
      <c r="T17" s="1605"/>
      <c r="U17" s="1605"/>
    </row>
    <row r="18" spans="1:21" ht="18.75">
      <c r="A18" s="1749" t="s">
        <v>3984</v>
      </c>
      <c r="B18" s="1749"/>
      <c r="E18" s="1605"/>
      <c r="F18" s="1605"/>
      <c r="G18" s="1605"/>
      <c r="H18" s="1605"/>
      <c r="I18" s="1605"/>
      <c r="J18" s="1605"/>
      <c r="L18" s="1605"/>
      <c r="M18" s="1605"/>
      <c r="N18" s="1605"/>
      <c r="O18" s="1605"/>
      <c r="P18" s="1606"/>
      <c r="Q18" s="1605"/>
      <c r="R18" s="1605"/>
      <c r="S18" s="1605"/>
      <c r="T18" s="1605"/>
      <c r="U18" s="1605"/>
    </row>
    <row r="19" spans="1:21" ht="15.75">
      <c r="A19" s="1605" t="s">
        <v>3985</v>
      </c>
      <c r="B19" s="1605"/>
      <c r="C19" s="1605"/>
      <c r="D19" s="1605"/>
      <c r="E19" s="1605"/>
      <c r="F19" s="1605"/>
      <c r="G19" s="1605"/>
      <c r="H19" s="1605"/>
      <c r="I19" s="1605"/>
      <c r="J19" s="1605"/>
      <c r="L19" s="1605"/>
      <c r="M19" s="1605"/>
      <c r="N19" s="1605"/>
      <c r="P19" s="1606"/>
      <c r="Q19" s="1605"/>
      <c r="R19" s="1605"/>
      <c r="S19" s="1605"/>
      <c r="T19" s="1605"/>
      <c r="U19" s="1605"/>
    </row>
    <row r="20" spans="1:21" ht="15.75">
      <c r="A20" t="s">
        <v>3986</v>
      </c>
      <c r="B20" s="1605"/>
      <c r="C20" s="1605"/>
      <c r="E20" s="1749"/>
      <c r="F20" s="1749"/>
      <c r="G20" s="1749"/>
      <c r="H20" s="1749"/>
      <c r="I20" s="1749"/>
      <c r="J20" s="1749"/>
      <c r="K20" s="1605"/>
      <c r="L20" s="1605"/>
      <c r="M20" s="1605"/>
      <c r="N20" s="1605"/>
      <c r="O20" s="1605"/>
      <c r="P20" s="1606"/>
      <c r="Q20" s="1605"/>
      <c r="R20" s="1605"/>
      <c r="S20" s="1605"/>
      <c r="T20" s="1605"/>
      <c r="U20" s="1605"/>
    </row>
  </sheetData>
  <mergeCells count="39">
    <mergeCell ref="A3:C3"/>
    <mergeCell ref="E3:H3"/>
    <mergeCell ref="I3:J3"/>
    <mergeCell ref="K3:M3"/>
    <mergeCell ref="A4:C4"/>
    <mergeCell ref="E4:H4"/>
    <mergeCell ref="I4:J4"/>
    <mergeCell ref="K4:M4"/>
    <mergeCell ref="A5:C5"/>
    <mergeCell ref="E5:H5"/>
    <mergeCell ref="I5:J5"/>
    <mergeCell ref="K5:M5"/>
    <mergeCell ref="A6:C6"/>
    <mergeCell ref="D6:M6"/>
    <mergeCell ref="B11:J11"/>
    <mergeCell ref="K11:L11"/>
    <mergeCell ref="M11:O11"/>
    <mergeCell ref="P11:Q11"/>
    <mergeCell ref="R11:U11"/>
    <mergeCell ref="B10:J10"/>
    <mergeCell ref="K10:L10"/>
    <mergeCell ref="M10:O10"/>
    <mergeCell ref="P10:Q10"/>
    <mergeCell ref="R10:U10"/>
    <mergeCell ref="B13:J13"/>
    <mergeCell ref="K13:L13"/>
    <mergeCell ref="M13:O13"/>
    <mergeCell ref="P13:Q13"/>
    <mergeCell ref="R13:U13"/>
    <mergeCell ref="B12:J12"/>
    <mergeCell ref="K12:L12"/>
    <mergeCell ref="M12:O12"/>
    <mergeCell ref="P12:Q12"/>
    <mergeCell ref="R12:U12"/>
    <mergeCell ref="B14:U14"/>
    <mergeCell ref="D16:E16"/>
    <mergeCell ref="A18:B18"/>
    <mergeCell ref="E20:G20"/>
    <mergeCell ref="H20:J20"/>
  </mergeCells>
  <phoneticPr fontId="2" type="noConversion"/>
  <pageMargins left="0.7" right="0.7" top="0.75" bottom="0.75" header="0.3" footer="0.3"/>
  <legacyDrawing r:id="rId1"/>
  <oleObjects>
    <oleObject progId="Equation.3" shapeId="245761" r:id="rId2"/>
  </oleObjects>
</worksheet>
</file>

<file path=xl/worksheets/sheet25.xml><?xml version="1.0" encoding="utf-8"?>
<worksheet xmlns="http://schemas.openxmlformats.org/spreadsheetml/2006/main" xmlns:r="http://schemas.openxmlformats.org/officeDocument/2006/relationships">
  <dimension ref="A1:AO168"/>
  <sheetViews>
    <sheetView topLeftCell="A4" workbookViewId="0">
      <selection sqref="A1:D1"/>
    </sheetView>
  </sheetViews>
  <sheetFormatPr defaultRowHeight="14.25" outlineLevelRow="1"/>
  <cols>
    <col min="1" max="1" width="15.875" customWidth="1"/>
    <col min="2" max="2" width="16.375" customWidth="1"/>
    <col min="3" max="3" width="21.25" customWidth="1"/>
    <col min="4" max="4" width="21.5" customWidth="1"/>
    <col min="5" max="5" width="31.625" customWidth="1"/>
    <col min="6" max="6" width="17.625" customWidth="1"/>
    <col min="7" max="7" width="20.875" customWidth="1"/>
    <col min="8" max="8" width="9" hidden="1" customWidth="1"/>
    <col min="10" max="10" width="17.875" customWidth="1"/>
    <col min="11" max="11" width="9" customWidth="1"/>
    <col min="12" max="12" width="0.125" customWidth="1"/>
    <col min="13" max="13" width="11.875" customWidth="1"/>
    <col min="14" max="14" width="18.625" customWidth="1"/>
    <col min="21" max="21" width="25.375" customWidth="1"/>
  </cols>
  <sheetData>
    <row r="1" spans="1:5">
      <c r="A1" s="1749" t="s">
        <v>4054</v>
      </c>
      <c r="B1" s="2433"/>
      <c r="C1" s="2433"/>
      <c r="D1" s="2433"/>
    </row>
    <row r="3" spans="1:5" ht="18.75" outlineLevel="1">
      <c r="A3" s="699" t="s">
        <v>1920</v>
      </c>
      <c r="B3" s="699"/>
      <c r="C3" s="6" t="s">
        <v>69</v>
      </c>
      <c r="D3" s="6" t="s">
        <v>70</v>
      </c>
      <c r="E3" s="700" t="s">
        <v>2048</v>
      </c>
    </row>
    <row r="4" spans="1:5" outlineLevel="1">
      <c r="A4" s="6" t="s">
        <v>2049</v>
      </c>
      <c r="B4" s="6"/>
      <c r="C4" s="6" t="s">
        <v>72</v>
      </c>
      <c r="D4" s="6" t="s">
        <v>72</v>
      </c>
      <c r="E4" s="2" t="s">
        <v>2050</v>
      </c>
    </row>
    <row r="5" spans="1:5" ht="54" customHeight="1" outlineLevel="1">
      <c r="A5" s="1363" t="s">
        <v>3436</v>
      </c>
      <c r="B5" s="2" t="s">
        <v>3436</v>
      </c>
      <c r="C5" s="6" t="s">
        <v>72</v>
      </c>
      <c r="D5" s="6" t="s">
        <v>72</v>
      </c>
      <c r="E5" s="1616" t="s">
        <v>2051</v>
      </c>
    </row>
    <row r="6" spans="1:5" ht="54" customHeight="1" outlineLevel="1">
      <c r="A6" s="698"/>
      <c r="B6" s="1385" t="s">
        <v>3445</v>
      </c>
      <c r="C6" s="6"/>
      <c r="D6" s="6"/>
      <c r="E6" s="767"/>
    </row>
    <row r="7" spans="1:5" ht="72.75" customHeight="1" outlineLevel="1">
      <c r="A7" s="698"/>
      <c r="B7" s="1385" t="s">
        <v>3446</v>
      </c>
      <c r="C7" s="6"/>
      <c r="D7" s="6"/>
      <c r="E7" s="96"/>
    </row>
    <row r="8" spans="1:5" outlineLevel="1">
      <c r="A8" s="6" t="s">
        <v>2052</v>
      </c>
      <c r="B8" s="6"/>
      <c r="C8" s="6" t="s">
        <v>72</v>
      </c>
      <c r="D8" s="6" t="s">
        <v>2053</v>
      </c>
      <c r="E8" s="756" t="s">
        <v>2054</v>
      </c>
    </row>
    <row r="9" spans="1:5" outlineLevel="1">
      <c r="A9" s="6" t="s">
        <v>2055</v>
      </c>
      <c r="B9" s="6"/>
      <c r="C9" s="6" t="s">
        <v>72</v>
      </c>
      <c r="D9" s="6" t="s">
        <v>2053</v>
      </c>
      <c r="E9" s="2" t="s">
        <v>2056</v>
      </c>
    </row>
    <row r="10" spans="1:5" outlineLevel="1">
      <c r="A10" s="6" t="s">
        <v>2057</v>
      </c>
      <c r="B10" s="6"/>
      <c r="C10" s="6" t="s">
        <v>72</v>
      </c>
      <c r="D10" s="6" t="s">
        <v>72</v>
      </c>
      <c r="E10" s="2" t="s">
        <v>2056</v>
      </c>
    </row>
    <row r="11" spans="1:5" outlineLevel="1">
      <c r="A11" s="6" t="s">
        <v>2058</v>
      </c>
      <c r="B11" s="6"/>
      <c r="C11" s="6" t="s">
        <v>72</v>
      </c>
      <c r="D11" s="6" t="s">
        <v>2053</v>
      </c>
      <c r="E11" s="2" t="s">
        <v>2056</v>
      </c>
    </row>
    <row r="12" spans="1:5" outlineLevel="1">
      <c r="A12" s="6" t="s">
        <v>2059</v>
      </c>
      <c r="B12" s="6"/>
      <c r="C12" s="6" t="s">
        <v>72</v>
      </c>
      <c r="D12" s="6" t="s">
        <v>2060</v>
      </c>
      <c r="E12" s="2" t="s">
        <v>2061</v>
      </c>
    </row>
    <row r="13" spans="1:5" outlineLevel="1">
      <c r="A13" s="6" t="s">
        <v>2062</v>
      </c>
      <c r="B13" s="6"/>
      <c r="C13" s="6" t="s">
        <v>72</v>
      </c>
      <c r="D13" s="6" t="s">
        <v>2060</v>
      </c>
      <c r="E13" s="2" t="s">
        <v>2061</v>
      </c>
    </row>
    <row r="16" spans="1:5">
      <c r="A16" s="2492" t="s">
        <v>2063</v>
      </c>
      <c r="B16" s="2492"/>
      <c r="C16" s="2492"/>
      <c r="D16" s="2492"/>
    </row>
    <row r="17" spans="1:29">
      <c r="A17" s="1749" t="s">
        <v>3435</v>
      </c>
      <c r="B17" s="2120"/>
      <c r="C17" s="2120"/>
      <c r="D17" s="2120"/>
      <c r="E17" s="671"/>
      <c r="F17" s="105"/>
      <c r="G17" s="105"/>
      <c r="H17" s="105"/>
      <c r="I17" s="105"/>
      <c r="J17" s="105"/>
      <c r="K17" s="638"/>
      <c r="O17" s="703" t="s">
        <v>2064</v>
      </c>
      <c r="X17" s="703" t="s">
        <v>2065</v>
      </c>
    </row>
    <row r="18" spans="1:29" ht="14.25" customHeight="1" outlineLevel="1">
      <c r="A18" s="2531" t="s">
        <v>2066</v>
      </c>
      <c r="B18" s="2531" t="s">
        <v>2067</v>
      </c>
      <c r="C18" s="2533" t="s">
        <v>2068</v>
      </c>
      <c r="D18" s="2534"/>
      <c r="E18" s="2517" t="s">
        <v>4319</v>
      </c>
      <c r="F18" s="2518"/>
      <c r="G18" t="s">
        <v>3483</v>
      </c>
      <c r="I18" s="2519" t="s">
        <v>2069</v>
      </c>
      <c r="J18" s="2519"/>
      <c r="K18" s="2519" t="s">
        <v>2058</v>
      </c>
      <c r="O18" s="2513" t="s">
        <v>2070</v>
      </c>
      <c r="P18" s="2513" t="s">
        <v>2071</v>
      </c>
      <c r="Q18" s="2504" t="s">
        <v>1932</v>
      </c>
      <c r="R18" s="2505"/>
      <c r="S18" s="2511" t="s">
        <v>1933</v>
      </c>
      <c r="T18" s="2512"/>
      <c r="U18" s="745" t="s">
        <v>1874</v>
      </c>
      <c r="X18" s="2509" t="s">
        <v>2070</v>
      </c>
      <c r="Y18" s="2509" t="s">
        <v>2071</v>
      </c>
      <c r="Z18" s="2509" t="s">
        <v>1932</v>
      </c>
      <c r="AA18" s="2510"/>
      <c r="AB18" s="2511" t="s">
        <v>1933</v>
      </c>
      <c r="AC18" s="2512"/>
    </row>
    <row r="19" spans="1:29" outlineLevel="1">
      <c r="A19" s="2514"/>
      <c r="B19" s="2532"/>
      <c r="C19" s="374" t="s">
        <v>2072</v>
      </c>
      <c r="D19" s="375" t="s">
        <v>2060</v>
      </c>
      <c r="E19" s="771" t="s">
        <v>2073</v>
      </c>
      <c r="F19" s="771" t="s">
        <v>2060</v>
      </c>
      <c r="G19" s="745" t="s">
        <v>2074</v>
      </c>
      <c r="I19" s="2438"/>
      <c r="J19" s="2438"/>
      <c r="K19" s="2439"/>
      <c r="O19" s="2514"/>
      <c r="P19" s="2514"/>
      <c r="Q19" s="675" t="s">
        <v>2073</v>
      </c>
      <c r="R19" s="673" t="s">
        <v>2060</v>
      </c>
      <c r="S19" s="771" t="s">
        <v>2073</v>
      </c>
      <c r="T19" s="771" t="s">
        <v>2060</v>
      </c>
      <c r="U19" s="745" t="s">
        <v>2074</v>
      </c>
      <c r="X19" s="2510"/>
      <c r="Y19" s="2510"/>
      <c r="Z19" s="374" t="s">
        <v>2073</v>
      </c>
      <c r="AA19" s="375" t="s">
        <v>2060</v>
      </c>
      <c r="AB19" s="772" t="s">
        <v>2073</v>
      </c>
      <c r="AC19" s="772" t="s">
        <v>2060</v>
      </c>
    </row>
    <row r="20" spans="1:29" outlineLevel="1">
      <c r="A20" s="2401">
        <v>10</v>
      </c>
      <c r="B20" s="97">
        <v>10</v>
      </c>
      <c r="C20" s="98">
        <v>9.9999900000000004</v>
      </c>
      <c r="D20" s="365">
        <v>9.9999800000000008</v>
      </c>
      <c r="E20" s="773"/>
      <c r="F20" s="773"/>
      <c r="G20" s="774" t="e">
        <f>((#REF!/1.732)^2+((F20/1000000*ABS(C20)+#REF!)/2)^2)^0.5*2</f>
        <v>#REF!</v>
      </c>
      <c r="I20" s="686">
        <v>3.5</v>
      </c>
      <c r="J20" s="775">
        <v>2.5000000000000002E-6</v>
      </c>
      <c r="K20" s="776">
        <f ca="1">10^(-IF(CELL("format",F20)="G",0,VALUE(REPLACE(CELL("format",F20),1,1,))))/2</f>
        <v>0.5</v>
      </c>
      <c r="O20" s="2401">
        <v>10</v>
      </c>
      <c r="P20" s="97">
        <v>10</v>
      </c>
      <c r="Q20" s="98">
        <v>9.9999900000000004</v>
      </c>
      <c r="R20" s="365">
        <v>9.9999800000000008</v>
      </c>
      <c r="S20" s="773"/>
      <c r="T20" s="773"/>
      <c r="U20" s="774" t="e">
        <f>((#REF!/1.732)^2+((T20/1000000*ABS(Q20)+#REF!)/2)^2)^0.5*2</f>
        <v>#REF!</v>
      </c>
      <c r="X20" s="2401">
        <v>10</v>
      </c>
      <c r="Y20" s="97">
        <v>10</v>
      </c>
      <c r="Z20" s="98">
        <v>9.9999900000000004</v>
      </c>
      <c r="AA20" s="365">
        <v>9.9999800000000008</v>
      </c>
      <c r="AB20" s="773"/>
      <c r="AC20" s="773"/>
    </row>
    <row r="21" spans="1:29" outlineLevel="1">
      <c r="A21" s="2402"/>
      <c r="B21" s="97">
        <v>9</v>
      </c>
      <c r="C21" s="98">
        <v>8.9999900000000004</v>
      </c>
      <c r="D21" s="366" t="s">
        <v>76</v>
      </c>
      <c r="E21" s="773"/>
      <c r="F21" s="773"/>
      <c r="G21" s="774" t="e">
        <f>((#REF!/1.732)^2+((F21/1000000*ABS(C21)+#REF!)/2)^2)^0.5*2</f>
        <v>#REF!</v>
      </c>
      <c r="I21" s="686">
        <v>3.5</v>
      </c>
      <c r="J21" s="775">
        <v>2.5000000000000002E-6</v>
      </c>
      <c r="K21" s="686">
        <f t="shared" ref="K21:K41" ca="1" si="0">10^(-IF(CELL("format",F21)="G",0,VALUE(REPLACE(CELL("format",F21),1,1,))))/2</f>
        <v>0.5</v>
      </c>
      <c r="O21" s="2402"/>
      <c r="P21" s="97">
        <v>9</v>
      </c>
      <c r="Q21" s="98">
        <v>8.9999900000000004</v>
      </c>
      <c r="R21" s="366" t="s">
        <v>76</v>
      </c>
      <c r="S21" s="773"/>
      <c r="T21" s="773"/>
      <c r="U21" s="774" t="e">
        <f>((#REF!/1.732)^2+((T21/1000000*ABS(Q21)+#REF!)/2)^2)^0.5*2</f>
        <v>#REF!</v>
      </c>
      <c r="X21" s="2402"/>
      <c r="Y21" s="97">
        <v>9</v>
      </c>
      <c r="Z21" s="98">
        <v>8.9999900000000004</v>
      </c>
      <c r="AA21" s="366" t="s">
        <v>76</v>
      </c>
      <c r="AB21" s="773"/>
      <c r="AC21" s="773"/>
    </row>
    <row r="22" spans="1:29" outlineLevel="1">
      <c r="A22" s="2402"/>
      <c r="B22" s="97">
        <v>8</v>
      </c>
      <c r="C22" s="98">
        <v>7.9999900000000004</v>
      </c>
      <c r="D22" s="366" t="s">
        <v>76</v>
      </c>
      <c r="E22" s="773"/>
      <c r="F22" s="773"/>
      <c r="G22" s="774" t="e">
        <f>((#REF!/1.732)^2+((F22/1000000*ABS(C22)+#REF!)/2)^2)^0.5*2</f>
        <v>#REF!</v>
      </c>
      <c r="I22" s="686">
        <v>3.5</v>
      </c>
      <c r="J22" s="775">
        <v>2.5000000000000002E-6</v>
      </c>
      <c r="K22" s="686">
        <f t="shared" ca="1" si="0"/>
        <v>0.5</v>
      </c>
      <c r="O22" s="2402"/>
      <c r="P22" s="97">
        <v>8</v>
      </c>
      <c r="Q22" s="98">
        <v>7.9999900000000004</v>
      </c>
      <c r="R22" s="366" t="s">
        <v>76</v>
      </c>
      <c r="S22" s="773"/>
      <c r="T22" s="773"/>
      <c r="U22" s="774" t="e">
        <f>((#REF!/1.732)^2+((T22/1000000*ABS(Q22)+#REF!)/2)^2)^0.5*2</f>
        <v>#REF!</v>
      </c>
      <c r="X22" s="2402"/>
      <c r="Y22" s="97">
        <v>8</v>
      </c>
      <c r="Z22" s="98">
        <v>7.9999900000000004</v>
      </c>
      <c r="AA22" s="366" t="s">
        <v>76</v>
      </c>
      <c r="AB22" s="773"/>
      <c r="AC22" s="773"/>
    </row>
    <row r="23" spans="1:29" outlineLevel="1">
      <c r="A23" s="2402"/>
      <c r="B23" s="97">
        <v>7</v>
      </c>
      <c r="C23" s="98">
        <v>6.9999900000000004</v>
      </c>
      <c r="D23" s="366" t="s">
        <v>76</v>
      </c>
      <c r="E23" s="773"/>
      <c r="F23" s="773"/>
      <c r="G23" s="774" t="e">
        <f>((#REF!/1.732)^2+((F23/1000000*ABS(C23)+#REF!)/2)^2)^0.5*2</f>
        <v>#REF!</v>
      </c>
      <c r="I23" s="686">
        <v>3.5</v>
      </c>
      <c r="J23" s="775">
        <v>2.5000000000000002E-6</v>
      </c>
      <c r="K23" s="686">
        <f t="shared" ca="1" si="0"/>
        <v>0.5</v>
      </c>
      <c r="O23" s="2402"/>
      <c r="P23" s="97">
        <v>7</v>
      </c>
      <c r="Q23" s="98">
        <v>6.9999900000000004</v>
      </c>
      <c r="R23" s="366" t="s">
        <v>76</v>
      </c>
      <c r="S23" s="773"/>
      <c r="T23" s="773"/>
      <c r="U23" s="774" t="e">
        <f>((#REF!/1.732)^2+((T23/1000000*ABS(Q23)+#REF!)/2)^2)^0.5*2</f>
        <v>#REF!</v>
      </c>
      <c r="X23" s="2402"/>
      <c r="Y23" s="97">
        <v>7</v>
      </c>
      <c r="Z23" s="98">
        <v>6.9999900000000004</v>
      </c>
      <c r="AA23" s="366" t="s">
        <v>76</v>
      </c>
      <c r="AB23" s="773"/>
      <c r="AC23" s="773"/>
    </row>
    <row r="24" spans="1:29" outlineLevel="1">
      <c r="A24" s="2402"/>
      <c r="B24" s="97">
        <v>6</v>
      </c>
      <c r="C24" s="98">
        <v>5.9999900000000004</v>
      </c>
      <c r="D24" s="366" t="s">
        <v>76</v>
      </c>
      <c r="E24" s="773"/>
      <c r="F24" s="773"/>
      <c r="G24" s="774" t="e">
        <f>((#REF!/1.732)^2+((F24/1000000*ABS(C24)+#REF!)/2)^2)^0.5*2</f>
        <v>#REF!</v>
      </c>
      <c r="I24" s="686">
        <v>3.5</v>
      </c>
      <c r="J24" s="775">
        <v>2.5000000000000002E-6</v>
      </c>
      <c r="K24" s="686">
        <f t="shared" ca="1" si="0"/>
        <v>0.5</v>
      </c>
      <c r="O24" s="2402"/>
      <c r="P24" s="97">
        <v>6</v>
      </c>
      <c r="Q24" s="98">
        <v>5.9999900000000004</v>
      </c>
      <c r="R24" s="366" t="s">
        <v>76</v>
      </c>
      <c r="S24" s="773"/>
      <c r="T24" s="773"/>
      <c r="U24" s="774" t="e">
        <f>((#REF!/1.732)^2+((T24/1000000*ABS(Q24)+#REF!)/2)^2)^0.5*2</f>
        <v>#REF!</v>
      </c>
      <c r="X24" s="2402"/>
      <c r="Y24" s="97">
        <v>6</v>
      </c>
      <c r="Z24" s="98">
        <v>5.9999900000000004</v>
      </c>
      <c r="AA24" s="366" t="s">
        <v>76</v>
      </c>
      <c r="AB24" s="773"/>
      <c r="AC24" s="773"/>
    </row>
    <row r="25" spans="1:29" outlineLevel="1">
      <c r="A25" s="2402"/>
      <c r="B25" s="97">
        <v>5</v>
      </c>
      <c r="C25" s="98">
        <v>4.9999900000000004</v>
      </c>
      <c r="D25" s="366" t="s">
        <v>76</v>
      </c>
      <c r="E25" s="773"/>
      <c r="F25" s="773"/>
      <c r="G25" s="774" t="e">
        <f>((#REF!/1.732)^2+((F25/1000000*ABS(C25)+#REF!)/2)^2)^0.5*2</f>
        <v>#REF!</v>
      </c>
      <c r="I25" s="686">
        <v>3.5</v>
      </c>
      <c r="J25" s="775">
        <v>2.5000000000000002E-6</v>
      </c>
      <c r="K25" s="686">
        <f t="shared" ca="1" si="0"/>
        <v>0.5</v>
      </c>
      <c r="O25" s="2402"/>
      <c r="P25" s="97">
        <v>5</v>
      </c>
      <c r="Q25" s="98">
        <v>4.9999900000000004</v>
      </c>
      <c r="R25" s="366" t="s">
        <v>76</v>
      </c>
      <c r="S25" s="773"/>
      <c r="T25" s="773"/>
      <c r="U25" s="774" t="e">
        <f>((#REF!/1.732)^2+((T25/1000000*ABS(Q25)+#REF!)/2)^2)^0.5*2</f>
        <v>#REF!</v>
      </c>
      <c r="X25" s="2402"/>
      <c r="Y25" s="97">
        <v>5</v>
      </c>
      <c r="Z25" s="98">
        <v>4.9999900000000004</v>
      </c>
      <c r="AA25" s="366" t="s">
        <v>76</v>
      </c>
      <c r="AB25" s="773"/>
      <c r="AC25" s="773"/>
    </row>
    <row r="26" spans="1:29" outlineLevel="1">
      <c r="A26" s="2402"/>
      <c r="B26" s="97">
        <v>4</v>
      </c>
      <c r="C26" s="98">
        <v>3.9999899999999999</v>
      </c>
      <c r="D26" s="366" t="s">
        <v>76</v>
      </c>
      <c r="E26" s="773"/>
      <c r="F26" s="773"/>
      <c r="G26" s="774" t="e">
        <f>((#REF!/1.732)^2+((F26/1000000*ABS(C26)+#REF!)/2)^2)^0.5*2</f>
        <v>#REF!</v>
      </c>
      <c r="I26" s="686">
        <v>3.5</v>
      </c>
      <c r="J26" s="775">
        <v>2.5000000000000002E-6</v>
      </c>
      <c r="K26" s="686">
        <f t="shared" ca="1" si="0"/>
        <v>0.5</v>
      </c>
      <c r="O26" s="2402"/>
      <c r="P26" s="97">
        <v>4</v>
      </c>
      <c r="Q26" s="98">
        <v>3.9999899999999999</v>
      </c>
      <c r="R26" s="366" t="s">
        <v>76</v>
      </c>
      <c r="S26" s="773"/>
      <c r="T26" s="773"/>
      <c r="U26" s="774" t="e">
        <f>((#REF!/1.732)^2+((T26/1000000*ABS(Q26)+#REF!)/2)^2)^0.5*2</f>
        <v>#REF!</v>
      </c>
      <c r="X26" s="2402"/>
      <c r="Y26" s="97">
        <v>4</v>
      </c>
      <c r="Z26" s="98">
        <v>3.9999899999999999</v>
      </c>
      <c r="AA26" s="366" t="s">
        <v>76</v>
      </c>
      <c r="AB26" s="773"/>
      <c r="AC26" s="773"/>
    </row>
    <row r="27" spans="1:29" outlineLevel="1">
      <c r="A27" s="2402"/>
      <c r="B27" s="97">
        <v>3</v>
      </c>
      <c r="C27" s="98">
        <v>2.9999899999999999</v>
      </c>
      <c r="D27" s="366" t="s">
        <v>76</v>
      </c>
      <c r="E27" s="773"/>
      <c r="F27" s="773"/>
      <c r="G27" s="774" t="e">
        <f>((#REF!/1.732)^2+((F27/1000000*ABS(C27)+#REF!)/2)^2)^0.5*2</f>
        <v>#REF!</v>
      </c>
      <c r="I27" s="686">
        <v>3.5</v>
      </c>
      <c r="J27" s="775">
        <v>2.5000000000000002E-6</v>
      </c>
      <c r="K27" s="686">
        <f t="shared" ca="1" si="0"/>
        <v>0.5</v>
      </c>
      <c r="O27" s="2402"/>
      <c r="P27" s="97">
        <v>3</v>
      </c>
      <c r="Q27" s="98">
        <v>2.9999899999999999</v>
      </c>
      <c r="R27" s="366" t="s">
        <v>76</v>
      </c>
      <c r="S27" s="773"/>
      <c r="T27" s="773"/>
      <c r="U27" s="774" t="e">
        <f>((#REF!/1.732)^2+((T27/1000000*ABS(Q27)+#REF!)/2)^2)^0.5*2</f>
        <v>#REF!</v>
      </c>
      <c r="X27" s="2402"/>
      <c r="Y27" s="97">
        <v>3</v>
      </c>
      <c r="Z27" s="98">
        <v>2.9999899999999999</v>
      </c>
      <c r="AA27" s="366" t="s">
        <v>76</v>
      </c>
      <c r="AB27" s="773"/>
      <c r="AC27" s="773"/>
    </row>
    <row r="28" spans="1:29" outlineLevel="1">
      <c r="A28" s="2402"/>
      <c r="B28" s="97">
        <v>2</v>
      </c>
      <c r="C28" s="98">
        <v>2</v>
      </c>
      <c r="D28" s="366" t="s">
        <v>76</v>
      </c>
      <c r="E28" s="773"/>
      <c r="F28" s="773"/>
      <c r="G28" s="774" t="e">
        <f>((#REF!/1.732)^2+((F28/1000000*ABS(C28)+#REF!)/2)^2)^0.5*2</f>
        <v>#REF!</v>
      </c>
      <c r="I28" s="686">
        <v>5</v>
      </c>
      <c r="J28" s="775">
        <v>6.9999999999999997E-7</v>
      </c>
      <c r="K28" s="686">
        <f t="shared" ca="1" si="0"/>
        <v>0.5</v>
      </c>
      <c r="O28" s="2402"/>
      <c r="P28" s="97">
        <v>2</v>
      </c>
      <c r="Q28" s="98">
        <v>2</v>
      </c>
      <c r="R28" s="366" t="s">
        <v>76</v>
      </c>
      <c r="S28" s="773"/>
      <c r="T28" s="773"/>
      <c r="U28" s="774" t="e">
        <f>((#REF!/1.732)^2+((T28/1000000*ABS(Q28)+#REF!)/2)^2)^0.5*2</f>
        <v>#REF!</v>
      </c>
      <c r="X28" s="2402"/>
      <c r="Y28" s="97">
        <v>2</v>
      </c>
      <c r="Z28" s="98">
        <v>2</v>
      </c>
      <c r="AA28" s="366" t="s">
        <v>76</v>
      </c>
      <c r="AB28" s="773"/>
      <c r="AC28" s="773"/>
    </row>
    <row r="29" spans="1:29" outlineLevel="1">
      <c r="A29" s="2402"/>
      <c r="B29" s="97">
        <v>1</v>
      </c>
      <c r="C29" s="98">
        <v>0.99999899999999997</v>
      </c>
      <c r="D29" s="366" t="s">
        <v>76</v>
      </c>
      <c r="E29" s="773"/>
      <c r="F29" s="773"/>
      <c r="G29" s="774" t="e">
        <f>((#REF!/1.732)^2+((F29/1000000*ABS(C29)+#REF!)/2)^2)^0.5*2</f>
        <v>#REF!</v>
      </c>
      <c r="I29" s="686">
        <v>5</v>
      </c>
      <c r="J29" s="775">
        <v>6.9999999999999997E-7</v>
      </c>
      <c r="K29" s="686">
        <f t="shared" ca="1" si="0"/>
        <v>0.5</v>
      </c>
      <c r="O29" s="2402"/>
      <c r="P29" s="97">
        <v>1</v>
      </c>
      <c r="Q29" s="98">
        <v>0.99999899999999997</v>
      </c>
      <c r="R29" s="366" t="s">
        <v>76</v>
      </c>
      <c r="S29" s="773"/>
      <c r="T29" s="773"/>
      <c r="U29" s="774" t="e">
        <f>((#REF!/1.732)^2+((T29/1000000*ABS(Q29)+#REF!)/2)^2)^0.5*2</f>
        <v>#REF!</v>
      </c>
      <c r="X29" s="2402"/>
      <c r="Y29" s="97">
        <v>1</v>
      </c>
      <c r="Z29" s="98">
        <v>0.99999899999999997</v>
      </c>
      <c r="AA29" s="366" t="s">
        <v>76</v>
      </c>
      <c r="AB29" s="773"/>
      <c r="AC29" s="773"/>
    </row>
    <row r="30" spans="1:29" outlineLevel="1">
      <c r="A30" s="2387">
        <v>100</v>
      </c>
      <c r="B30" s="99">
        <v>100</v>
      </c>
      <c r="C30" s="99">
        <v>100.0016</v>
      </c>
      <c r="D30" s="367">
        <v>99.999799999999993</v>
      </c>
      <c r="E30" s="2"/>
      <c r="F30" s="2"/>
      <c r="G30" s="99" t="e">
        <f>((#REF!/1.732)^2+((F30/1000000*ABS(C30)+#REF!)/2)^2)^0.5*2</f>
        <v>#REF!</v>
      </c>
      <c r="I30" s="686">
        <v>7.5</v>
      </c>
      <c r="J30" s="777">
        <v>4.0000000000000002E-4</v>
      </c>
      <c r="K30" s="686">
        <f t="shared" ca="1" si="0"/>
        <v>0.5</v>
      </c>
      <c r="O30" s="2387">
        <v>100</v>
      </c>
      <c r="P30" s="99">
        <v>100</v>
      </c>
      <c r="Q30" s="99">
        <v>100.0016</v>
      </c>
      <c r="R30" s="367">
        <v>99.999799999999993</v>
      </c>
      <c r="S30" s="2"/>
      <c r="T30" s="2"/>
      <c r="U30" s="99" t="e">
        <f>((#REF!/1.732)^2+((T30/1000000*ABS(Q30)+#REF!)/2)^2)^0.5*2</f>
        <v>#REF!</v>
      </c>
      <c r="X30" s="2387">
        <v>100</v>
      </c>
      <c r="Y30" s="99">
        <v>100</v>
      </c>
      <c r="Z30" s="99">
        <v>100.0016</v>
      </c>
      <c r="AA30" s="367">
        <v>99.999799999999993</v>
      </c>
      <c r="AB30" s="2"/>
      <c r="AC30" s="2"/>
    </row>
    <row r="31" spans="1:29" outlineLevel="1">
      <c r="A31" s="2388"/>
      <c r="B31" s="99">
        <v>50</v>
      </c>
      <c r="C31" s="99">
        <v>50.000999999999998</v>
      </c>
      <c r="D31" s="368" t="s">
        <v>76</v>
      </c>
      <c r="E31" s="2"/>
      <c r="F31" s="2"/>
      <c r="G31" s="99" t="e">
        <f>((#REF!/1.732)^2+((F31/1000000*ABS(C31)+#REF!)/2)^2)^0.5*2</f>
        <v>#REF!</v>
      </c>
      <c r="I31" s="2">
        <v>7.5</v>
      </c>
      <c r="J31" s="377">
        <v>4.0000000000000002E-4</v>
      </c>
      <c r="K31" s="2">
        <f t="shared" ca="1" si="0"/>
        <v>0.5</v>
      </c>
      <c r="O31" s="2388"/>
      <c r="P31" s="99">
        <v>50</v>
      </c>
      <c r="Q31" s="99">
        <v>50.000999999999998</v>
      </c>
      <c r="R31" s="368" t="s">
        <v>76</v>
      </c>
      <c r="S31" s="2"/>
      <c r="T31" s="2"/>
      <c r="U31" s="99" t="e">
        <f>((#REF!/1.732)^2+((T31/1000000*ABS(Q31)+#REF!)/2)^2)^0.5*2</f>
        <v>#REF!</v>
      </c>
      <c r="X31" s="2388"/>
      <c r="Y31" s="99">
        <v>50</v>
      </c>
      <c r="Z31" s="99">
        <v>50.000999999999998</v>
      </c>
      <c r="AA31" s="368" t="s">
        <v>76</v>
      </c>
      <c r="AB31" s="2"/>
      <c r="AC31" s="2"/>
    </row>
    <row r="32" spans="1:29" outlineLevel="1">
      <c r="A32" s="2388"/>
      <c r="B32" s="99">
        <v>10</v>
      </c>
      <c r="C32" s="99">
        <v>9.9995999999999992</v>
      </c>
      <c r="D32" s="368" t="s">
        <v>76</v>
      </c>
      <c r="E32" s="2"/>
      <c r="F32" s="2"/>
      <c r="G32" s="99" t="e">
        <f>((#REF!/1.732)^2+((F32/1000000*ABS(C32)+#REF!)/2)^2)^0.5*2</f>
        <v>#REF!</v>
      </c>
      <c r="I32" s="2">
        <v>7.5</v>
      </c>
      <c r="J32" s="377">
        <v>4.0000000000000002E-4</v>
      </c>
      <c r="K32" s="2">
        <f t="shared" ca="1" si="0"/>
        <v>0.5</v>
      </c>
      <c r="O32" s="2388"/>
      <c r="P32" s="99">
        <v>10</v>
      </c>
      <c r="Q32" s="99">
        <v>9.9995999999999992</v>
      </c>
      <c r="R32" s="368" t="s">
        <v>76</v>
      </c>
      <c r="S32" s="2"/>
      <c r="T32" s="2"/>
      <c r="U32" s="99" t="e">
        <f>((#REF!/1.732)^2+((T32/1000000*ABS(Q32)+#REF!)/2)^2)^0.5*2</f>
        <v>#REF!</v>
      </c>
      <c r="X32" s="2388"/>
      <c r="Y32" s="99">
        <v>10</v>
      </c>
      <c r="Z32" s="99">
        <v>9.9995999999999992</v>
      </c>
      <c r="AA32" s="368" t="s">
        <v>76</v>
      </c>
      <c r="AB32" s="2"/>
      <c r="AC32" s="2"/>
    </row>
    <row r="33" spans="1:29" outlineLevel="1">
      <c r="A33" s="2389">
        <v>1</v>
      </c>
      <c r="B33" s="101">
        <v>1</v>
      </c>
      <c r="C33" s="101">
        <v>0.99999800000000005</v>
      </c>
      <c r="D33" s="369">
        <v>0.999996</v>
      </c>
      <c r="E33" s="2"/>
      <c r="F33" s="2"/>
      <c r="G33" s="102" t="e">
        <f>((#REF!/1.732)^2+((F33/1000000*ABS(C33)+#REF!)/2)^2)^0.5*2</f>
        <v>#REF!</v>
      </c>
      <c r="I33" s="2">
        <v>5</v>
      </c>
      <c r="J33" s="376">
        <v>6.9999999999999997E-7</v>
      </c>
      <c r="K33" s="2">
        <f t="shared" ca="1" si="0"/>
        <v>0.5</v>
      </c>
      <c r="O33" s="2389">
        <v>1</v>
      </c>
      <c r="P33" s="101">
        <v>1</v>
      </c>
      <c r="Q33" s="101">
        <v>0.99999800000000005</v>
      </c>
      <c r="R33" s="369">
        <v>0.999996</v>
      </c>
      <c r="S33" s="2"/>
      <c r="T33" s="2"/>
      <c r="U33" s="102" t="e">
        <f>((#REF!/1.732)^2+((T33/1000000*ABS(Q33)+#REF!)/2)^2)^0.5*2</f>
        <v>#REF!</v>
      </c>
      <c r="X33" s="2389">
        <v>1</v>
      </c>
      <c r="Y33" s="101">
        <v>1</v>
      </c>
      <c r="Z33" s="101">
        <v>0.99999800000000005</v>
      </c>
      <c r="AA33" s="369">
        <v>0.999996</v>
      </c>
      <c r="AB33" s="2"/>
      <c r="AC33" s="2"/>
    </row>
    <row r="34" spans="1:29" outlineLevel="1">
      <c r="A34" s="2390"/>
      <c r="B34" s="101">
        <v>0.5</v>
      </c>
      <c r="C34" s="101">
        <v>0.49999700000000002</v>
      </c>
      <c r="D34" s="370" t="s">
        <v>76</v>
      </c>
      <c r="E34" s="2"/>
      <c r="F34" s="2"/>
      <c r="G34" s="102" t="e">
        <f>((#REF!/1.732)^2+((F34/1000000*ABS(C34)+#REF!)/2)^2)^0.5*2</f>
        <v>#REF!</v>
      </c>
      <c r="I34" s="2">
        <v>5</v>
      </c>
      <c r="J34" s="376">
        <v>6.9999999999999997E-7</v>
      </c>
      <c r="K34" s="2">
        <f t="shared" ca="1" si="0"/>
        <v>0.5</v>
      </c>
      <c r="O34" s="2390"/>
      <c r="P34" s="101">
        <v>0.5</v>
      </c>
      <c r="Q34" s="101">
        <v>0.49999700000000002</v>
      </c>
      <c r="R34" s="370" t="s">
        <v>76</v>
      </c>
      <c r="S34" s="2"/>
      <c r="T34" s="2"/>
      <c r="U34" s="102" t="e">
        <f>((#REF!/1.732)^2+((T34/1000000*ABS(Q34)+#REF!)/2)^2)^0.5*2</f>
        <v>#REF!</v>
      </c>
      <c r="X34" s="2390"/>
      <c r="Y34" s="101">
        <v>0.5</v>
      </c>
      <c r="Z34" s="101">
        <v>0.49999700000000002</v>
      </c>
      <c r="AA34" s="370" t="s">
        <v>76</v>
      </c>
      <c r="AB34" s="2"/>
      <c r="AC34" s="2"/>
    </row>
    <row r="35" spans="1:29" outlineLevel="1">
      <c r="A35" s="2390"/>
      <c r="B35" s="101">
        <v>0.1</v>
      </c>
      <c r="C35" s="101">
        <v>0.1000017</v>
      </c>
      <c r="D35" s="370" t="s">
        <v>76</v>
      </c>
      <c r="E35" s="2"/>
      <c r="F35" s="2"/>
      <c r="G35" s="102" t="e">
        <f>((#REF!/1.732)^2+((F35/1000000*ABS(C35)+#REF!)/2)^2)^0.5*2</f>
        <v>#REF!</v>
      </c>
      <c r="I35" s="2">
        <v>7.5</v>
      </c>
      <c r="J35" s="377">
        <v>4.0000000000000002E-4</v>
      </c>
      <c r="K35" s="2">
        <f t="shared" ca="1" si="0"/>
        <v>0.5</v>
      </c>
      <c r="O35" s="2390"/>
      <c r="P35" s="101">
        <v>0.1</v>
      </c>
      <c r="Q35" s="101">
        <v>0.1000017</v>
      </c>
      <c r="R35" s="370" t="s">
        <v>76</v>
      </c>
      <c r="S35" s="2"/>
      <c r="T35" s="2"/>
      <c r="U35" s="102" t="e">
        <f>((#REF!/1.732)^2+((T35/1000000*ABS(Q35)+#REF!)/2)^2)^0.5*2</f>
        <v>#REF!</v>
      </c>
      <c r="X35" s="2390"/>
      <c r="Y35" s="101">
        <v>0.1</v>
      </c>
      <c r="Z35" s="101">
        <v>0.1000017</v>
      </c>
      <c r="AA35" s="370" t="s">
        <v>76</v>
      </c>
      <c r="AB35" s="2"/>
      <c r="AC35" s="2"/>
    </row>
    <row r="36" spans="1:29" outlineLevel="1">
      <c r="A36" s="2389">
        <v>100</v>
      </c>
      <c r="B36" s="104">
        <v>100</v>
      </c>
      <c r="C36" s="104">
        <v>99.995699999999999</v>
      </c>
      <c r="D36" s="371">
        <v>99.995400000000004</v>
      </c>
      <c r="E36" s="2"/>
      <c r="F36" s="2"/>
      <c r="G36" s="104" t="e">
        <f>((#REF!/1.732)^2+((F36/1000000*ABS(C36)+#REF!)/2)^2)^0.5*2</f>
        <v>#REF!</v>
      </c>
      <c r="I36" s="2">
        <v>5</v>
      </c>
      <c r="J36" s="364">
        <v>4.0000000000000003E-5</v>
      </c>
      <c r="K36" s="2">
        <f t="shared" ca="1" si="0"/>
        <v>0.5</v>
      </c>
      <c r="O36" s="2389">
        <v>100</v>
      </c>
      <c r="P36" s="104">
        <v>100</v>
      </c>
      <c r="Q36" s="104">
        <v>99.995699999999999</v>
      </c>
      <c r="R36" s="371">
        <v>99.995400000000004</v>
      </c>
      <c r="S36" s="2"/>
      <c r="T36" s="2"/>
      <c r="U36" s="104" t="e">
        <f>((#REF!/1.732)^2+((T36/1000000*ABS(Q36)+#REF!)/2)^2)^0.5*2</f>
        <v>#REF!</v>
      </c>
      <c r="X36" s="2389">
        <v>100</v>
      </c>
      <c r="Y36" s="104">
        <v>100</v>
      </c>
      <c r="Z36" s="104">
        <v>99.995699999999999</v>
      </c>
      <c r="AA36" s="371">
        <v>99.995400000000004</v>
      </c>
      <c r="AB36" s="2"/>
      <c r="AC36" s="2"/>
    </row>
    <row r="37" spans="1:29" outlineLevel="1">
      <c r="A37" s="2390"/>
      <c r="B37" s="104">
        <v>50</v>
      </c>
      <c r="C37" s="104">
        <v>49.997700000000002</v>
      </c>
      <c r="D37" s="368" t="s">
        <v>76</v>
      </c>
      <c r="E37" s="2"/>
      <c r="F37" s="2"/>
      <c r="G37" s="104" t="e">
        <f>((#REF!/1.732)^2+((F37/1000000*ABS(C37)+#REF!)/2)^2)^0.5*2</f>
        <v>#REF!</v>
      </c>
      <c r="I37" s="2">
        <v>5</v>
      </c>
      <c r="J37" s="364">
        <v>4.0000000000000003E-5</v>
      </c>
      <c r="K37" s="2">
        <f t="shared" ca="1" si="0"/>
        <v>0.5</v>
      </c>
      <c r="O37" s="2390"/>
      <c r="P37" s="104">
        <v>50</v>
      </c>
      <c r="Q37" s="104">
        <v>49.997700000000002</v>
      </c>
      <c r="R37" s="368" t="s">
        <v>76</v>
      </c>
      <c r="S37" s="2"/>
      <c r="T37" s="2"/>
      <c r="U37" s="104" t="e">
        <f>((#REF!/1.732)^2+((T37/1000000*ABS(Q37)+#REF!)/2)^2)^0.5*2</f>
        <v>#REF!</v>
      </c>
      <c r="X37" s="2390"/>
      <c r="Y37" s="104">
        <v>50</v>
      </c>
      <c r="Z37" s="104">
        <v>49.997700000000002</v>
      </c>
      <c r="AA37" s="368" t="s">
        <v>76</v>
      </c>
      <c r="AB37" s="2"/>
      <c r="AC37" s="2"/>
    </row>
    <row r="38" spans="1:29" outlineLevel="1">
      <c r="A38" s="2390"/>
      <c r="B38" s="104">
        <v>10</v>
      </c>
      <c r="C38" s="104">
        <v>9.9999800000000008</v>
      </c>
      <c r="D38" s="778" t="s">
        <v>2075</v>
      </c>
      <c r="E38" s="2"/>
      <c r="F38" s="2"/>
      <c r="G38" s="104" t="e">
        <f>((#REF!/1.732)^2+((F38/1000000*ABS(C38)+#REF!)/2)^2)^0.5*2</f>
        <v>#REF!</v>
      </c>
      <c r="I38" s="2">
        <v>3.5</v>
      </c>
      <c r="J38" s="376">
        <v>2.5000000000000002E-6</v>
      </c>
      <c r="K38" s="2">
        <f t="shared" ca="1" si="0"/>
        <v>0.5</v>
      </c>
      <c r="O38" s="2390"/>
      <c r="P38" s="104">
        <v>10</v>
      </c>
      <c r="Q38" s="104">
        <v>9.9999800000000008</v>
      </c>
      <c r="R38" s="778" t="s">
        <v>2075</v>
      </c>
      <c r="S38" s="2"/>
      <c r="T38" s="2"/>
      <c r="U38" s="104" t="e">
        <f>((#REF!/1.732)^2+((T38/1000000*ABS(Q38)+#REF!)/2)^2)^0.5*2</f>
        <v>#REF!</v>
      </c>
      <c r="X38" s="2390"/>
      <c r="Y38" s="104">
        <v>10</v>
      </c>
      <c r="Z38" s="104">
        <v>9.9999800000000008</v>
      </c>
      <c r="AA38" s="778" t="s">
        <v>2075</v>
      </c>
      <c r="AB38" s="2"/>
      <c r="AC38" s="2"/>
    </row>
    <row r="39" spans="1:29" outlineLevel="1">
      <c r="A39" s="2391">
        <v>1000</v>
      </c>
      <c r="B39" s="78">
        <v>1000</v>
      </c>
      <c r="C39" s="78">
        <v>999.96299999999997</v>
      </c>
      <c r="D39" s="372">
        <v>999.96199999999999</v>
      </c>
      <c r="E39" s="2"/>
      <c r="F39" s="2"/>
      <c r="G39" s="78" t="e">
        <f>((#REF!/1.732)^2+((F39/1000000*ABS(C39)+#REF!)/2)^2)^0.5*2</f>
        <v>#REF!</v>
      </c>
      <c r="I39" s="2">
        <v>6.5</v>
      </c>
      <c r="J39" s="378">
        <v>4.0000000000000002E-4</v>
      </c>
      <c r="K39" s="2">
        <f t="shared" ca="1" si="0"/>
        <v>0.5</v>
      </c>
      <c r="O39" s="2391">
        <v>1000</v>
      </c>
      <c r="P39" s="78">
        <v>1000</v>
      </c>
      <c r="Q39" s="78">
        <v>999.96299999999997</v>
      </c>
      <c r="R39" s="372">
        <v>999.96199999999999</v>
      </c>
      <c r="S39" s="2"/>
      <c r="T39" s="2"/>
      <c r="U39" s="78" t="e">
        <f>((#REF!/1.732)^2+((T39/1000000*ABS(Q39)+#REF!)/2)^2)^0.5*2</f>
        <v>#REF!</v>
      </c>
      <c r="X39" s="2391">
        <v>1000</v>
      </c>
      <c r="Y39" s="78">
        <v>1000</v>
      </c>
      <c r="Z39" s="78">
        <v>999.96299999999997</v>
      </c>
      <c r="AA39" s="372">
        <v>999.96199999999999</v>
      </c>
      <c r="AB39" s="2"/>
      <c r="AC39" s="2"/>
    </row>
    <row r="40" spans="1:29" outlineLevel="1">
      <c r="A40" s="2392"/>
      <c r="B40" s="78">
        <v>500</v>
      </c>
      <c r="C40" s="78">
        <v>499.98</v>
      </c>
      <c r="D40" s="373" t="s">
        <v>76</v>
      </c>
      <c r="E40" s="2"/>
      <c r="F40" s="2"/>
      <c r="G40" s="78" t="e">
        <f>((#REF!/1.732)^2+((F40/1000000*ABS(C40)+#REF!)/2)^2)^0.5*2</f>
        <v>#REF!</v>
      </c>
      <c r="I40" s="2">
        <v>6.5</v>
      </c>
      <c r="J40" s="378">
        <v>4.0000000000000002E-4</v>
      </c>
      <c r="K40" s="2">
        <f t="shared" ca="1" si="0"/>
        <v>0.5</v>
      </c>
      <c r="O40" s="2392"/>
      <c r="P40" s="78">
        <v>500</v>
      </c>
      <c r="Q40" s="78">
        <v>499.98</v>
      </c>
      <c r="R40" s="373" t="s">
        <v>76</v>
      </c>
      <c r="S40" s="2"/>
      <c r="T40" s="2"/>
      <c r="U40" s="78" t="e">
        <f>((#REF!/1.732)^2+((T40/1000000*ABS(Q40)+#REF!)/2)^2)^0.5*2</f>
        <v>#REF!</v>
      </c>
      <c r="X40" s="2392"/>
      <c r="Y40" s="78">
        <v>500</v>
      </c>
      <c r="Z40" s="78">
        <v>499.98</v>
      </c>
      <c r="AA40" s="373" t="s">
        <v>76</v>
      </c>
      <c r="AB40" s="2"/>
      <c r="AC40" s="2"/>
    </row>
    <row r="41" spans="1:29" outlineLevel="1">
      <c r="A41" s="2393"/>
      <c r="B41" s="78">
        <v>100</v>
      </c>
      <c r="C41" s="78">
        <v>99.995699999999999</v>
      </c>
      <c r="D41" s="373" t="s">
        <v>76</v>
      </c>
      <c r="E41" s="2"/>
      <c r="F41" s="2"/>
      <c r="G41" s="78" t="e">
        <f>((#REF!/1.732)^2+((F41/1000000*ABS(C41)+#REF!)/2)^2)^0.5*2</f>
        <v>#REF!</v>
      </c>
      <c r="I41" s="2">
        <v>5</v>
      </c>
      <c r="J41" s="364">
        <v>4.0000000000000003E-5</v>
      </c>
      <c r="K41" s="2">
        <f t="shared" ca="1" si="0"/>
        <v>0.5</v>
      </c>
      <c r="O41" s="2393"/>
      <c r="P41" s="78">
        <v>100</v>
      </c>
      <c r="Q41" s="78">
        <v>99.995699999999999</v>
      </c>
      <c r="R41" s="373" t="s">
        <v>76</v>
      </c>
      <c r="S41" s="2"/>
      <c r="T41" s="2"/>
      <c r="U41" s="78" t="e">
        <f>((#REF!/1.732)^2+((T41/1000000*ABS(Q41)+#REF!)/2)^2)^0.5*2</f>
        <v>#REF!</v>
      </c>
      <c r="X41" s="2393"/>
      <c r="Y41" s="78">
        <v>100</v>
      </c>
      <c r="Z41" s="78">
        <v>99.995699999999999</v>
      </c>
      <c r="AA41" s="373" t="s">
        <v>76</v>
      </c>
      <c r="AB41" s="2"/>
      <c r="AC41" s="2"/>
    </row>
    <row r="42" spans="1:29" outlineLevel="1">
      <c r="A42" s="555"/>
      <c r="B42" s="556"/>
      <c r="C42" s="556"/>
      <c r="D42" s="557"/>
      <c r="E42" s="28"/>
      <c r="F42" s="28"/>
      <c r="G42" s="556"/>
      <c r="I42" s="28"/>
      <c r="J42" s="558"/>
      <c r="K42" s="28"/>
    </row>
    <row r="43" spans="1:29">
      <c r="A43" s="779" t="s">
        <v>2076</v>
      </c>
      <c r="B43" s="28"/>
      <c r="C43" s="28" t="s">
        <v>2077</v>
      </c>
      <c r="D43" s="28"/>
      <c r="E43" s="28"/>
      <c r="F43" s="28"/>
      <c r="G43" s="28"/>
      <c r="H43" s="28"/>
      <c r="I43" s="28"/>
    </row>
    <row r="44" spans="1:29" ht="14.25" customHeight="1" outlineLevel="1">
      <c r="A44" s="2508" t="s">
        <v>2066</v>
      </c>
      <c r="B44" s="2508" t="s">
        <v>2067</v>
      </c>
      <c r="C44" s="2504" t="s">
        <v>2078</v>
      </c>
      <c r="D44" s="2505"/>
      <c r="E44" s="2511" t="s">
        <v>2079</v>
      </c>
      <c r="F44" s="2512"/>
      <c r="G44" s="745" t="s">
        <v>1874</v>
      </c>
      <c r="I44" s="2515" t="s">
        <v>2080</v>
      </c>
      <c r="J44" s="2515"/>
      <c r="K44" s="2515" t="s">
        <v>2081</v>
      </c>
      <c r="O44" s="2508" t="s">
        <v>2066</v>
      </c>
      <c r="P44" s="2508" t="s">
        <v>2067</v>
      </c>
      <c r="Q44" s="2504" t="s">
        <v>2078</v>
      </c>
      <c r="R44" s="2505"/>
      <c r="S44" s="2506" t="s">
        <v>2079</v>
      </c>
      <c r="T44" s="2507"/>
      <c r="U44" s="780" t="s">
        <v>1874</v>
      </c>
      <c r="X44" s="2508" t="s">
        <v>2066</v>
      </c>
      <c r="Y44" s="2508" t="s">
        <v>2067</v>
      </c>
      <c r="Z44" s="2504" t="s">
        <v>2078</v>
      </c>
      <c r="AA44" s="2505"/>
      <c r="AB44" s="2506" t="s">
        <v>2079</v>
      </c>
      <c r="AC44" s="2507"/>
    </row>
    <row r="45" spans="1:29" outlineLevel="1">
      <c r="A45" s="1789"/>
      <c r="B45" s="1789"/>
      <c r="C45" s="374" t="s">
        <v>2073</v>
      </c>
      <c r="D45" s="375" t="s">
        <v>2060</v>
      </c>
      <c r="E45" s="771" t="s">
        <v>2073</v>
      </c>
      <c r="F45" s="771" t="s">
        <v>2060</v>
      </c>
      <c r="G45" s="745" t="s">
        <v>2074</v>
      </c>
      <c r="I45" s="2515"/>
      <c r="J45" s="2515"/>
      <c r="K45" s="2516"/>
      <c r="O45" s="1789"/>
      <c r="P45" s="1789"/>
      <c r="Q45" s="374" t="s">
        <v>2073</v>
      </c>
      <c r="R45" s="375" t="s">
        <v>2060</v>
      </c>
      <c r="S45" s="781" t="s">
        <v>2073</v>
      </c>
      <c r="T45" s="781" t="s">
        <v>2060</v>
      </c>
      <c r="U45" s="780" t="s">
        <v>2074</v>
      </c>
      <c r="X45" s="1789"/>
      <c r="Y45" s="1789"/>
      <c r="Z45" s="374" t="s">
        <v>2073</v>
      </c>
      <c r="AA45" s="375" t="s">
        <v>2060</v>
      </c>
      <c r="AB45" s="781" t="s">
        <v>2073</v>
      </c>
      <c r="AC45" s="781" t="s">
        <v>2060</v>
      </c>
    </row>
    <row r="46" spans="1:29" outlineLevel="1">
      <c r="A46" s="2401">
        <v>10</v>
      </c>
      <c r="B46" s="97">
        <v>10</v>
      </c>
      <c r="C46" s="98">
        <v>9.9999900000000004</v>
      </c>
      <c r="D46" s="365">
        <v>9.9999800000000008</v>
      </c>
      <c r="E46" s="773"/>
      <c r="F46" s="773"/>
      <c r="G46" s="774" t="e">
        <f>((#REF!/1.732)^2+((F46/1000000*ABS(C46)+#REF!)/2)^2)^0.5*2</f>
        <v>#REF!</v>
      </c>
      <c r="I46" s="2">
        <v>3.5</v>
      </c>
      <c r="J46" s="376">
        <v>2.5000000000000002E-6</v>
      </c>
      <c r="K46" s="782">
        <f ca="1">10^(-IF(CELL("format",F46)="G",0,VALUE(REPLACE(CELL("format",F46),1,1,))))/2</f>
        <v>0.5</v>
      </c>
      <c r="O46" s="2401">
        <v>10</v>
      </c>
      <c r="P46" s="97">
        <v>10</v>
      </c>
      <c r="Q46" s="98">
        <v>9.9999900000000004</v>
      </c>
      <c r="R46" s="365">
        <v>9.9999800000000008</v>
      </c>
      <c r="S46" s="783"/>
      <c r="T46" s="783"/>
      <c r="U46" s="774" t="e">
        <f>((#REF!/1.732)^2+((T46/1000000*ABS(Q46)+#REF!)/2)^2)^0.5*2</f>
        <v>#REF!</v>
      </c>
      <c r="X46" s="2401">
        <v>10</v>
      </c>
      <c r="Y46" s="97">
        <v>10</v>
      </c>
      <c r="Z46" s="98">
        <v>9.9999900000000004</v>
      </c>
      <c r="AA46" s="365">
        <v>9.9999800000000008</v>
      </c>
      <c r="AB46" s="783"/>
      <c r="AC46" s="783"/>
    </row>
    <row r="47" spans="1:29" outlineLevel="1">
      <c r="A47" s="2402"/>
      <c r="B47" s="97">
        <v>9</v>
      </c>
      <c r="C47" s="98">
        <v>8.9999900000000004</v>
      </c>
      <c r="D47" s="366" t="s">
        <v>76</v>
      </c>
      <c r="E47" s="773"/>
      <c r="F47" s="773"/>
      <c r="G47" s="774" t="e">
        <f>((#REF!/1.732)^2+((F47/1000000*ABS(C47)+#REF!)/2)^2)^0.5*2</f>
        <v>#REF!</v>
      </c>
      <c r="I47" s="2">
        <v>3.5</v>
      </c>
      <c r="J47" s="376">
        <v>2.5000000000000002E-6</v>
      </c>
      <c r="K47" s="2">
        <f t="shared" ref="K47:K67" ca="1" si="1">10^(-IF(CELL("format",F47)="G",0,VALUE(REPLACE(CELL("format",F47),1,1,))))/2</f>
        <v>0.5</v>
      </c>
      <c r="O47" s="2402"/>
      <c r="P47" s="97">
        <v>9</v>
      </c>
      <c r="Q47" s="98">
        <v>8.9999900000000004</v>
      </c>
      <c r="R47" s="366" t="s">
        <v>76</v>
      </c>
      <c r="S47" s="783"/>
      <c r="T47" s="783"/>
      <c r="U47" s="774" t="e">
        <f>((#REF!/1.732)^2+((T47/1000000*ABS(Q47)+#REF!)/2)^2)^0.5*2</f>
        <v>#REF!</v>
      </c>
      <c r="X47" s="2402"/>
      <c r="Y47" s="97">
        <v>9</v>
      </c>
      <c r="Z47" s="98">
        <v>8.9999900000000004</v>
      </c>
      <c r="AA47" s="366" t="s">
        <v>76</v>
      </c>
      <c r="AB47" s="783"/>
      <c r="AC47" s="783"/>
    </row>
    <row r="48" spans="1:29" outlineLevel="1">
      <c r="A48" s="2402"/>
      <c r="B48" s="97">
        <v>8</v>
      </c>
      <c r="C48" s="98">
        <v>7.9999900000000004</v>
      </c>
      <c r="D48" s="366" t="s">
        <v>76</v>
      </c>
      <c r="E48" s="773"/>
      <c r="F48" s="773"/>
      <c r="G48" s="774" t="e">
        <f>((#REF!/1.732)^2+((F48/1000000*ABS(C48)+#REF!)/2)^2)^0.5*2</f>
        <v>#REF!</v>
      </c>
      <c r="I48" s="2">
        <v>3.5</v>
      </c>
      <c r="J48" s="376">
        <v>2.5000000000000002E-6</v>
      </c>
      <c r="K48" s="2">
        <f t="shared" ca="1" si="1"/>
        <v>0.5</v>
      </c>
      <c r="O48" s="2402"/>
      <c r="P48" s="97">
        <v>8</v>
      </c>
      <c r="Q48" s="98">
        <v>7.9999900000000004</v>
      </c>
      <c r="R48" s="366" t="s">
        <v>76</v>
      </c>
      <c r="S48" s="783"/>
      <c r="T48" s="783"/>
      <c r="U48" s="774" t="e">
        <f>((#REF!/1.732)^2+((T48/1000000*ABS(Q48)+#REF!)/2)^2)^0.5*2</f>
        <v>#REF!</v>
      </c>
      <c r="X48" s="2402"/>
      <c r="Y48" s="97">
        <v>8</v>
      </c>
      <c r="Z48" s="98">
        <v>7.9999900000000004</v>
      </c>
      <c r="AA48" s="366" t="s">
        <v>76</v>
      </c>
      <c r="AB48" s="783"/>
      <c r="AC48" s="783"/>
    </row>
    <row r="49" spans="1:29" outlineLevel="1">
      <c r="A49" s="2402"/>
      <c r="B49" s="97">
        <v>7</v>
      </c>
      <c r="C49" s="98">
        <v>6.9999900000000004</v>
      </c>
      <c r="D49" s="366" t="s">
        <v>76</v>
      </c>
      <c r="E49" s="773"/>
      <c r="F49" s="773"/>
      <c r="G49" s="774" t="e">
        <f>((#REF!/1.732)^2+((F49/1000000*ABS(C49)+#REF!)/2)^2)^0.5*2</f>
        <v>#REF!</v>
      </c>
      <c r="I49" s="2">
        <v>3.5</v>
      </c>
      <c r="J49" s="376">
        <v>2.5000000000000002E-6</v>
      </c>
      <c r="K49" s="2">
        <f t="shared" ca="1" si="1"/>
        <v>0.5</v>
      </c>
      <c r="O49" s="2402"/>
      <c r="P49" s="97">
        <v>7</v>
      </c>
      <c r="Q49" s="98">
        <v>6.9999900000000004</v>
      </c>
      <c r="R49" s="366" t="s">
        <v>76</v>
      </c>
      <c r="S49" s="783"/>
      <c r="T49" s="783"/>
      <c r="U49" s="774" t="e">
        <f>((#REF!/1.732)^2+((T49/1000000*ABS(Q49)+#REF!)/2)^2)^0.5*2</f>
        <v>#REF!</v>
      </c>
      <c r="X49" s="2402"/>
      <c r="Y49" s="97">
        <v>7</v>
      </c>
      <c r="Z49" s="98">
        <v>6.9999900000000004</v>
      </c>
      <c r="AA49" s="366" t="s">
        <v>76</v>
      </c>
      <c r="AB49" s="783"/>
      <c r="AC49" s="783"/>
    </row>
    <row r="50" spans="1:29" outlineLevel="1">
      <c r="A50" s="2402"/>
      <c r="B50" s="97">
        <v>6</v>
      </c>
      <c r="C50" s="98">
        <v>5.9999900000000004</v>
      </c>
      <c r="D50" s="366" t="s">
        <v>76</v>
      </c>
      <c r="E50" s="773"/>
      <c r="F50" s="773"/>
      <c r="G50" s="774" t="e">
        <f>((#REF!/1.732)^2+((F50/1000000*ABS(C50)+#REF!)/2)^2)^0.5*2</f>
        <v>#REF!</v>
      </c>
      <c r="I50" s="2">
        <v>3.5</v>
      </c>
      <c r="J50" s="376">
        <v>2.5000000000000002E-6</v>
      </c>
      <c r="K50" s="2">
        <f t="shared" ca="1" si="1"/>
        <v>0.5</v>
      </c>
      <c r="O50" s="2402"/>
      <c r="P50" s="97">
        <v>6</v>
      </c>
      <c r="Q50" s="98">
        <v>5.9999900000000004</v>
      </c>
      <c r="R50" s="366" t="s">
        <v>76</v>
      </c>
      <c r="S50" s="783"/>
      <c r="T50" s="783"/>
      <c r="U50" s="774" t="e">
        <f>((#REF!/1.732)^2+((T50/1000000*ABS(Q50)+#REF!)/2)^2)^0.5*2</f>
        <v>#REF!</v>
      </c>
      <c r="X50" s="2402"/>
      <c r="Y50" s="97">
        <v>6</v>
      </c>
      <c r="Z50" s="98">
        <v>5.9999900000000004</v>
      </c>
      <c r="AA50" s="366" t="s">
        <v>76</v>
      </c>
      <c r="AB50" s="783"/>
      <c r="AC50" s="783"/>
    </row>
    <row r="51" spans="1:29" outlineLevel="1">
      <c r="A51" s="2402"/>
      <c r="B51" s="97">
        <v>5</v>
      </c>
      <c r="C51" s="98">
        <v>4.9999900000000004</v>
      </c>
      <c r="D51" s="366" t="s">
        <v>76</v>
      </c>
      <c r="E51" s="773"/>
      <c r="F51" s="773"/>
      <c r="G51" s="774" t="e">
        <f>((#REF!/1.732)^2+((F51/1000000*ABS(C51)+#REF!)/2)^2)^0.5*2</f>
        <v>#REF!</v>
      </c>
      <c r="I51" s="2">
        <v>3.5</v>
      </c>
      <c r="J51" s="376">
        <v>2.5000000000000002E-6</v>
      </c>
      <c r="K51" s="2">
        <f t="shared" ca="1" si="1"/>
        <v>0.5</v>
      </c>
      <c r="O51" s="2402"/>
      <c r="P51" s="97">
        <v>5</v>
      </c>
      <c r="Q51" s="98">
        <v>4.9999900000000004</v>
      </c>
      <c r="R51" s="366" t="s">
        <v>76</v>
      </c>
      <c r="S51" s="783"/>
      <c r="T51" s="783"/>
      <c r="U51" s="774" t="e">
        <f>((#REF!/1.732)^2+((T51/1000000*ABS(Q51)+#REF!)/2)^2)^0.5*2</f>
        <v>#REF!</v>
      </c>
      <c r="X51" s="2402"/>
      <c r="Y51" s="97">
        <v>5</v>
      </c>
      <c r="Z51" s="98">
        <v>4.9999900000000004</v>
      </c>
      <c r="AA51" s="366" t="s">
        <v>76</v>
      </c>
      <c r="AB51" s="783"/>
      <c r="AC51" s="783"/>
    </row>
    <row r="52" spans="1:29" outlineLevel="1">
      <c r="A52" s="2402"/>
      <c r="B52" s="97">
        <v>4</v>
      </c>
      <c r="C52" s="98">
        <v>3.9999899999999999</v>
      </c>
      <c r="D52" s="366" t="s">
        <v>76</v>
      </c>
      <c r="E52" s="773"/>
      <c r="F52" s="773"/>
      <c r="G52" s="774" t="e">
        <f>((#REF!/1.732)^2+((F52/1000000*ABS(C52)+#REF!)/2)^2)^0.5*2</f>
        <v>#REF!</v>
      </c>
      <c r="I52" s="2">
        <v>3.5</v>
      </c>
      <c r="J52" s="376">
        <v>2.5000000000000002E-6</v>
      </c>
      <c r="K52" s="2">
        <f t="shared" ca="1" si="1"/>
        <v>0.5</v>
      </c>
      <c r="O52" s="2402"/>
      <c r="P52" s="97">
        <v>4</v>
      </c>
      <c r="Q52" s="98">
        <v>3.9999899999999999</v>
      </c>
      <c r="R52" s="366" t="s">
        <v>76</v>
      </c>
      <c r="S52" s="783"/>
      <c r="T52" s="783"/>
      <c r="U52" s="774" t="e">
        <f>((#REF!/1.732)^2+((T52/1000000*ABS(Q52)+#REF!)/2)^2)^0.5*2</f>
        <v>#REF!</v>
      </c>
      <c r="X52" s="2402"/>
      <c r="Y52" s="97">
        <v>4</v>
      </c>
      <c r="Z52" s="98">
        <v>3.9999899999999999</v>
      </c>
      <c r="AA52" s="366" t="s">
        <v>76</v>
      </c>
      <c r="AB52" s="783"/>
      <c r="AC52" s="783"/>
    </row>
    <row r="53" spans="1:29" outlineLevel="1">
      <c r="A53" s="2402"/>
      <c r="B53" s="97">
        <v>3</v>
      </c>
      <c r="C53" s="98">
        <v>2.9999899999999999</v>
      </c>
      <c r="D53" s="366" t="s">
        <v>76</v>
      </c>
      <c r="E53" s="773"/>
      <c r="F53" s="773"/>
      <c r="G53" s="774" t="e">
        <f>((#REF!/1.732)^2+((F53/1000000*ABS(C53)+#REF!)/2)^2)^0.5*2</f>
        <v>#REF!</v>
      </c>
      <c r="I53" s="2">
        <v>3.5</v>
      </c>
      <c r="J53" s="376">
        <v>2.5000000000000002E-6</v>
      </c>
      <c r="K53" s="2">
        <f t="shared" ca="1" si="1"/>
        <v>0.5</v>
      </c>
      <c r="O53" s="2402"/>
      <c r="P53" s="97">
        <v>3</v>
      </c>
      <c r="Q53" s="98">
        <v>2.9999899999999999</v>
      </c>
      <c r="R53" s="366" t="s">
        <v>76</v>
      </c>
      <c r="S53" s="783"/>
      <c r="T53" s="783"/>
      <c r="U53" s="774" t="e">
        <f>((#REF!/1.732)^2+((T53/1000000*ABS(Q53)+#REF!)/2)^2)^0.5*2</f>
        <v>#REF!</v>
      </c>
      <c r="X53" s="2402"/>
      <c r="Y53" s="97">
        <v>3</v>
      </c>
      <c r="Z53" s="98">
        <v>2.9999899999999999</v>
      </c>
      <c r="AA53" s="366" t="s">
        <v>76</v>
      </c>
      <c r="AB53" s="783"/>
      <c r="AC53" s="783"/>
    </row>
    <row r="54" spans="1:29" outlineLevel="1">
      <c r="A54" s="2402"/>
      <c r="B54" s="97">
        <v>2</v>
      </c>
      <c r="C54" s="98">
        <v>2</v>
      </c>
      <c r="D54" s="366" t="s">
        <v>76</v>
      </c>
      <c r="E54" s="773"/>
      <c r="F54" s="773"/>
      <c r="G54" s="774" t="e">
        <f>((#REF!/1.732)^2+((F54/1000000*ABS(C54)+#REF!)/2)^2)^0.5*2</f>
        <v>#REF!</v>
      </c>
      <c r="I54" s="2">
        <v>5</v>
      </c>
      <c r="J54" s="376">
        <v>6.9999999999999997E-7</v>
      </c>
      <c r="K54" s="2">
        <f t="shared" ca="1" si="1"/>
        <v>0.5</v>
      </c>
      <c r="O54" s="2402"/>
      <c r="P54" s="97">
        <v>2</v>
      </c>
      <c r="Q54" s="98">
        <v>2</v>
      </c>
      <c r="R54" s="366" t="s">
        <v>76</v>
      </c>
      <c r="S54" s="783"/>
      <c r="T54" s="783"/>
      <c r="U54" s="774" t="e">
        <f>((#REF!/1.732)^2+((T54/1000000*ABS(Q54)+#REF!)/2)^2)^0.5*2</f>
        <v>#REF!</v>
      </c>
      <c r="X54" s="2402"/>
      <c r="Y54" s="97">
        <v>2</v>
      </c>
      <c r="Z54" s="98">
        <v>2</v>
      </c>
      <c r="AA54" s="366" t="s">
        <v>76</v>
      </c>
      <c r="AB54" s="783"/>
      <c r="AC54" s="783"/>
    </row>
    <row r="55" spans="1:29" outlineLevel="1">
      <c r="A55" s="2402"/>
      <c r="B55" s="97">
        <v>1</v>
      </c>
      <c r="C55" s="98">
        <v>0.99999899999999997</v>
      </c>
      <c r="D55" s="366" t="s">
        <v>76</v>
      </c>
      <c r="E55" s="773"/>
      <c r="F55" s="773"/>
      <c r="G55" s="774" t="e">
        <f>((#REF!/1.732)^2+((F55/1000000*ABS(C55)+#REF!)/2)^2)^0.5*2</f>
        <v>#REF!</v>
      </c>
      <c r="I55" s="2">
        <v>5</v>
      </c>
      <c r="J55" s="376">
        <v>6.9999999999999997E-7</v>
      </c>
      <c r="K55" s="2">
        <f t="shared" ca="1" si="1"/>
        <v>0.5</v>
      </c>
      <c r="O55" s="2402"/>
      <c r="P55" s="97">
        <v>1</v>
      </c>
      <c r="Q55" s="98">
        <v>0.99999899999999997</v>
      </c>
      <c r="R55" s="366" t="s">
        <v>76</v>
      </c>
      <c r="S55" s="783"/>
      <c r="T55" s="783"/>
      <c r="U55" s="774" t="e">
        <f>((#REF!/1.732)^2+((T55/1000000*ABS(Q55)+#REF!)/2)^2)^0.5*2</f>
        <v>#REF!</v>
      </c>
      <c r="X55" s="2402"/>
      <c r="Y55" s="97">
        <v>1</v>
      </c>
      <c r="Z55" s="98">
        <v>0.99999899999999997</v>
      </c>
      <c r="AA55" s="366" t="s">
        <v>76</v>
      </c>
      <c r="AB55" s="783"/>
      <c r="AC55" s="783"/>
    </row>
    <row r="56" spans="1:29" outlineLevel="1">
      <c r="A56" s="2387">
        <v>100</v>
      </c>
      <c r="B56" s="99">
        <v>100</v>
      </c>
      <c r="C56" s="99">
        <v>100.0016</v>
      </c>
      <c r="D56" s="367">
        <v>99.999799999999993</v>
      </c>
      <c r="E56" s="773"/>
      <c r="F56" s="773"/>
      <c r="G56" s="784" t="e">
        <f>((#REF!/1.732)^2+((F56/1000000*ABS(C56)+#REF!)/2)^2)^0.5*2</f>
        <v>#REF!</v>
      </c>
      <c r="I56" s="2">
        <v>7.5</v>
      </c>
      <c r="J56" s="377">
        <v>4.0000000000000002E-4</v>
      </c>
      <c r="K56" s="2">
        <f t="shared" ca="1" si="1"/>
        <v>0.5</v>
      </c>
      <c r="O56" s="2387">
        <v>100</v>
      </c>
      <c r="P56" s="99">
        <v>100</v>
      </c>
      <c r="Q56" s="99">
        <v>100.0016</v>
      </c>
      <c r="R56" s="367">
        <v>99.999799999999993</v>
      </c>
      <c r="S56" s="2"/>
      <c r="T56" s="2"/>
      <c r="U56" s="99" t="e">
        <f>((#REF!/1.732)^2+((T56/1000000*ABS(Q56)+#REF!)/2)^2)^0.5*2</f>
        <v>#REF!</v>
      </c>
      <c r="X56" s="2387">
        <v>100</v>
      </c>
      <c r="Y56" s="99">
        <v>100</v>
      </c>
      <c r="Z56" s="99">
        <v>100.0016</v>
      </c>
      <c r="AA56" s="367">
        <v>99.999799999999993</v>
      </c>
      <c r="AB56" s="2"/>
      <c r="AC56" s="2"/>
    </row>
    <row r="57" spans="1:29" outlineLevel="1">
      <c r="A57" s="2388"/>
      <c r="B57" s="99">
        <v>50</v>
      </c>
      <c r="C57" s="99">
        <v>50.000999999999998</v>
      </c>
      <c r="D57" s="368" t="s">
        <v>76</v>
      </c>
      <c r="E57" s="2"/>
      <c r="F57" s="2"/>
      <c r="G57" s="99" t="e">
        <f>((#REF!/1.732)^2+((F57/1000000*ABS(C57)+#REF!)/2)^2)^0.5*2</f>
        <v>#REF!</v>
      </c>
      <c r="I57" s="2">
        <v>7.5</v>
      </c>
      <c r="J57" s="377">
        <v>4.0000000000000002E-4</v>
      </c>
      <c r="K57" s="2">
        <f t="shared" ca="1" si="1"/>
        <v>0.5</v>
      </c>
      <c r="O57" s="2388"/>
      <c r="P57" s="99">
        <v>50</v>
      </c>
      <c r="Q57" s="99">
        <v>50.000999999999998</v>
      </c>
      <c r="R57" s="368" t="s">
        <v>76</v>
      </c>
      <c r="S57" s="2"/>
      <c r="T57" s="2"/>
      <c r="U57" s="99" t="e">
        <f>((#REF!/1.732)^2+((T57/1000000*ABS(Q57)+#REF!)/2)^2)^0.5*2</f>
        <v>#REF!</v>
      </c>
      <c r="X57" s="2388"/>
      <c r="Y57" s="99">
        <v>50</v>
      </c>
      <c r="Z57" s="99">
        <v>50.000999999999998</v>
      </c>
      <c r="AA57" s="368" t="s">
        <v>76</v>
      </c>
      <c r="AB57" s="2"/>
      <c r="AC57" s="2"/>
    </row>
    <row r="58" spans="1:29" outlineLevel="1">
      <c r="A58" s="2388"/>
      <c r="B58" s="99">
        <v>10</v>
      </c>
      <c r="C58" s="99">
        <v>9.9995999999999992</v>
      </c>
      <c r="D58" s="368" t="s">
        <v>76</v>
      </c>
      <c r="E58" s="2"/>
      <c r="F58" s="2"/>
      <c r="G58" s="99" t="e">
        <f>((#REF!/1.732)^2+((F58/1000000*ABS(C58)+#REF!)/2)^2)^0.5*2</f>
        <v>#REF!</v>
      </c>
      <c r="I58" s="2">
        <v>7.5</v>
      </c>
      <c r="J58" s="377">
        <v>4.0000000000000002E-4</v>
      </c>
      <c r="K58" s="2">
        <f t="shared" ca="1" si="1"/>
        <v>0.5</v>
      </c>
      <c r="O58" s="2388"/>
      <c r="P58" s="99">
        <v>10</v>
      </c>
      <c r="Q58" s="99">
        <v>9.9995999999999992</v>
      </c>
      <c r="R58" s="368" t="s">
        <v>76</v>
      </c>
      <c r="S58" s="2"/>
      <c r="T58" s="2"/>
      <c r="U58" s="99" t="e">
        <f>((#REF!/1.732)^2+((T58/1000000*ABS(Q58)+#REF!)/2)^2)^0.5*2</f>
        <v>#REF!</v>
      </c>
      <c r="X58" s="2388"/>
      <c r="Y58" s="99">
        <v>10</v>
      </c>
      <c r="Z58" s="99">
        <v>9.9995999999999992</v>
      </c>
      <c r="AA58" s="368" t="s">
        <v>76</v>
      </c>
      <c r="AB58" s="2"/>
      <c r="AC58" s="2"/>
    </row>
    <row r="59" spans="1:29" outlineLevel="1">
      <c r="A59" s="2389">
        <v>1</v>
      </c>
      <c r="B59" s="101">
        <v>1</v>
      </c>
      <c r="C59" s="101">
        <v>0.99999800000000005</v>
      </c>
      <c r="D59" s="369">
        <v>0.999996</v>
      </c>
      <c r="E59" s="2"/>
      <c r="F59" s="2"/>
      <c r="G59" s="102" t="e">
        <f>((#REF!/1.732)^2+((F59/1000000*ABS(C59)+#REF!)/2)^2)^0.5*2</f>
        <v>#REF!</v>
      </c>
      <c r="I59" s="2">
        <v>5</v>
      </c>
      <c r="J59" s="376">
        <v>6.9999999999999997E-7</v>
      </c>
      <c r="K59" s="2">
        <f t="shared" ca="1" si="1"/>
        <v>0.5</v>
      </c>
      <c r="O59" s="2389">
        <v>1</v>
      </c>
      <c r="P59" s="101">
        <v>1</v>
      </c>
      <c r="Q59" s="101">
        <v>0.99999800000000005</v>
      </c>
      <c r="R59" s="369">
        <v>0.999996</v>
      </c>
      <c r="S59" s="2"/>
      <c r="T59" s="2"/>
      <c r="U59" s="102" t="e">
        <f>((#REF!/1.732)^2+((T59/1000000*ABS(Q59)+#REF!)/2)^2)^0.5*2</f>
        <v>#REF!</v>
      </c>
      <c r="X59" s="2389">
        <v>1</v>
      </c>
      <c r="Y59" s="101">
        <v>1</v>
      </c>
      <c r="Z59" s="101">
        <v>0.99999800000000005</v>
      </c>
      <c r="AA59" s="369">
        <v>0.999996</v>
      </c>
      <c r="AB59" s="2"/>
      <c r="AC59" s="2"/>
    </row>
    <row r="60" spans="1:29" outlineLevel="1">
      <c r="A60" s="2390"/>
      <c r="B60" s="101">
        <v>0.5</v>
      </c>
      <c r="C60" s="101">
        <v>0.49999700000000002</v>
      </c>
      <c r="D60" s="370" t="s">
        <v>76</v>
      </c>
      <c r="E60" s="2"/>
      <c r="F60" s="2"/>
      <c r="G60" s="102" t="e">
        <f>((#REF!/1.732)^2+((F60/1000000*ABS(C60)+#REF!)/2)^2)^0.5*2</f>
        <v>#REF!</v>
      </c>
      <c r="I60" s="2">
        <v>5</v>
      </c>
      <c r="J60" s="376">
        <v>6.9999999999999997E-7</v>
      </c>
      <c r="K60" s="2">
        <f t="shared" ca="1" si="1"/>
        <v>0.5</v>
      </c>
      <c r="O60" s="2390"/>
      <c r="P60" s="101">
        <v>0.5</v>
      </c>
      <c r="Q60" s="101">
        <v>0.49999700000000002</v>
      </c>
      <c r="R60" s="370" t="s">
        <v>76</v>
      </c>
      <c r="S60" s="2"/>
      <c r="T60" s="2"/>
      <c r="U60" s="102" t="e">
        <f>((#REF!/1.732)^2+((T60/1000000*ABS(Q60)+#REF!)/2)^2)^0.5*2</f>
        <v>#REF!</v>
      </c>
      <c r="X60" s="2390"/>
      <c r="Y60" s="101">
        <v>0.5</v>
      </c>
      <c r="Z60" s="101">
        <v>0.49999700000000002</v>
      </c>
      <c r="AA60" s="370" t="s">
        <v>76</v>
      </c>
      <c r="AB60" s="2"/>
      <c r="AC60" s="2"/>
    </row>
    <row r="61" spans="1:29" outlineLevel="1">
      <c r="A61" s="2390"/>
      <c r="B61" s="101">
        <v>0.1</v>
      </c>
      <c r="C61" s="101">
        <v>0.1000017</v>
      </c>
      <c r="D61" s="370" t="s">
        <v>76</v>
      </c>
      <c r="E61" s="2"/>
      <c r="F61" s="2"/>
      <c r="G61" s="102" t="e">
        <f>((#REF!/1.732)^2+((F61/1000000*ABS(C61)+#REF!)/2)^2)^0.5*2</f>
        <v>#REF!</v>
      </c>
      <c r="I61" s="2">
        <v>7.5</v>
      </c>
      <c r="J61" s="377">
        <v>4.0000000000000002E-4</v>
      </c>
      <c r="K61" s="2">
        <f t="shared" ca="1" si="1"/>
        <v>0.5</v>
      </c>
      <c r="O61" s="2390"/>
      <c r="P61" s="101">
        <v>0.1</v>
      </c>
      <c r="Q61" s="101">
        <v>0.1000017</v>
      </c>
      <c r="R61" s="370" t="s">
        <v>76</v>
      </c>
      <c r="S61" s="2"/>
      <c r="T61" s="2"/>
      <c r="U61" s="102" t="e">
        <f>((#REF!/1.732)^2+((T61/1000000*ABS(Q61)+#REF!)/2)^2)^0.5*2</f>
        <v>#REF!</v>
      </c>
      <c r="X61" s="2390"/>
      <c r="Y61" s="101">
        <v>0.1</v>
      </c>
      <c r="Z61" s="101">
        <v>0.1000017</v>
      </c>
      <c r="AA61" s="370" t="s">
        <v>76</v>
      </c>
      <c r="AB61" s="2"/>
      <c r="AC61" s="2"/>
    </row>
    <row r="62" spans="1:29" outlineLevel="1">
      <c r="A62" s="2389">
        <v>100</v>
      </c>
      <c r="B62" s="104">
        <v>100</v>
      </c>
      <c r="C62" s="104">
        <v>99.995699999999999</v>
      </c>
      <c r="D62" s="371">
        <v>99.995400000000004</v>
      </c>
      <c r="E62" s="2"/>
      <c r="F62" s="2"/>
      <c r="G62" s="104" t="e">
        <f>((#REF!/1.732)^2+((F62/1000000*ABS(C62)+#REF!)/2)^2)^0.5*2</f>
        <v>#REF!</v>
      </c>
      <c r="I62" s="2">
        <v>5</v>
      </c>
      <c r="J62" s="364">
        <v>4.0000000000000003E-5</v>
      </c>
      <c r="K62" s="2">
        <f t="shared" ca="1" si="1"/>
        <v>0.5</v>
      </c>
      <c r="O62" s="2389">
        <v>100</v>
      </c>
      <c r="P62" s="104">
        <v>100</v>
      </c>
      <c r="Q62" s="104">
        <v>99.995699999999999</v>
      </c>
      <c r="R62" s="371">
        <v>99.995400000000004</v>
      </c>
      <c r="S62" s="2"/>
      <c r="T62" s="2"/>
      <c r="U62" s="104" t="e">
        <f>((#REF!/1.732)^2+((T62/1000000*ABS(Q62)+#REF!)/2)^2)^0.5*2</f>
        <v>#REF!</v>
      </c>
      <c r="X62" s="2389">
        <v>100</v>
      </c>
      <c r="Y62" s="104">
        <v>100</v>
      </c>
      <c r="Z62" s="104">
        <v>99.995699999999999</v>
      </c>
      <c r="AA62" s="371">
        <v>99.995400000000004</v>
      </c>
      <c r="AB62" s="2"/>
      <c r="AC62" s="2"/>
    </row>
    <row r="63" spans="1:29" outlineLevel="1">
      <c r="A63" s="2390"/>
      <c r="B63" s="104">
        <v>50</v>
      </c>
      <c r="C63" s="104">
        <v>49.997700000000002</v>
      </c>
      <c r="D63" s="368" t="s">
        <v>76</v>
      </c>
      <c r="E63" s="2"/>
      <c r="F63" s="2"/>
      <c r="G63" s="104" t="e">
        <f>((#REF!/1.732)^2+((F63/1000000*ABS(C63)+#REF!)/2)^2)^0.5*2</f>
        <v>#REF!</v>
      </c>
      <c r="I63" s="2">
        <v>5</v>
      </c>
      <c r="J63" s="364">
        <v>4.0000000000000003E-5</v>
      </c>
      <c r="K63" s="2">
        <f t="shared" ca="1" si="1"/>
        <v>0.5</v>
      </c>
      <c r="O63" s="2390"/>
      <c r="P63" s="104">
        <v>50</v>
      </c>
      <c r="Q63" s="104">
        <v>49.997700000000002</v>
      </c>
      <c r="R63" s="368" t="s">
        <v>76</v>
      </c>
      <c r="S63" s="2"/>
      <c r="T63" s="2"/>
      <c r="U63" s="104" t="e">
        <f>((#REF!/1.732)^2+((T63/1000000*ABS(Q63)+#REF!)/2)^2)^0.5*2</f>
        <v>#REF!</v>
      </c>
      <c r="X63" s="2390"/>
      <c r="Y63" s="104">
        <v>50</v>
      </c>
      <c r="Z63" s="104">
        <v>49.997700000000002</v>
      </c>
      <c r="AA63" s="368" t="s">
        <v>76</v>
      </c>
      <c r="AB63" s="2"/>
      <c r="AC63" s="2"/>
    </row>
    <row r="64" spans="1:29" outlineLevel="1">
      <c r="A64" s="2390"/>
      <c r="B64" s="104">
        <v>10</v>
      </c>
      <c r="C64" s="104">
        <v>9.9999800000000008</v>
      </c>
      <c r="D64" s="368" t="s">
        <v>76</v>
      </c>
      <c r="E64" s="2"/>
      <c r="F64" s="2"/>
      <c r="G64" s="104" t="e">
        <f>((#REF!/1.732)^2+((F64/1000000*ABS(C64)+#REF!)/2)^2)^0.5*2</f>
        <v>#REF!</v>
      </c>
      <c r="I64" s="2">
        <v>3.5</v>
      </c>
      <c r="J64" s="376">
        <v>2.5000000000000002E-6</v>
      </c>
      <c r="K64" s="2">
        <f t="shared" ca="1" si="1"/>
        <v>0.5</v>
      </c>
      <c r="O64" s="2390"/>
      <c r="P64" s="104">
        <v>10</v>
      </c>
      <c r="Q64" s="104">
        <v>9.9999800000000008</v>
      </c>
      <c r="R64" s="368" t="s">
        <v>76</v>
      </c>
      <c r="S64" s="2"/>
      <c r="T64" s="2"/>
      <c r="U64" s="104" t="e">
        <f>((#REF!/1.732)^2+((T64/1000000*ABS(Q64)+#REF!)/2)^2)^0.5*2</f>
        <v>#REF!</v>
      </c>
      <c r="X64" s="2390"/>
      <c r="Y64" s="104">
        <v>10</v>
      </c>
      <c r="Z64" s="104">
        <v>9.9999800000000008</v>
      </c>
      <c r="AA64" s="368" t="s">
        <v>76</v>
      </c>
      <c r="AB64" s="2"/>
      <c r="AC64" s="2"/>
    </row>
    <row r="65" spans="1:29" outlineLevel="1">
      <c r="A65" s="2391">
        <v>1000</v>
      </c>
      <c r="B65" s="78">
        <v>1000</v>
      </c>
      <c r="C65" s="78">
        <v>999.96299999999997</v>
      </c>
      <c r="D65" s="372">
        <v>999.96199999999999</v>
      </c>
      <c r="E65" s="2"/>
      <c r="F65" s="2"/>
      <c r="G65" s="78" t="e">
        <f>((#REF!/1.732)^2+((F65/1000000*ABS(C65)+#REF!)/2)^2)^0.5*2</f>
        <v>#REF!</v>
      </c>
      <c r="I65" s="2">
        <v>6.5</v>
      </c>
      <c r="J65" s="378">
        <v>4.0000000000000002E-4</v>
      </c>
      <c r="K65" s="2">
        <f t="shared" ca="1" si="1"/>
        <v>0.5</v>
      </c>
      <c r="O65" s="2391">
        <v>1000</v>
      </c>
      <c r="P65" s="78">
        <v>1000</v>
      </c>
      <c r="Q65" s="78">
        <v>999.96299999999997</v>
      </c>
      <c r="R65" s="372">
        <v>999.96199999999999</v>
      </c>
      <c r="S65" s="2"/>
      <c r="T65" s="2"/>
      <c r="U65" s="78" t="e">
        <f>((#REF!/1.732)^2+((T65/1000000*ABS(Q65)+#REF!)/2)^2)^0.5*2</f>
        <v>#REF!</v>
      </c>
      <c r="X65" s="2391">
        <v>1000</v>
      </c>
      <c r="Y65" s="78">
        <v>1000</v>
      </c>
      <c r="Z65" s="78">
        <v>999.96299999999997</v>
      </c>
      <c r="AA65" s="372">
        <v>999.96199999999999</v>
      </c>
      <c r="AB65" s="2"/>
      <c r="AC65" s="2"/>
    </row>
    <row r="66" spans="1:29" outlineLevel="1">
      <c r="A66" s="2392"/>
      <c r="B66" s="78">
        <v>500</v>
      </c>
      <c r="C66" s="78">
        <v>499.98</v>
      </c>
      <c r="D66" s="373" t="s">
        <v>76</v>
      </c>
      <c r="E66" s="2"/>
      <c r="F66" s="2"/>
      <c r="G66" s="78" t="e">
        <f>((#REF!/1.732)^2+((F66/1000000*ABS(C66)+#REF!)/2)^2)^0.5*2</f>
        <v>#REF!</v>
      </c>
      <c r="I66" s="2">
        <v>6.5</v>
      </c>
      <c r="J66" s="378">
        <v>4.0000000000000002E-4</v>
      </c>
      <c r="K66" s="2">
        <f t="shared" ca="1" si="1"/>
        <v>0.5</v>
      </c>
      <c r="O66" s="2392"/>
      <c r="P66" s="78">
        <v>500</v>
      </c>
      <c r="Q66" s="78">
        <v>499.98</v>
      </c>
      <c r="R66" s="373" t="s">
        <v>76</v>
      </c>
      <c r="S66" s="2"/>
      <c r="T66" s="2"/>
      <c r="U66" s="78" t="e">
        <f>((#REF!/1.732)^2+((T66/1000000*ABS(Q66)+#REF!)/2)^2)^0.5*2</f>
        <v>#REF!</v>
      </c>
      <c r="X66" s="2392"/>
      <c r="Y66" s="78">
        <v>500</v>
      </c>
      <c r="Z66" s="78">
        <v>499.98</v>
      </c>
      <c r="AA66" s="373" t="s">
        <v>76</v>
      </c>
      <c r="AB66" s="2"/>
      <c r="AC66" s="2"/>
    </row>
    <row r="67" spans="1:29" outlineLevel="1">
      <c r="A67" s="2393"/>
      <c r="B67" s="78">
        <v>100</v>
      </c>
      <c r="C67" s="78">
        <v>99.995699999999999</v>
      </c>
      <c r="D67" s="373" t="s">
        <v>76</v>
      </c>
      <c r="E67" s="2"/>
      <c r="F67" s="2"/>
      <c r="G67" s="78" t="e">
        <f>((#REF!/1.732)^2+((F67/1000000*ABS(C67)+#REF!)/2)^2)^0.5*2</f>
        <v>#REF!</v>
      </c>
      <c r="I67" s="2">
        <v>5</v>
      </c>
      <c r="J67" s="364">
        <v>4.0000000000000003E-5</v>
      </c>
      <c r="K67" s="2">
        <f t="shared" ca="1" si="1"/>
        <v>0.5</v>
      </c>
      <c r="O67" s="2393"/>
      <c r="P67" s="78">
        <v>100</v>
      </c>
      <c r="Q67" s="78">
        <v>99.995699999999999</v>
      </c>
      <c r="R67" s="373" t="s">
        <v>76</v>
      </c>
      <c r="S67" s="2"/>
      <c r="T67" s="2"/>
      <c r="U67" s="78" t="e">
        <f>((#REF!/1.732)^2+((T67/1000000*ABS(Q67)+#REF!)/2)^2)^0.5*2</f>
        <v>#REF!</v>
      </c>
      <c r="X67" s="2393"/>
      <c r="Y67" s="78">
        <v>100</v>
      </c>
      <c r="Z67" s="78">
        <v>99.995699999999999</v>
      </c>
      <c r="AA67" s="373" t="s">
        <v>76</v>
      </c>
      <c r="AB67" s="2"/>
      <c r="AC67" s="2"/>
    </row>
    <row r="68" spans="1:29">
      <c r="A68" s="28"/>
      <c r="B68" s="28"/>
      <c r="C68" s="28"/>
      <c r="D68" s="28"/>
      <c r="E68" s="28"/>
      <c r="F68" s="28"/>
      <c r="G68" s="28"/>
      <c r="H68" s="28"/>
      <c r="I68" s="28"/>
    </row>
    <row r="69" spans="1:29">
      <c r="A69" s="2491" t="s">
        <v>2082</v>
      </c>
      <c r="B69" s="2491"/>
      <c r="C69" s="2491"/>
    </row>
    <row r="70" spans="1:29">
      <c r="A70" s="702" t="s">
        <v>3420</v>
      </c>
      <c r="C70" s="702" t="s">
        <v>3421</v>
      </c>
      <c r="K70" s="702" t="s">
        <v>2177</v>
      </c>
      <c r="T70" s="702" t="s">
        <v>2176</v>
      </c>
    </row>
    <row r="71" spans="1:29" outlineLevel="1">
      <c r="A71" s="2535" t="s">
        <v>1961</v>
      </c>
      <c r="B71" s="2535"/>
      <c r="C71" s="2394" t="s">
        <v>3422</v>
      </c>
      <c r="D71" s="2462"/>
      <c r="E71" s="2397" t="s">
        <v>3423</v>
      </c>
      <c r="F71" s="2457"/>
      <c r="G71" s="2523" t="s">
        <v>2948</v>
      </c>
      <c r="H71" s="2521" t="s">
        <v>3424</v>
      </c>
      <c r="I71" s="2434" t="s">
        <v>3425</v>
      </c>
      <c r="J71" t="s">
        <v>4345</v>
      </c>
      <c r="K71" s="2431" t="s">
        <v>1961</v>
      </c>
      <c r="L71" s="2431"/>
      <c r="M71" s="2431" t="s">
        <v>2534</v>
      </c>
      <c r="N71" s="2431"/>
      <c r="O71" s="2431" t="s">
        <v>3426</v>
      </c>
      <c r="P71" s="2493"/>
      <c r="Q71" s="2234" t="s">
        <v>2948</v>
      </c>
      <c r="R71" s="2234" t="s">
        <v>3425</v>
      </c>
      <c r="T71" s="2431" t="s">
        <v>1961</v>
      </c>
      <c r="U71" s="2431"/>
      <c r="V71" s="2431" t="s">
        <v>2534</v>
      </c>
      <c r="W71" s="2431"/>
      <c r="X71" s="2431" t="s">
        <v>3426</v>
      </c>
      <c r="Y71" s="2431"/>
      <c r="Z71" s="2234" t="s">
        <v>2948</v>
      </c>
      <c r="AA71" s="2234" t="s">
        <v>3425</v>
      </c>
      <c r="AB71" s="2431" t="s">
        <v>3427</v>
      </c>
    </row>
    <row r="72" spans="1:29" outlineLevel="1">
      <c r="A72" s="2535"/>
      <c r="B72" s="2535"/>
      <c r="C72" s="2463"/>
      <c r="D72" s="2464"/>
      <c r="E72" s="2458"/>
      <c r="F72" s="2459"/>
      <c r="G72" s="2524"/>
      <c r="H72" s="2522"/>
      <c r="I72" s="2434"/>
      <c r="K72" s="2431"/>
      <c r="L72" s="2431"/>
      <c r="M72" s="2431"/>
      <c r="N72" s="2431"/>
      <c r="O72" s="2431"/>
      <c r="P72" s="2493"/>
      <c r="Q72" s="2485"/>
      <c r="R72" s="2234"/>
      <c r="T72" s="2431"/>
      <c r="U72" s="2431"/>
      <c r="V72" s="2431"/>
      <c r="W72" s="2431"/>
      <c r="X72" s="2431"/>
      <c r="Y72" s="2431"/>
      <c r="Z72" s="2485"/>
      <c r="AA72" s="2234"/>
      <c r="AB72" s="2338"/>
    </row>
    <row r="73" spans="1:29" outlineLevel="1">
      <c r="A73" s="2494">
        <v>2000</v>
      </c>
      <c r="B73" s="2495"/>
      <c r="C73" s="2520">
        <v>200</v>
      </c>
      <c r="D73" s="2520"/>
      <c r="E73" s="2486">
        <v>200.5</v>
      </c>
      <c r="F73" s="2486"/>
      <c r="G73" s="787">
        <f>(E73-C73)/C73*100</f>
        <v>0.25</v>
      </c>
      <c r="H73" s="788">
        <v>0.5</v>
      </c>
      <c r="I73" s="2"/>
      <c r="K73" s="2234">
        <v>2000</v>
      </c>
      <c r="L73" s="2234"/>
      <c r="M73" s="2483" t="e">
        <f>'[8]原始记录（HVM-92）'!M70:N70</f>
        <v>#REF!</v>
      </c>
      <c r="N73" s="2483"/>
      <c r="O73" s="2483" t="e">
        <f>'[8]原始记录（HVM-92）'!O70:P70</f>
        <v>#REF!</v>
      </c>
      <c r="P73" s="2484"/>
      <c r="Q73" s="978" t="e">
        <f>'[8]原始记录（HVM-92）'!Q70</f>
        <v>#REF!</v>
      </c>
      <c r="R73" s="2">
        <v>0.5</v>
      </c>
      <c r="T73" s="2234">
        <v>2000</v>
      </c>
      <c r="U73" s="2234"/>
      <c r="V73" s="2483" t="e">
        <f>'[8]原始记录（HVM-92）'!V70:W70</f>
        <v>#REF!</v>
      </c>
      <c r="W73" s="2483"/>
      <c r="X73" s="2483" t="e">
        <f>'[8]原始记录（HVM-92）'!X70:Y70</f>
        <v>#REF!</v>
      </c>
      <c r="Y73" s="2483"/>
      <c r="Z73" s="978" t="e">
        <f>'[8]原始记录（HVM-92）'!Z70</f>
        <v>#REF!</v>
      </c>
      <c r="AA73" s="2">
        <v>0.5</v>
      </c>
      <c r="AB73" s="2298"/>
    </row>
    <row r="74" spans="1:29" outlineLevel="1">
      <c r="A74" s="2496"/>
      <c r="B74" s="2497"/>
      <c r="C74" s="2520">
        <v>400</v>
      </c>
      <c r="D74" s="2520"/>
      <c r="E74" s="2486">
        <v>399.5</v>
      </c>
      <c r="F74" s="2486"/>
      <c r="G74" s="787">
        <f t="shared" ref="G74:G84" si="2">(E74-C74)/C74*100</f>
        <v>-0.125</v>
      </c>
      <c r="H74" s="788">
        <v>0.5</v>
      </c>
      <c r="I74" s="2"/>
      <c r="K74" s="2234"/>
      <c r="L74" s="2234"/>
      <c r="M74" s="2483" t="e">
        <f>'[8]原始记录（HVM-92）'!M71:N71</f>
        <v>#REF!</v>
      </c>
      <c r="N74" s="2483"/>
      <c r="O74" s="2483" t="e">
        <f>'[8]原始记录（HVM-92）'!O71:P71</f>
        <v>#REF!</v>
      </c>
      <c r="P74" s="2484"/>
      <c r="Q74" s="978" t="e">
        <f>'[8]原始记录（HVM-92）'!Q71</f>
        <v>#REF!</v>
      </c>
      <c r="R74" s="2">
        <v>0.5</v>
      </c>
      <c r="T74" s="2234"/>
      <c r="U74" s="2234"/>
      <c r="V74" s="2483" t="e">
        <f>'[8]原始记录（HVM-92）'!V71:W71</f>
        <v>#REF!</v>
      </c>
      <c r="W74" s="2483"/>
      <c r="X74" s="2483" t="e">
        <f>'[8]原始记录（HVM-92）'!X71:Y71</f>
        <v>#REF!</v>
      </c>
      <c r="Y74" s="2483"/>
      <c r="Z74" s="978" t="e">
        <f>'[8]原始记录（HVM-92）'!Z71</f>
        <v>#REF!</v>
      </c>
      <c r="AA74" s="2">
        <v>0.5</v>
      </c>
      <c r="AB74" s="2298"/>
    </row>
    <row r="75" spans="1:29" outlineLevel="1">
      <c r="A75" s="2496"/>
      <c r="B75" s="2497"/>
      <c r="C75" s="2520">
        <v>600</v>
      </c>
      <c r="D75" s="2520"/>
      <c r="E75" s="2486">
        <v>599.6</v>
      </c>
      <c r="F75" s="2486"/>
      <c r="G75" s="787">
        <f t="shared" si="2"/>
        <v>-6.6666666666662877E-2</v>
      </c>
      <c r="H75" s="788">
        <v>0.5</v>
      </c>
      <c r="I75" s="2"/>
      <c r="K75" s="2234"/>
      <c r="L75" s="2234"/>
      <c r="M75" s="2483" t="e">
        <f>'[8]原始记录（HVM-92）'!M72:N72</f>
        <v>#REF!</v>
      </c>
      <c r="N75" s="2483"/>
      <c r="O75" s="2483" t="e">
        <f>'[8]原始记录（HVM-92）'!O72:P72</f>
        <v>#REF!</v>
      </c>
      <c r="P75" s="2484"/>
      <c r="Q75" s="978" t="e">
        <f>'[8]原始记录（HVM-92）'!Q72</f>
        <v>#REF!</v>
      </c>
      <c r="R75" s="2">
        <v>0.5</v>
      </c>
      <c r="T75" s="2234"/>
      <c r="U75" s="2234"/>
      <c r="V75" s="2483" t="e">
        <f>'[8]原始记录（HVM-92）'!V72:W72</f>
        <v>#REF!</v>
      </c>
      <c r="W75" s="2483"/>
      <c r="X75" s="2483" t="e">
        <f>'[8]原始记录（HVM-92）'!X72:Y72</f>
        <v>#REF!</v>
      </c>
      <c r="Y75" s="2483"/>
      <c r="Z75" s="978" t="e">
        <f>'[8]原始记录（HVM-92）'!Z72</f>
        <v>#REF!</v>
      </c>
      <c r="AA75" s="2">
        <v>0.5</v>
      </c>
      <c r="AB75" s="2298"/>
    </row>
    <row r="76" spans="1:29" outlineLevel="1">
      <c r="A76" s="2496"/>
      <c r="B76" s="2497"/>
      <c r="C76" s="2520">
        <v>800</v>
      </c>
      <c r="D76" s="2520"/>
      <c r="E76" s="2486">
        <v>799.4</v>
      </c>
      <c r="F76" s="2486"/>
      <c r="G76" s="787">
        <f t="shared" si="2"/>
        <v>-7.5000000000002842E-2</v>
      </c>
      <c r="H76" s="788">
        <v>0.5</v>
      </c>
      <c r="I76" s="2"/>
      <c r="K76" s="2234"/>
      <c r="L76" s="2234"/>
      <c r="M76" s="2483" t="e">
        <f>'[8]原始记录（HVM-92）'!M73:N73</f>
        <v>#REF!</v>
      </c>
      <c r="N76" s="2483"/>
      <c r="O76" s="2483" t="e">
        <f>'[8]原始记录（HVM-92）'!O73:P73</f>
        <v>#REF!</v>
      </c>
      <c r="P76" s="2484"/>
      <c r="Q76" s="978" t="e">
        <f>'[8]原始记录（HVM-92）'!Q73</f>
        <v>#REF!</v>
      </c>
      <c r="R76" s="2">
        <v>0.5</v>
      </c>
      <c r="T76" s="2234"/>
      <c r="U76" s="2234"/>
      <c r="V76" s="2483" t="e">
        <f>'[8]原始记录（HVM-92）'!V73:W73</f>
        <v>#REF!</v>
      </c>
      <c r="W76" s="2483"/>
      <c r="X76" s="2483" t="e">
        <f>'[8]原始记录（HVM-92）'!X73:Y73</f>
        <v>#REF!</v>
      </c>
      <c r="Y76" s="2483"/>
      <c r="Z76" s="978" t="e">
        <f>'[8]原始记录（HVM-92）'!Z73</f>
        <v>#REF!</v>
      </c>
      <c r="AA76" s="2">
        <v>0.5</v>
      </c>
      <c r="AB76" s="2298"/>
    </row>
    <row r="77" spans="1:29" outlineLevel="1">
      <c r="A77" s="2496"/>
      <c r="B77" s="2497"/>
      <c r="C77" s="2520">
        <v>1000</v>
      </c>
      <c r="D77" s="2520"/>
      <c r="E77" s="2486">
        <v>1000.6</v>
      </c>
      <c r="F77" s="2486"/>
      <c r="G77" s="787">
        <f t="shared" si="2"/>
        <v>6.0000000000002274E-2</v>
      </c>
      <c r="H77" s="788">
        <v>0.5</v>
      </c>
      <c r="I77" s="2"/>
      <c r="K77" s="2234"/>
      <c r="L77" s="2234"/>
      <c r="M77" s="2483" t="e">
        <f>'[8]原始记录（HVM-92）'!M74:N74</f>
        <v>#REF!</v>
      </c>
      <c r="N77" s="2483"/>
      <c r="O77" s="2483" t="e">
        <f>'[8]原始记录（HVM-92）'!O74:P74</f>
        <v>#REF!</v>
      </c>
      <c r="P77" s="2484"/>
      <c r="Q77" s="2" t="e">
        <f>'[8]原始记录（HVM-92）'!Q74</f>
        <v>#REF!</v>
      </c>
      <c r="R77" s="2">
        <v>0.5</v>
      </c>
      <c r="T77" s="2234"/>
      <c r="U77" s="2234"/>
      <c r="V77" s="2483" t="e">
        <f>'[8]原始记录（HVM-92）'!V74:W74</f>
        <v>#REF!</v>
      </c>
      <c r="W77" s="2483"/>
      <c r="X77" s="2483" t="e">
        <f>'[8]原始记录（HVM-92）'!X74:Y74</f>
        <v>#REF!</v>
      </c>
      <c r="Y77" s="2483"/>
      <c r="Z77" s="2" t="e">
        <f>'[8]原始记录（HVM-92）'!Z74</f>
        <v>#REF!</v>
      </c>
      <c r="AA77" s="2">
        <v>0.5</v>
      </c>
      <c r="AB77" s="2298"/>
    </row>
    <row r="78" spans="1:29" outlineLevel="1">
      <c r="A78" s="2496"/>
      <c r="B78" s="2497"/>
      <c r="C78" s="2520">
        <v>1200</v>
      </c>
      <c r="D78" s="2520"/>
      <c r="E78" s="2486">
        <v>1199.4000000000001</v>
      </c>
      <c r="F78" s="2486"/>
      <c r="G78" s="787">
        <f t="shared" si="2"/>
        <v>-4.9999999999992426E-2</v>
      </c>
      <c r="H78" s="788">
        <v>0.5</v>
      </c>
      <c r="I78" s="2"/>
      <c r="K78" s="2234"/>
      <c r="L78" s="2234"/>
      <c r="M78" s="2483" t="e">
        <f>'[8]原始记录（HVM-92）'!M75:N75</f>
        <v>#REF!</v>
      </c>
      <c r="N78" s="2483"/>
      <c r="O78" s="2483" t="e">
        <f>'[8]原始记录（HVM-92）'!O75:P75</f>
        <v>#REF!</v>
      </c>
      <c r="P78" s="2484"/>
      <c r="Q78" s="2" t="e">
        <f>'[8]原始记录（HVM-92）'!Q75</f>
        <v>#REF!</v>
      </c>
      <c r="R78" s="2">
        <v>0.5</v>
      </c>
      <c r="T78" s="2234"/>
      <c r="U78" s="2234"/>
      <c r="V78" s="2483" t="e">
        <f>'[8]原始记录（HVM-92）'!V75:W75</f>
        <v>#REF!</v>
      </c>
      <c r="W78" s="2483"/>
      <c r="X78" s="2483" t="e">
        <f>'[8]原始记录（HVM-92）'!X75:Y75</f>
        <v>#REF!</v>
      </c>
      <c r="Y78" s="2483"/>
      <c r="Z78" s="2" t="e">
        <f>'[8]原始记录（HVM-92）'!Z75</f>
        <v>#REF!</v>
      </c>
      <c r="AA78" s="2">
        <v>0.5</v>
      </c>
      <c r="AB78" s="2298"/>
    </row>
    <row r="79" spans="1:29" outlineLevel="1">
      <c r="A79" s="2496"/>
      <c r="B79" s="2497"/>
      <c r="C79" s="2520">
        <v>1400</v>
      </c>
      <c r="D79" s="2520"/>
      <c r="E79" s="2486">
        <v>1399.5</v>
      </c>
      <c r="F79" s="2486"/>
      <c r="G79" s="787">
        <f t="shared" si="2"/>
        <v>-3.5714285714285712E-2</v>
      </c>
      <c r="H79" s="788">
        <v>0.5</v>
      </c>
      <c r="I79" s="2"/>
      <c r="K79" s="2234"/>
      <c r="L79" s="2234"/>
      <c r="M79" s="2483" t="e">
        <f>'[8]原始记录（HVM-92）'!M76:N76</f>
        <v>#REF!</v>
      </c>
      <c r="N79" s="2483"/>
      <c r="O79" s="2483" t="e">
        <f>'[8]原始记录（HVM-92）'!O76:P76</f>
        <v>#REF!</v>
      </c>
      <c r="P79" s="2484"/>
      <c r="Q79" s="2" t="e">
        <f>'[8]原始记录（HVM-92）'!Q76</f>
        <v>#REF!</v>
      </c>
      <c r="R79" s="2">
        <v>0.5</v>
      </c>
      <c r="T79" s="2234"/>
      <c r="U79" s="2234"/>
      <c r="V79" s="2483" t="e">
        <f>'[8]原始记录（HVM-92）'!V76:W76</f>
        <v>#REF!</v>
      </c>
      <c r="W79" s="2483"/>
      <c r="X79" s="2483" t="e">
        <f>'[8]原始记录（HVM-92）'!X76:Y76</f>
        <v>#REF!</v>
      </c>
      <c r="Y79" s="2483"/>
      <c r="Z79" s="2" t="e">
        <f>'[8]原始记录（HVM-92）'!Z76</f>
        <v>#REF!</v>
      </c>
      <c r="AA79" s="2">
        <v>0.5</v>
      </c>
      <c r="AB79" s="2298"/>
    </row>
    <row r="80" spans="1:29" outlineLevel="1">
      <c r="A80" s="2496"/>
      <c r="B80" s="2497"/>
      <c r="C80" s="2520">
        <v>1600</v>
      </c>
      <c r="D80" s="2520"/>
      <c r="E80" s="2486">
        <v>1599.3</v>
      </c>
      <c r="F80" s="2486"/>
      <c r="G80" s="787">
        <f t="shared" si="2"/>
        <v>-4.3750000000002842E-2</v>
      </c>
      <c r="H80" s="789">
        <v>0.5</v>
      </c>
      <c r="I80" s="2"/>
      <c r="K80" s="2234"/>
      <c r="L80" s="2234"/>
      <c r="M80" s="2483" t="e">
        <f>'[8]原始记录（HVM-92）'!M77:N77</f>
        <v>#REF!</v>
      </c>
      <c r="N80" s="2483"/>
      <c r="O80" s="2483" t="e">
        <f>'[8]原始记录（HVM-92）'!O77:P77</f>
        <v>#REF!</v>
      </c>
      <c r="P80" s="2484"/>
      <c r="Q80" s="2" t="e">
        <f>'[8]原始记录（HVM-92）'!Q77</f>
        <v>#REF!</v>
      </c>
      <c r="R80" s="2">
        <v>0.5</v>
      </c>
      <c r="T80" s="2234"/>
      <c r="U80" s="2234"/>
      <c r="V80" s="2483" t="e">
        <f>'[8]原始记录（HVM-92）'!V77:W77</f>
        <v>#REF!</v>
      </c>
      <c r="W80" s="2483"/>
      <c r="X80" s="2483" t="e">
        <f>'[8]原始记录（HVM-92）'!X77:Y77</f>
        <v>#REF!</v>
      </c>
      <c r="Y80" s="2483"/>
      <c r="Z80" s="2" t="e">
        <f>'[8]原始记录（HVM-92）'!Z77</f>
        <v>#REF!</v>
      </c>
      <c r="AA80" s="2">
        <v>0.5</v>
      </c>
      <c r="AB80" s="2298"/>
    </row>
    <row r="81" spans="1:32" outlineLevel="1">
      <c r="A81" s="2496"/>
      <c r="B81" s="2497"/>
      <c r="C81" s="2520">
        <v>1800</v>
      </c>
      <c r="D81" s="2520"/>
      <c r="E81" s="2486">
        <v>1799.6</v>
      </c>
      <c r="F81" s="2486"/>
      <c r="G81" s="787">
        <f t="shared" si="2"/>
        <v>-2.2222222222227275E-2</v>
      </c>
      <c r="H81" s="789">
        <v>0.5</v>
      </c>
      <c r="I81" s="2"/>
      <c r="K81" s="2234"/>
      <c r="L81" s="2234"/>
      <c r="M81" s="2483" t="e">
        <f>'[8]原始记录（HVM-92）'!M78:N78</f>
        <v>#REF!</v>
      </c>
      <c r="N81" s="2483"/>
      <c r="O81" s="2483" t="e">
        <f>'[8]原始记录（HVM-92）'!O78:P78</f>
        <v>#REF!</v>
      </c>
      <c r="P81" s="2484"/>
      <c r="Q81" s="2" t="e">
        <f>'[8]原始记录（HVM-92）'!Q78</f>
        <v>#REF!</v>
      </c>
      <c r="R81" s="2">
        <v>0.5</v>
      </c>
      <c r="T81" s="2234"/>
      <c r="U81" s="2234"/>
      <c r="V81" s="2483" t="e">
        <f>'[8]原始记录（HVM-92）'!V78:W78</f>
        <v>#REF!</v>
      </c>
      <c r="W81" s="2483"/>
      <c r="X81" s="2483" t="e">
        <f>'[8]原始记录（HVM-92）'!X78:Y78</f>
        <v>#REF!</v>
      </c>
      <c r="Y81" s="2483"/>
      <c r="Z81" s="2" t="e">
        <f>'[8]原始记录（HVM-92）'!Z78</f>
        <v>#REF!</v>
      </c>
      <c r="AA81" s="2">
        <v>0.5</v>
      </c>
      <c r="AB81" s="2298"/>
    </row>
    <row r="82" spans="1:32" outlineLevel="1">
      <c r="A82" s="2494">
        <v>5000</v>
      </c>
      <c r="B82" s="2495"/>
      <c r="C82" s="2500">
        <v>500</v>
      </c>
      <c r="D82" s="2500"/>
      <c r="E82" s="2501">
        <v>498</v>
      </c>
      <c r="F82" s="2502"/>
      <c r="G82" s="787">
        <f t="shared" si="2"/>
        <v>-0.4</v>
      </c>
      <c r="H82" s="788">
        <v>0.5</v>
      </c>
      <c r="I82" s="2"/>
      <c r="K82" s="2234">
        <v>5000</v>
      </c>
      <c r="L82" s="2234"/>
      <c r="M82" s="2298" t="e">
        <f>'[8]原始记录（HVM-92）'!M79:N79</f>
        <v>#REF!</v>
      </c>
      <c r="N82" s="2298"/>
      <c r="O82" s="2234" t="e">
        <f>'[8]原始记录（HVM-92）'!O79:P79</f>
        <v>#REF!</v>
      </c>
      <c r="P82" s="2234"/>
      <c r="Q82" s="2" t="e">
        <f>'[8]原始记录（HVM-92）'!Q79</f>
        <v>#REF!</v>
      </c>
      <c r="R82" s="2">
        <v>0.5</v>
      </c>
      <c r="T82" s="2234">
        <v>5000</v>
      </c>
      <c r="U82" s="2234"/>
      <c r="V82" s="2298" t="e">
        <f>'[8]原始记录（HVM-92）'!V79:W79</f>
        <v>#REF!</v>
      </c>
      <c r="W82" s="2298"/>
      <c r="X82" s="2234" t="e">
        <f>'[8]原始记录（HVM-92）'!X79:Y79</f>
        <v>#REF!</v>
      </c>
      <c r="Y82" s="2234"/>
      <c r="Z82" s="2" t="e">
        <f>'[8]原始记录（HVM-92）'!Z79</f>
        <v>#REF!</v>
      </c>
      <c r="AA82" s="2">
        <v>0.5</v>
      </c>
      <c r="AB82" s="2298"/>
    </row>
    <row r="83" spans="1:32" outlineLevel="1">
      <c r="A83" s="2496"/>
      <c r="B83" s="2497"/>
      <c r="C83" s="2500">
        <v>2500</v>
      </c>
      <c r="D83" s="2500"/>
      <c r="E83" s="2501">
        <v>2499</v>
      </c>
      <c r="F83" s="2502"/>
      <c r="G83" s="787">
        <f t="shared" si="2"/>
        <v>-0.04</v>
      </c>
      <c r="H83" s="788">
        <v>0.5</v>
      </c>
      <c r="I83" s="2"/>
      <c r="K83" s="2234"/>
      <c r="L83" s="2234"/>
      <c r="M83" s="2298" t="e">
        <f>'[8]原始记录（HVM-92）'!M80:N80</f>
        <v>#REF!</v>
      </c>
      <c r="N83" s="2298"/>
      <c r="O83" s="2234" t="e">
        <f>'[8]原始记录（HVM-92）'!O80:P80</f>
        <v>#REF!</v>
      </c>
      <c r="P83" s="2234"/>
      <c r="Q83" s="2" t="e">
        <f>'[8]原始记录（HVM-92）'!Q80</f>
        <v>#REF!</v>
      </c>
      <c r="R83" s="2">
        <v>0.5</v>
      </c>
      <c r="T83" s="2234"/>
      <c r="U83" s="2234"/>
      <c r="V83" s="2298" t="e">
        <f>'[8]原始记录（HVM-92）'!V80:W80</f>
        <v>#REF!</v>
      </c>
      <c r="W83" s="2298"/>
      <c r="X83" s="2234" t="e">
        <f>'[8]原始记录（HVM-92）'!X80:Y80</f>
        <v>#REF!</v>
      </c>
      <c r="Y83" s="2234"/>
      <c r="Z83" s="2" t="e">
        <f>'[8]原始记录（HVM-92）'!Z80</f>
        <v>#REF!</v>
      </c>
      <c r="AA83" s="2">
        <v>0.5</v>
      </c>
      <c r="AB83" s="2298"/>
    </row>
    <row r="84" spans="1:32" outlineLevel="1">
      <c r="A84" s="2498"/>
      <c r="B84" s="2499"/>
      <c r="C84" s="2503">
        <v>5000</v>
      </c>
      <c r="D84" s="2503"/>
      <c r="E84" s="2501">
        <v>4997</v>
      </c>
      <c r="F84" s="2502"/>
      <c r="G84" s="787">
        <f t="shared" si="2"/>
        <v>-0.06</v>
      </c>
      <c r="H84" s="789">
        <v>0.5</v>
      </c>
      <c r="I84" s="2"/>
      <c r="K84" s="2234"/>
      <c r="L84" s="2234"/>
      <c r="M84" s="2298" t="e">
        <f>'[8]原始记录（HVM-92）'!M81:N81</f>
        <v>#REF!</v>
      </c>
      <c r="N84" s="2298"/>
      <c r="O84" s="2234" t="e">
        <f>'[8]原始记录（HVM-92）'!O81:P81</f>
        <v>#REF!</v>
      </c>
      <c r="P84" s="2234"/>
      <c r="Q84" s="2" t="e">
        <f>'[8]原始记录（HVM-92）'!Q81</f>
        <v>#REF!</v>
      </c>
      <c r="R84" s="2">
        <v>0.5</v>
      </c>
      <c r="T84" s="2234"/>
      <c r="U84" s="2234"/>
      <c r="V84" s="2298" t="e">
        <f>'[8]原始记录（HVM-92）'!V81:W81</f>
        <v>#REF!</v>
      </c>
      <c r="W84" s="2298"/>
      <c r="X84" s="2234" t="e">
        <f>'[8]原始记录（HVM-92）'!X81:Y81</f>
        <v>#REF!</v>
      </c>
      <c r="Y84" s="2234"/>
      <c r="Z84" s="2" t="e">
        <f>'[8]原始记录（HVM-92）'!Z81</f>
        <v>#REF!</v>
      </c>
      <c r="AA84" s="2">
        <v>0.5</v>
      </c>
      <c r="AB84" s="2298"/>
    </row>
    <row r="87" spans="1:32">
      <c r="A87" s="703" t="s">
        <v>2085</v>
      </c>
    </row>
    <row r="88" spans="1:32" ht="15.75">
      <c r="A88" s="194" t="s">
        <v>2086</v>
      </c>
      <c r="B88" s="171"/>
      <c r="C88" s="791" t="s">
        <v>2087</v>
      </c>
      <c r="D88" s="172"/>
      <c r="E88" t="s">
        <v>4345</v>
      </c>
      <c r="F88" s="172"/>
      <c r="G88" s="172"/>
      <c r="H88" s="172"/>
      <c r="I88" s="173"/>
      <c r="J88" s="173"/>
      <c r="K88" s="173"/>
      <c r="L88" s="792"/>
    </row>
    <row r="89" spans="1:32" ht="15.75" customHeight="1">
      <c r="A89" s="2428" t="s">
        <v>2070</v>
      </c>
      <c r="B89" s="2446"/>
      <c r="C89" s="2449" t="s">
        <v>2088</v>
      </c>
      <c r="D89" s="2449"/>
      <c r="E89" s="2449"/>
      <c r="F89" s="2449" t="s">
        <v>2089</v>
      </c>
      <c r="G89" s="2449"/>
      <c r="H89" s="2449"/>
      <c r="I89" s="2487" t="s">
        <v>1993</v>
      </c>
      <c r="J89" s="2488"/>
      <c r="K89" s="2488"/>
      <c r="L89" s="2527" t="s">
        <v>2090</v>
      </c>
      <c r="M89" s="745" t="s">
        <v>1874</v>
      </c>
      <c r="N89" s="702" t="s">
        <v>2091</v>
      </c>
    </row>
    <row r="90" spans="1:32" ht="18.75">
      <c r="A90" s="2447"/>
      <c r="B90" s="2448"/>
      <c r="C90" s="174" t="s">
        <v>2092</v>
      </c>
      <c r="D90" s="174" t="s">
        <v>2093</v>
      </c>
      <c r="E90" s="174" t="s">
        <v>2094</v>
      </c>
      <c r="F90" s="174" t="s">
        <v>2092</v>
      </c>
      <c r="G90" s="174" t="s">
        <v>2093</v>
      </c>
      <c r="H90" s="174" t="s">
        <v>2094</v>
      </c>
      <c r="I90" s="174" t="s">
        <v>2092</v>
      </c>
      <c r="J90" s="174" t="s">
        <v>2093</v>
      </c>
      <c r="K90" s="174" t="s">
        <v>2094</v>
      </c>
      <c r="L90" s="2527"/>
      <c r="M90" s="745" t="s">
        <v>2074</v>
      </c>
      <c r="N90" s="794" t="s">
        <v>2095</v>
      </c>
    </row>
    <row r="91" spans="1:32" ht="15.75">
      <c r="A91" s="2441">
        <v>800</v>
      </c>
      <c r="B91" s="2442"/>
      <c r="C91" s="175">
        <v>799.96</v>
      </c>
      <c r="D91" s="175">
        <v>799.73</v>
      </c>
      <c r="E91" s="175">
        <v>799.97</v>
      </c>
      <c r="F91" s="175">
        <v>800</v>
      </c>
      <c r="G91" s="175">
        <v>800</v>
      </c>
      <c r="H91" s="175">
        <v>800</v>
      </c>
      <c r="I91" s="176">
        <f t="shared" ref="I91:K100" si="3">(C91-F91)/F91*100</f>
        <v>-4.9999999999954525E-3</v>
      </c>
      <c r="J91" s="176">
        <f t="shared" si="3"/>
        <v>-3.3749999999997726E-2</v>
      </c>
      <c r="K91" s="176">
        <f t="shared" si="3"/>
        <v>-3.7499999999965894E-3</v>
      </c>
      <c r="L91" s="2528"/>
      <c r="M91" s="795"/>
      <c r="N91" s="721" t="s">
        <v>2096</v>
      </c>
    </row>
    <row r="92" spans="1:32" ht="15.75">
      <c r="A92" s="2443"/>
      <c r="B92" s="2444"/>
      <c r="C92" s="175">
        <v>720.01</v>
      </c>
      <c r="D92" s="175">
        <v>719.73</v>
      </c>
      <c r="E92" s="175">
        <v>720</v>
      </c>
      <c r="F92" s="175">
        <v>720</v>
      </c>
      <c r="G92" s="175">
        <v>720</v>
      </c>
      <c r="H92" s="175">
        <v>720</v>
      </c>
      <c r="I92" s="176">
        <f t="shared" si="3"/>
        <v>1.3888888888876256E-3</v>
      </c>
      <c r="J92" s="176">
        <f t="shared" si="3"/>
        <v>-3.7499999999997473E-2</v>
      </c>
      <c r="K92" s="176">
        <f t="shared" si="3"/>
        <v>0</v>
      </c>
      <c r="L92" s="2529"/>
      <c r="M92" s="795"/>
    </row>
    <row r="93" spans="1:32" ht="18.75">
      <c r="A93" s="2443"/>
      <c r="B93" s="2444"/>
      <c r="C93" s="175">
        <v>639.96</v>
      </c>
      <c r="D93" s="175">
        <v>639.72</v>
      </c>
      <c r="E93" s="175">
        <v>639.97</v>
      </c>
      <c r="F93" s="175">
        <v>640</v>
      </c>
      <c r="G93" s="175">
        <v>640</v>
      </c>
      <c r="H93" s="175">
        <v>640</v>
      </c>
      <c r="I93" s="176">
        <f t="shared" si="3"/>
        <v>-6.2499999999943165E-3</v>
      </c>
      <c r="J93" s="176">
        <f t="shared" si="3"/>
        <v>-4.3749999999995737E-2</v>
      </c>
      <c r="K93" s="176">
        <f t="shared" si="3"/>
        <v>-4.6874999999957367E-3</v>
      </c>
      <c r="L93" s="2529"/>
      <c r="M93" s="795"/>
      <c r="N93" s="702" t="s">
        <v>2097</v>
      </c>
    </row>
    <row r="94" spans="1:32" ht="18.75">
      <c r="A94" s="2443"/>
      <c r="B94" s="2444"/>
      <c r="C94" s="175">
        <v>559.92999999999995</v>
      </c>
      <c r="D94" s="175">
        <v>559.73</v>
      </c>
      <c r="E94" s="175">
        <v>559.94000000000005</v>
      </c>
      <c r="F94" s="175">
        <v>560</v>
      </c>
      <c r="G94" s="175">
        <v>560</v>
      </c>
      <c r="H94" s="175">
        <v>560</v>
      </c>
      <c r="I94" s="176">
        <f t="shared" si="3"/>
        <v>-1.2500000000008931E-2</v>
      </c>
      <c r="J94" s="176">
        <f t="shared" si="3"/>
        <v>-4.8214285714282469E-2</v>
      </c>
      <c r="K94" s="176">
        <f t="shared" si="3"/>
        <v>-1.0714285714275969E-2</v>
      </c>
      <c r="L94" s="2529"/>
      <c r="M94" s="795"/>
      <c r="N94" s="702" t="s">
        <v>2098</v>
      </c>
    </row>
    <row r="95" spans="1:32" ht="15.75">
      <c r="A95" s="2443"/>
      <c r="B95" s="2444"/>
      <c r="C95" s="175">
        <v>479.92</v>
      </c>
      <c r="D95" s="175">
        <v>479.74</v>
      </c>
      <c r="E95" s="175">
        <v>479.94</v>
      </c>
      <c r="F95" s="175">
        <v>480</v>
      </c>
      <c r="G95" s="175">
        <v>480</v>
      </c>
      <c r="H95" s="175">
        <v>480</v>
      </c>
      <c r="I95" s="176">
        <f t="shared" si="3"/>
        <v>-1.666666666666335E-2</v>
      </c>
      <c r="J95" s="176">
        <f t="shared" si="3"/>
        <v>-5.4166666666664767E-2</v>
      </c>
      <c r="K95" s="176">
        <f t="shared" si="3"/>
        <v>-1.2500000000000474E-2</v>
      </c>
      <c r="L95" s="2529"/>
      <c r="M95" s="795"/>
      <c r="N95" s="702" t="s">
        <v>2099</v>
      </c>
    </row>
    <row r="96" spans="1:32" ht="15.75">
      <c r="A96" s="2443"/>
      <c r="B96" s="2444"/>
      <c r="C96" s="175">
        <v>399.92</v>
      </c>
      <c r="D96" s="175">
        <v>399.76</v>
      </c>
      <c r="E96" s="175">
        <v>399.94</v>
      </c>
      <c r="F96" s="175">
        <v>400</v>
      </c>
      <c r="G96" s="175">
        <v>400</v>
      </c>
      <c r="H96" s="175">
        <v>400</v>
      </c>
      <c r="I96" s="176">
        <f t="shared" si="3"/>
        <v>-1.9999999999996021E-2</v>
      </c>
      <c r="J96" s="176">
        <f t="shared" si="3"/>
        <v>-6.0000000000002274E-2</v>
      </c>
      <c r="K96" s="176">
        <f t="shared" si="3"/>
        <v>-1.5000000000000568E-2</v>
      </c>
      <c r="L96" s="2529"/>
      <c r="M96" s="795"/>
      <c r="S96" s="2492" t="s">
        <v>1987</v>
      </c>
      <c r="T96" s="2492"/>
      <c r="U96" s="2492"/>
      <c r="AF96" s="703" t="s">
        <v>1988</v>
      </c>
    </row>
    <row r="97" spans="1:41" ht="15.75" customHeight="1">
      <c r="A97" s="2443"/>
      <c r="B97" s="2444"/>
      <c r="C97" s="175">
        <v>319.92</v>
      </c>
      <c r="D97" s="175">
        <v>319.77999999999997</v>
      </c>
      <c r="E97" s="175">
        <v>319.93</v>
      </c>
      <c r="F97" s="175">
        <v>320</v>
      </c>
      <c r="G97" s="175">
        <v>320</v>
      </c>
      <c r="H97" s="175">
        <v>320</v>
      </c>
      <c r="I97" s="176">
        <f t="shared" si="3"/>
        <v>-2.4999999999995023E-2</v>
      </c>
      <c r="J97" s="176">
        <f t="shared" si="3"/>
        <v>-6.8750000000008527E-2</v>
      </c>
      <c r="K97" s="176">
        <f t="shared" si="3"/>
        <v>-2.1874999999997868E-2</v>
      </c>
      <c r="L97" s="2529"/>
      <c r="M97" s="795"/>
      <c r="P97" s="2428" t="s">
        <v>1989</v>
      </c>
      <c r="Q97" s="2446"/>
      <c r="R97" s="2449" t="s">
        <v>2088</v>
      </c>
      <c r="S97" s="2449"/>
      <c r="T97" s="2449"/>
      <c r="U97" s="2449" t="s">
        <v>2089</v>
      </c>
      <c r="V97" s="2449"/>
      <c r="W97" s="2449"/>
      <c r="X97" s="2487" t="s">
        <v>1993</v>
      </c>
      <c r="Y97" s="2488"/>
      <c r="Z97" s="2488"/>
      <c r="AA97" s="745" t="s">
        <v>1874</v>
      </c>
      <c r="AE97" s="2428" t="s">
        <v>1989</v>
      </c>
      <c r="AF97" s="2446"/>
      <c r="AG97" s="2449" t="s">
        <v>2088</v>
      </c>
      <c r="AH97" s="2449"/>
      <c r="AI97" s="2449"/>
      <c r="AJ97" s="2449" t="s">
        <v>2089</v>
      </c>
      <c r="AK97" s="2449"/>
      <c r="AL97" s="2449"/>
      <c r="AM97" s="2487" t="s">
        <v>1993</v>
      </c>
      <c r="AN97" s="2488"/>
      <c r="AO97" s="2488"/>
    </row>
    <row r="98" spans="1:41" ht="18.75">
      <c r="A98" s="2443"/>
      <c r="B98" s="2444"/>
      <c r="C98" s="175">
        <v>239.93</v>
      </c>
      <c r="D98" s="175">
        <v>239.81</v>
      </c>
      <c r="E98" s="175">
        <v>239.94</v>
      </c>
      <c r="F98" s="175">
        <v>240</v>
      </c>
      <c r="G98" s="175">
        <v>240</v>
      </c>
      <c r="H98" s="175">
        <v>240</v>
      </c>
      <c r="I98" s="176">
        <f t="shared" si="3"/>
        <v>-2.9166666666663822E-2</v>
      </c>
      <c r="J98" s="176">
        <f t="shared" si="3"/>
        <v>-7.9166666666665719E-2</v>
      </c>
      <c r="K98" s="176">
        <f t="shared" si="3"/>
        <v>-2.5000000000000949E-2</v>
      </c>
      <c r="L98" s="2529"/>
      <c r="M98" s="795"/>
      <c r="P98" s="2447"/>
      <c r="Q98" s="2448"/>
      <c r="R98" s="174" t="s">
        <v>2092</v>
      </c>
      <c r="S98" s="174" t="s">
        <v>2093</v>
      </c>
      <c r="T98" s="174" t="s">
        <v>2094</v>
      </c>
      <c r="U98" s="174" t="s">
        <v>2092</v>
      </c>
      <c r="V98" s="174" t="s">
        <v>2093</v>
      </c>
      <c r="W98" s="174" t="s">
        <v>2094</v>
      </c>
      <c r="X98" s="174" t="s">
        <v>2092</v>
      </c>
      <c r="Y98" s="174" t="s">
        <v>2093</v>
      </c>
      <c r="Z98" s="174" t="s">
        <v>2094</v>
      </c>
      <c r="AA98" s="745" t="s">
        <v>1877</v>
      </c>
      <c r="AE98" s="2447"/>
      <c r="AF98" s="2448"/>
      <c r="AG98" s="174" t="s">
        <v>2092</v>
      </c>
      <c r="AH98" s="174" t="s">
        <v>2093</v>
      </c>
      <c r="AI98" s="174" t="s">
        <v>2094</v>
      </c>
      <c r="AJ98" s="174" t="s">
        <v>2092</v>
      </c>
      <c r="AK98" s="174" t="s">
        <v>2093</v>
      </c>
      <c r="AL98" s="174" t="s">
        <v>2094</v>
      </c>
      <c r="AM98" s="174" t="s">
        <v>2092</v>
      </c>
      <c r="AN98" s="174" t="s">
        <v>2093</v>
      </c>
      <c r="AO98" s="174" t="s">
        <v>2094</v>
      </c>
    </row>
    <row r="99" spans="1:41" ht="15.75">
      <c r="A99" s="2443"/>
      <c r="B99" s="2444"/>
      <c r="C99" s="175">
        <v>159.94</v>
      </c>
      <c r="D99" s="175">
        <v>159.82</v>
      </c>
      <c r="E99" s="175">
        <v>159.94</v>
      </c>
      <c r="F99" s="175">
        <v>160</v>
      </c>
      <c r="G99" s="175">
        <v>160</v>
      </c>
      <c r="H99" s="175">
        <v>160</v>
      </c>
      <c r="I99" s="176">
        <f t="shared" si="3"/>
        <v>-3.7500000000001421E-2</v>
      </c>
      <c r="J99" s="176">
        <f t="shared" si="3"/>
        <v>-0.11250000000000426</v>
      </c>
      <c r="K99" s="176">
        <f t="shared" si="3"/>
        <v>-3.7500000000001421E-2</v>
      </c>
      <c r="L99" s="2529"/>
      <c r="M99" s="795"/>
      <c r="P99" s="2441">
        <v>800</v>
      </c>
      <c r="Q99" s="2442"/>
      <c r="R99" s="175">
        <v>799.96</v>
      </c>
      <c r="S99" s="175">
        <v>799.73</v>
      </c>
      <c r="T99" s="175">
        <v>799.97</v>
      </c>
      <c r="U99" s="175">
        <v>800</v>
      </c>
      <c r="V99" s="175">
        <v>800</v>
      </c>
      <c r="W99" s="175">
        <v>800</v>
      </c>
      <c r="X99" s="176">
        <f t="shared" ref="X99:Z108" si="4">(R99-U99)/U99*100</f>
        <v>-4.9999999999954525E-3</v>
      </c>
      <c r="Y99" s="176">
        <f t="shared" si="4"/>
        <v>-3.3749999999997726E-2</v>
      </c>
      <c r="Z99" s="176">
        <f t="shared" si="4"/>
        <v>-3.7499999999965894E-3</v>
      </c>
      <c r="AA99" s="795"/>
      <c r="AE99" s="2441">
        <v>800</v>
      </c>
      <c r="AF99" s="2442"/>
      <c r="AG99" s="175">
        <v>799.96</v>
      </c>
      <c r="AH99" s="175">
        <v>799.73</v>
      </c>
      <c r="AI99" s="175">
        <v>799.97</v>
      </c>
      <c r="AJ99" s="175">
        <v>800</v>
      </c>
      <c r="AK99" s="175">
        <v>800</v>
      </c>
      <c r="AL99" s="175">
        <v>800</v>
      </c>
      <c r="AM99" s="176">
        <f t="shared" ref="AM99:AO108" si="5">(AG99-AJ99)/AJ99*100</f>
        <v>-4.9999999999954525E-3</v>
      </c>
      <c r="AN99" s="176">
        <f t="shared" si="5"/>
        <v>-3.3749999999997726E-2</v>
      </c>
      <c r="AO99" s="176">
        <f t="shared" si="5"/>
        <v>-3.7499999999965894E-3</v>
      </c>
    </row>
    <row r="100" spans="1:41" ht="15.75">
      <c r="A100" s="2489"/>
      <c r="B100" s="2490"/>
      <c r="C100" s="175">
        <v>79.94</v>
      </c>
      <c r="D100" s="175">
        <v>79.83</v>
      </c>
      <c r="E100" s="175">
        <v>79.930000000000007</v>
      </c>
      <c r="F100" s="175">
        <v>80</v>
      </c>
      <c r="G100" s="175">
        <v>80</v>
      </c>
      <c r="H100" s="175">
        <v>80</v>
      </c>
      <c r="I100" s="176">
        <f t="shared" si="3"/>
        <v>-7.5000000000002842E-2</v>
      </c>
      <c r="J100" s="176">
        <f t="shared" si="3"/>
        <v>-0.21250000000000213</v>
      </c>
      <c r="K100" s="176">
        <f t="shared" si="3"/>
        <v>-8.7499999999991473E-2</v>
      </c>
      <c r="L100" s="2530"/>
      <c r="M100" s="795"/>
      <c r="P100" s="2443"/>
      <c r="Q100" s="2444"/>
      <c r="R100" s="175">
        <v>720.01</v>
      </c>
      <c r="S100" s="175">
        <v>719.73</v>
      </c>
      <c r="T100" s="175">
        <v>720</v>
      </c>
      <c r="U100" s="175">
        <v>720</v>
      </c>
      <c r="V100" s="175">
        <v>720</v>
      </c>
      <c r="W100" s="175">
        <v>720</v>
      </c>
      <c r="X100" s="176">
        <f t="shared" si="4"/>
        <v>1.3888888888876256E-3</v>
      </c>
      <c r="Y100" s="176">
        <f t="shared" si="4"/>
        <v>-3.7499999999997473E-2</v>
      </c>
      <c r="Z100" s="176">
        <f t="shared" si="4"/>
        <v>0</v>
      </c>
      <c r="AA100" s="795"/>
      <c r="AE100" s="2443"/>
      <c r="AF100" s="2444"/>
      <c r="AG100" s="175">
        <v>720.01</v>
      </c>
      <c r="AH100" s="175">
        <v>719.73</v>
      </c>
      <c r="AI100" s="175">
        <v>720</v>
      </c>
      <c r="AJ100" s="175">
        <v>720</v>
      </c>
      <c r="AK100" s="175">
        <v>720</v>
      </c>
      <c r="AL100" s="175">
        <v>720</v>
      </c>
      <c r="AM100" s="176">
        <f t="shared" si="5"/>
        <v>1.3888888888876256E-3</v>
      </c>
      <c r="AN100" s="176">
        <f t="shared" si="5"/>
        <v>-3.7499999999997473E-2</v>
      </c>
      <c r="AO100" s="176">
        <f t="shared" si="5"/>
        <v>0</v>
      </c>
    </row>
    <row r="101" spans="1:41" ht="18.75">
      <c r="A101" s="2447"/>
      <c r="B101" s="2448"/>
      <c r="C101" s="177" t="s">
        <v>2100</v>
      </c>
      <c r="D101" s="178" t="s">
        <v>2101</v>
      </c>
      <c r="E101" s="178" t="s">
        <v>2102</v>
      </c>
      <c r="F101" s="177" t="s">
        <v>2103</v>
      </c>
      <c r="G101" s="178" t="s">
        <v>2104</v>
      </c>
      <c r="H101" s="178" t="s">
        <v>2105</v>
      </c>
      <c r="I101" s="177" t="s">
        <v>2103</v>
      </c>
      <c r="J101" s="178" t="s">
        <v>2104</v>
      </c>
      <c r="K101" s="178" t="s">
        <v>2105</v>
      </c>
      <c r="L101" s="796"/>
      <c r="M101" s="795"/>
      <c r="P101" s="2443"/>
      <c r="Q101" s="2444"/>
      <c r="R101" s="175">
        <v>639.96</v>
      </c>
      <c r="S101" s="175">
        <v>639.72</v>
      </c>
      <c r="T101" s="175">
        <v>639.97</v>
      </c>
      <c r="U101" s="175">
        <v>640</v>
      </c>
      <c r="V101" s="175">
        <v>640</v>
      </c>
      <c r="W101" s="175">
        <v>640</v>
      </c>
      <c r="X101" s="176">
        <f t="shared" si="4"/>
        <v>-6.2499999999943165E-3</v>
      </c>
      <c r="Y101" s="176">
        <f t="shared" si="4"/>
        <v>-4.3749999999995737E-2</v>
      </c>
      <c r="Z101" s="176">
        <f t="shared" si="4"/>
        <v>-4.6874999999957367E-3</v>
      </c>
      <c r="AA101" s="795"/>
      <c r="AE101" s="2443"/>
      <c r="AF101" s="2444"/>
      <c r="AG101" s="175">
        <v>639.96</v>
      </c>
      <c r="AH101" s="175">
        <v>639.72</v>
      </c>
      <c r="AI101" s="175">
        <v>639.97</v>
      </c>
      <c r="AJ101" s="175">
        <v>640</v>
      </c>
      <c r="AK101" s="175">
        <v>640</v>
      </c>
      <c r="AL101" s="175">
        <v>640</v>
      </c>
      <c r="AM101" s="176">
        <f t="shared" si="5"/>
        <v>-6.2499999999943165E-3</v>
      </c>
      <c r="AN101" s="176">
        <f t="shared" si="5"/>
        <v>-4.3749999999995737E-2</v>
      </c>
      <c r="AO101" s="176">
        <f t="shared" si="5"/>
        <v>-4.6874999999957367E-3</v>
      </c>
    </row>
    <row r="102" spans="1:41" ht="15.75">
      <c r="A102" s="2441">
        <v>50</v>
      </c>
      <c r="B102" s="2442"/>
      <c r="C102" s="179">
        <v>49.981999999999999</v>
      </c>
      <c r="D102" s="180">
        <v>50</v>
      </c>
      <c r="E102" s="180">
        <v>49.996000000000002</v>
      </c>
      <c r="F102" s="180">
        <v>50</v>
      </c>
      <c r="G102" s="180">
        <v>50</v>
      </c>
      <c r="H102" s="180">
        <v>50</v>
      </c>
      <c r="I102" s="181">
        <f>(C102-F102)/F102*100</f>
        <v>-3.6000000000001364E-2</v>
      </c>
      <c r="J102" s="181">
        <f>(D102-G102)/G102*100</f>
        <v>0</v>
      </c>
      <c r="K102" s="181">
        <f>(E102-H102)/H102*100</f>
        <v>-7.9999999999955662E-3</v>
      </c>
      <c r="L102" s="797"/>
      <c r="M102" s="795"/>
      <c r="P102" s="2443"/>
      <c r="Q102" s="2444"/>
      <c r="R102" s="175">
        <v>559.92999999999995</v>
      </c>
      <c r="S102" s="175">
        <v>559.73</v>
      </c>
      <c r="T102" s="175">
        <v>559.94000000000005</v>
      </c>
      <c r="U102" s="175">
        <v>560</v>
      </c>
      <c r="V102" s="175">
        <v>560</v>
      </c>
      <c r="W102" s="175">
        <v>560</v>
      </c>
      <c r="X102" s="176">
        <f t="shared" si="4"/>
        <v>-1.2500000000008931E-2</v>
      </c>
      <c r="Y102" s="176">
        <f t="shared" si="4"/>
        <v>-4.8214285714282469E-2</v>
      </c>
      <c r="Z102" s="176">
        <f t="shared" si="4"/>
        <v>-1.0714285714275969E-2</v>
      </c>
      <c r="AA102" s="795"/>
      <c r="AE102" s="2443"/>
      <c r="AF102" s="2444"/>
      <c r="AG102" s="175">
        <v>559.92999999999995</v>
      </c>
      <c r="AH102" s="175">
        <v>559.73</v>
      </c>
      <c r="AI102" s="175">
        <v>559.94000000000005</v>
      </c>
      <c r="AJ102" s="175">
        <v>560</v>
      </c>
      <c r="AK102" s="175">
        <v>560</v>
      </c>
      <c r="AL102" s="175">
        <v>560</v>
      </c>
      <c r="AM102" s="176">
        <f t="shared" si="5"/>
        <v>-1.2500000000008931E-2</v>
      </c>
      <c r="AN102" s="176">
        <f t="shared" si="5"/>
        <v>-4.8214285714282469E-2</v>
      </c>
      <c r="AO102" s="176">
        <f t="shared" si="5"/>
        <v>-1.0714285714275969E-2</v>
      </c>
    </row>
    <row r="103" spans="1:41" ht="15.75">
      <c r="A103" s="2443"/>
      <c r="B103" s="2444"/>
      <c r="C103" s="179">
        <v>44.981999999999999</v>
      </c>
      <c r="D103" s="180">
        <v>45.003999999999998</v>
      </c>
      <c r="E103" s="180">
        <v>44.996000000000002</v>
      </c>
      <c r="F103" s="180">
        <v>45</v>
      </c>
      <c r="G103" s="180">
        <v>45</v>
      </c>
      <c r="H103" s="180">
        <v>45</v>
      </c>
      <c r="I103" s="181">
        <f t="shared" ref="I103:K111" si="6">(C103-F103)/F103*100</f>
        <v>-4.0000000000001514E-2</v>
      </c>
      <c r="J103" s="181">
        <f t="shared" si="6"/>
        <v>8.8888888888839623E-3</v>
      </c>
      <c r="K103" s="181">
        <f t="shared" si="6"/>
        <v>-8.8888888888839623E-3</v>
      </c>
      <c r="L103" s="798"/>
      <c r="P103" s="2443"/>
      <c r="Q103" s="2444"/>
      <c r="R103" s="175">
        <v>479.92</v>
      </c>
      <c r="S103" s="175">
        <v>479.74</v>
      </c>
      <c r="T103" s="175">
        <v>479.94</v>
      </c>
      <c r="U103" s="175">
        <v>480</v>
      </c>
      <c r="V103" s="175">
        <v>480</v>
      </c>
      <c r="W103" s="175">
        <v>480</v>
      </c>
      <c r="X103" s="176">
        <f t="shared" si="4"/>
        <v>-1.666666666666335E-2</v>
      </c>
      <c r="Y103" s="176">
        <f t="shared" si="4"/>
        <v>-5.4166666666664767E-2</v>
      </c>
      <c r="Z103" s="176">
        <f t="shared" si="4"/>
        <v>-1.2500000000000474E-2</v>
      </c>
      <c r="AA103" s="795"/>
      <c r="AE103" s="2443"/>
      <c r="AF103" s="2444"/>
      <c r="AG103" s="175">
        <v>479.92</v>
      </c>
      <c r="AH103" s="175">
        <v>479.74</v>
      </c>
      <c r="AI103" s="175">
        <v>479.94</v>
      </c>
      <c r="AJ103" s="175">
        <v>480</v>
      </c>
      <c r="AK103" s="175">
        <v>480</v>
      </c>
      <c r="AL103" s="175">
        <v>480</v>
      </c>
      <c r="AM103" s="176">
        <f t="shared" si="5"/>
        <v>-1.666666666666335E-2</v>
      </c>
      <c r="AN103" s="176">
        <f t="shared" si="5"/>
        <v>-5.4166666666664767E-2</v>
      </c>
      <c r="AO103" s="176">
        <f t="shared" si="5"/>
        <v>-1.2500000000000474E-2</v>
      </c>
    </row>
    <row r="104" spans="1:41" ht="15.75">
      <c r="A104" s="2443"/>
      <c r="B104" s="2444"/>
      <c r="C104" s="179">
        <v>39.981999999999999</v>
      </c>
      <c r="D104" s="180">
        <v>40.003999999999998</v>
      </c>
      <c r="E104" s="180">
        <v>39.996000000000002</v>
      </c>
      <c r="F104" s="180">
        <v>40</v>
      </c>
      <c r="G104" s="180">
        <v>40</v>
      </c>
      <c r="H104" s="180">
        <v>40</v>
      </c>
      <c r="I104" s="181">
        <f t="shared" si="6"/>
        <v>-4.5000000000001705E-2</v>
      </c>
      <c r="J104" s="181">
        <f t="shared" si="6"/>
        <v>9.9999999999944578E-3</v>
      </c>
      <c r="K104" s="181">
        <f t="shared" si="6"/>
        <v>-9.9999999999944578E-3</v>
      </c>
      <c r="L104" s="798"/>
      <c r="P104" s="2443"/>
      <c r="Q104" s="2444"/>
      <c r="R104" s="175">
        <v>399.92</v>
      </c>
      <c r="S104" s="175">
        <v>399.76</v>
      </c>
      <c r="T104" s="175">
        <v>399.94</v>
      </c>
      <c r="U104" s="175">
        <v>400</v>
      </c>
      <c r="V104" s="175">
        <v>400</v>
      </c>
      <c r="W104" s="175">
        <v>400</v>
      </c>
      <c r="X104" s="176">
        <f t="shared" si="4"/>
        <v>-1.9999999999996021E-2</v>
      </c>
      <c r="Y104" s="176">
        <f t="shared" si="4"/>
        <v>-6.0000000000002274E-2</v>
      </c>
      <c r="Z104" s="176">
        <f t="shared" si="4"/>
        <v>-1.5000000000000568E-2</v>
      </c>
      <c r="AA104" s="795"/>
      <c r="AE104" s="2443"/>
      <c r="AF104" s="2444"/>
      <c r="AG104" s="175">
        <v>399.92</v>
      </c>
      <c r="AH104" s="175">
        <v>399.76</v>
      </c>
      <c r="AI104" s="175">
        <v>399.94</v>
      </c>
      <c r="AJ104" s="175">
        <v>400</v>
      </c>
      <c r="AK104" s="175">
        <v>400</v>
      </c>
      <c r="AL104" s="175">
        <v>400</v>
      </c>
      <c r="AM104" s="176">
        <f t="shared" si="5"/>
        <v>-1.9999999999996021E-2</v>
      </c>
      <c r="AN104" s="176">
        <f t="shared" si="5"/>
        <v>-6.0000000000002274E-2</v>
      </c>
      <c r="AO104" s="176">
        <f t="shared" si="5"/>
        <v>-1.5000000000000568E-2</v>
      </c>
    </row>
    <row r="105" spans="1:41" ht="15.75">
      <c r="A105" s="2443"/>
      <c r="B105" s="2444"/>
      <c r="C105" s="179">
        <v>34.981999999999999</v>
      </c>
      <c r="D105" s="180">
        <v>35.005000000000003</v>
      </c>
      <c r="E105" s="180">
        <v>34.994999999999997</v>
      </c>
      <c r="F105" s="180">
        <v>35</v>
      </c>
      <c r="G105" s="180">
        <v>35</v>
      </c>
      <c r="H105" s="180">
        <v>35</v>
      </c>
      <c r="I105" s="181">
        <f t="shared" si="6"/>
        <v>-5.1428571428573384E-2</v>
      </c>
      <c r="J105" s="181">
        <f t="shared" si="6"/>
        <v>1.4285714285721594E-2</v>
      </c>
      <c r="K105" s="181">
        <f t="shared" si="6"/>
        <v>-1.4285714285721594E-2</v>
      </c>
      <c r="L105" s="798"/>
      <c r="P105" s="2443"/>
      <c r="Q105" s="2444"/>
      <c r="R105" s="175">
        <v>319.92</v>
      </c>
      <c r="S105" s="175">
        <v>319.77999999999997</v>
      </c>
      <c r="T105" s="175">
        <v>319.93</v>
      </c>
      <c r="U105" s="175">
        <v>320</v>
      </c>
      <c r="V105" s="175">
        <v>320</v>
      </c>
      <c r="W105" s="175">
        <v>320</v>
      </c>
      <c r="X105" s="176">
        <f t="shared" si="4"/>
        <v>-2.4999999999995023E-2</v>
      </c>
      <c r="Y105" s="176">
        <f t="shared" si="4"/>
        <v>-6.8750000000008527E-2</v>
      </c>
      <c r="Z105" s="176">
        <f t="shared" si="4"/>
        <v>-2.1874999999997868E-2</v>
      </c>
      <c r="AA105" s="795"/>
      <c r="AE105" s="2443"/>
      <c r="AF105" s="2444"/>
      <c r="AG105" s="175">
        <v>319.92</v>
      </c>
      <c r="AH105" s="175">
        <v>319.77999999999997</v>
      </c>
      <c r="AI105" s="175">
        <v>319.93</v>
      </c>
      <c r="AJ105" s="175">
        <v>320</v>
      </c>
      <c r="AK105" s="175">
        <v>320</v>
      </c>
      <c r="AL105" s="175">
        <v>320</v>
      </c>
      <c r="AM105" s="176">
        <f t="shared" si="5"/>
        <v>-2.4999999999995023E-2</v>
      </c>
      <c r="AN105" s="176">
        <f t="shared" si="5"/>
        <v>-6.8750000000008527E-2</v>
      </c>
      <c r="AO105" s="176">
        <f t="shared" si="5"/>
        <v>-2.1874999999997868E-2</v>
      </c>
    </row>
    <row r="106" spans="1:41" ht="15.75">
      <c r="A106" s="2443"/>
      <c r="B106" s="2444"/>
      <c r="C106" s="179">
        <v>29.981000000000002</v>
      </c>
      <c r="D106" s="180">
        <v>30.004999999999999</v>
      </c>
      <c r="E106" s="180">
        <v>29.995000000000001</v>
      </c>
      <c r="F106" s="180">
        <v>30</v>
      </c>
      <c r="G106" s="180">
        <v>30</v>
      </c>
      <c r="H106" s="180">
        <v>30</v>
      </c>
      <c r="I106" s="181">
        <f t="shared" si="6"/>
        <v>-6.3333333333327843E-2</v>
      </c>
      <c r="J106" s="181">
        <f t="shared" si="6"/>
        <v>1.666666666666335E-2</v>
      </c>
      <c r="K106" s="181">
        <f t="shared" si="6"/>
        <v>-1.666666666666335E-2</v>
      </c>
      <c r="L106" s="798"/>
      <c r="P106" s="2443"/>
      <c r="Q106" s="2444"/>
      <c r="R106" s="175">
        <v>239.93</v>
      </c>
      <c r="S106" s="175">
        <v>239.81</v>
      </c>
      <c r="T106" s="175">
        <v>239.94</v>
      </c>
      <c r="U106" s="175">
        <v>240</v>
      </c>
      <c r="V106" s="175">
        <v>240</v>
      </c>
      <c r="W106" s="175">
        <v>240</v>
      </c>
      <c r="X106" s="176">
        <f t="shared" si="4"/>
        <v>-2.9166666666663822E-2</v>
      </c>
      <c r="Y106" s="176">
        <f t="shared" si="4"/>
        <v>-7.9166666666665719E-2</v>
      </c>
      <c r="Z106" s="176">
        <f t="shared" si="4"/>
        <v>-2.5000000000000949E-2</v>
      </c>
      <c r="AA106" s="795"/>
      <c r="AE106" s="2443"/>
      <c r="AF106" s="2444"/>
      <c r="AG106" s="175">
        <v>239.93</v>
      </c>
      <c r="AH106" s="175">
        <v>239.81</v>
      </c>
      <c r="AI106" s="175">
        <v>239.94</v>
      </c>
      <c r="AJ106" s="175">
        <v>240</v>
      </c>
      <c r="AK106" s="175">
        <v>240</v>
      </c>
      <c r="AL106" s="175">
        <v>240</v>
      </c>
      <c r="AM106" s="176">
        <f t="shared" si="5"/>
        <v>-2.9166666666663822E-2</v>
      </c>
      <c r="AN106" s="176">
        <f t="shared" si="5"/>
        <v>-7.9166666666665719E-2</v>
      </c>
      <c r="AO106" s="176">
        <f t="shared" si="5"/>
        <v>-2.5000000000000949E-2</v>
      </c>
    </row>
    <row r="107" spans="1:41" ht="15.75">
      <c r="A107" s="2443"/>
      <c r="B107" s="2444"/>
      <c r="C107" s="179">
        <v>24.98</v>
      </c>
      <c r="D107" s="180">
        <v>25.004999999999999</v>
      </c>
      <c r="E107" s="180">
        <v>24.994</v>
      </c>
      <c r="F107" s="180">
        <v>25</v>
      </c>
      <c r="G107" s="180">
        <v>25</v>
      </c>
      <c r="H107" s="180">
        <v>25</v>
      </c>
      <c r="I107" s="181">
        <f t="shared" si="6"/>
        <v>-7.9999999999998295E-2</v>
      </c>
      <c r="J107" s="181">
        <f t="shared" si="6"/>
        <v>1.9999999999996021E-2</v>
      </c>
      <c r="K107" s="181">
        <f t="shared" si="6"/>
        <v>-2.4000000000000909E-2</v>
      </c>
      <c r="L107" s="798"/>
      <c r="P107" s="2443"/>
      <c r="Q107" s="2444"/>
      <c r="R107" s="175">
        <v>159.94</v>
      </c>
      <c r="S107" s="175">
        <v>159.82</v>
      </c>
      <c r="T107" s="175">
        <v>159.94</v>
      </c>
      <c r="U107" s="175">
        <v>160</v>
      </c>
      <c r="V107" s="175">
        <v>160</v>
      </c>
      <c r="W107" s="175">
        <v>160</v>
      </c>
      <c r="X107" s="176">
        <f t="shared" si="4"/>
        <v>-3.7500000000001421E-2</v>
      </c>
      <c r="Y107" s="176">
        <f t="shared" si="4"/>
        <v>-0.11250000000000426</v>
      </c>
      <c r="Z107" s="176">
        <f t="shared" si="4"/>
        <v>-3.7500000000001421E-2</v>
      </c>
      <c r="AA107" s="795"/>
      <c r="AE107" s="2443"/>
      <c r="AF107" s="2444"/>
      <c r="AG107" s="175">
        <v>159.94</v>
      </c>
      <c r="AH107" s="175">
        <v>159.82</v>
      </c>
      <c r="AI107" s="175">
        <v>159.94</v>
      </c>
      <c r="AJ107" s="175">
        <v>160</v>
      </c>
      <c r="AK107" s="175">
        <v>160</v>
      </c>
      <c r="AL107" s="175">
        <v>160</v>
      </c>
      <c r="AM107" s="176">
        <f t="shared" si="5"/>
        <v>-3.7500000000001421E-2</v>
      </c>
      <c r="AN107" s="176">
        <f t="shared" si="5"/>
        <v>-0.11250000000000426</v>
      </c>
      <c r="AO107" s="176">
        <f t="shared" si="5"/>
        <v>-3.7500000000001421E-2</v>
      </c>
    </row>
    <row r="108" spans="1:41" ht="15.75">
      <c r="A108" s="2443"/>
      <c r="B108" s="2444"/>
      <c r="C108" s="179">
        <v>19.981000000000002</v>
      </c>
      <c r="D108" s="180">
        <v>20.006</v>
      </c>
      <c r="E108" s="180">
        <v>19.994</v>
      </c>
      <c r="F108" s="180">
        <v>20</v>
      </c>
      <c r="G108" s="180">
        <v>20</v>
      </c>
      <c r="H108" s="180">
        <v>20</v>
      </c>
      <c r="I108" s="181">
        <f t="shared" si="6"/>
        <v>-9.4999999999991758E-2</v>
      </c>
      <c r="J108" s="181">
        <f t="shared" si="6"/>
        <v>3.0000000000001137E-2</v>
      </c>
      <c r="K108" s="181">
        <f t="shared" si="6"/>
        <v>-3.0000000000001137E-2</v>
      </c>
      <c r="L108" s="798"/>
      <c r="P108" s="2489"/>
      <c r="Q108" s="2490"/>
      <c r="R108" s="175">
        <v>79.94</v>
      </c>
      <c r="S108" s="175">
        <v>79.83</v>
      </c>
      <c r="T108" s="175">
        <v>79.930000000000007</v>
      </c>
      <c r="U108" s="175">
        <v>80</v>
      </c>
      <c r="V108" s="175">
        <v>80</v>
      </c>
      <c r="W108" s="175">
        <v>80</v>
      </c>
      <c r="X108" s="176">
        <f t="shared" si="4"/>
        <v>-7.5000000000002842E-2</v>
      </c>
      <c r="Y108" s="176">
        <f t="shared" si="4"/>
        <v>-0.21250000000000213</v>
      </c>
      <c r="Z108" s="176">
        <f t="shared" si="4"/>
        <v>-8.7499999999991473E-2</v>
      </c>
      <c r="AA108" s="795"/>
      <c r="AE108" s="2489"/>
      <c r="AF108" s="2490"/>
      <c r="AG108" s="175">
        <v>79.94</v>
      </c>
      <c r="AH108" s="175">
        <v>79.83</v>
      </c>
      <c r="AI108" s="175">
        <v>79.930000000000007</v>
      </c>
      <c r="AJ108" s="175">
        <v>80</v>
      </c>
      <c r="AK108" s="175">
        <v>80</v>
      </c>
      <c r="AL108" s="175">
        <v>80</v>
      </c>
      <c r="AM108" s="176">
        <f t="shared" si="5"/>
        <v>-7.5000000000002842E-2</v>
      </c>
      <c r="AN108" s="176">
        <f t="shared" si="5"/>
        <v>-0.21250000000000213</v>
      </c>
      <c r="AO108" s="176">
        <f t="shared" si="5"/>
        <v>-8.7499999999991473E-2</v>
      </c>
    </row>
    <row r="109" spans="1:41" ht="15.75">
      <c r="A109" s="2443"/>
      <c r="B109" s="2444"/>
      <c r="C109" s="179">
        <v>14.98</v>
      </c>
      <c r="D109" s="180">
        <v>15.007</v>
      </c>
      <c r="E109" s="180">
        <v>14.993</v>
      </c>
      <c r="F109" s="180">
        <v>15</v>
      </c>
      <c r="G109" s="180">
        <v>15</v>
      </c>
      <c r="H109" s="180">
        <v>15</v>
      </c>
      <c r="I109" s="181">
        <f t="shared" si="6"/>
        <v>-0.1333333333333305</v>
      </c>
      <c r="J109" s="181">
        <f t="shared" si="6"/>
        <v>4.666666666666449E-2</v>
      </c>
      <c r="K109" s="181">
        <f t="shared" si="6"/>
        <v>-4.666666666666449E-2</v>
      </c>
      <c r="L109" s="798"/>
    </row>
    <row r="110" spans="1:41" ht="15.75">
      <c r="A110" s="2443"/>
      <c r="B110" s="2444"/>
      <c r="C110" s="179">
        <v>9.98</v>
      </c>
      <c r="D110" s="180">
        <v>10.007999999999999</v>
      </c>
      <c r="E110" s="180">
        <v>9.9939999999999998</v>
      </c>
      <c r="F110" s="180">
        <v>10</v>
      </c>
      <c r="G110" s="180">
        <v>10</v>
      </c>
      <c r="H110" s="180">
        <v>10</v>
      </c>
      <c r="I110" s="181">
        <f t="shared" si="6"/>
        <v>-0.19999999999999576</v>
      </c>
      <c r="J110" s="181">
        <f t="shared" si="6"/>
        <v>7.9999999999991189E-2</v>
      </c>
      <c r="K110" s="181">
        <f t="shared" si="6"/>
        <v>-6.0000000000002274E-2</v>
      </c>
      <c r="L110" s="798"/>
    </row>
    <row r="111" spans="1:41" ht="15.75">
      <c r="A111" s="2443"/>
      <c r="B111" s="2444"/>
      <c r="C111" s="179">
        <v>4.9790000000000001</v>
      </c>
      <c r="D111" s="180">
        <v>5.0090000000000003</v>
      </c>
      <c r="E111" s="180">
        <v>4.9930000000000003</v>
      </c>
      <c r="F111" s="180">
        <v>5</v>
      </c>
      <c r="G111" s="180">
        <v>5</v>
      </c>
      <c r="H111" s="180">
        <v>5</v>
      </c>
      <c r="I111" s="181">
        <f t="shared" si="6"/>
        <v>-0.41999999999999815</v>
      </c>
      <c r="J111" s="181">
        <f t="shared" si="6"/>
        <v>0.18000000000000682</v>
      </c>
      <c r="K111" s="181">
        <f t="shared" si="6"/>
        <v>-0.13999999999999346</v>
      </c>
      <c r="L111" s="798"/>
    </row>
    <row r="112" spans="1:41" ht="18.75">
      <c r="A112" s="2443"/>
      <c r="B112" s="2444"/>
      <c r="C112" s="182" t="s">
        <v>2106</v>
      </c>
      <c r="D112" s="183" t="s">
        <v>2107</v>
      </c>
      <c r="E112" s="183" t="s">
        <v>2108</v>
      </c>
      <c r="F112" s="182" t="s">
        <v>2106</v>
      </c>
      <c r="G112" s="183" t="s">
        <v>2107</v>
      </c>
      <c r="H112" s="183" t="s">
        <v>2108</v>
      </c>
      <c r="I112" s="177" t="s">
        <v>2106</v>
      </c>
      <c r="J112" s="178" t="s">
        <v>2107</v>
      </c>
      <c r="K112" s="178" t="s">
        <v>2108</v>
      </c>
      <c r="L112" s="799"/>
    </row>
    <row r="113" spans="1:12" ht="15.75">
      <c r="A113" s="2443"/>
      <c r="B113" s="2444"/>
      <c r="C113" s="180">
        <v>50.008000000000003</v>
      </c>
      <c r="D113" s="180">
        <v>50.012999999999998</v>
      </c>
      <c r="E113" s="180" t="s">
        <v>2108</v>
      </c>
      <c r="F113" s="180">
        <v>50</v>
      </c>
      <c r="G113" s="180">
        <v>50</v>
      </c>
      <c r="H113" s="180" t="s">
        <v>2108</v>
      </c>
      <c r="I113" s="181">
        <f>(C113-F113)/F113*100</f>
        <v>1.6000000000005343E-2</v>
      </c>
      <c r="J113" s="181">
        <f>(D113-G113)/G113*100</f>
        <v>2.5999999999996245E-2</v>
      </c>
      <c r="K113" s="184" t="s">
        <v>2108</v>
      </c>
      <c r="L113" s="798"/>
    </row>
    <row r="114" spans="1:12" ht="15.75">
      <c r="A114" s="2443"/>
      <c r="B114" s="2444"/>
      <c r="C114" s="180">
        <v>45.008000000000003</v>
      </c>
      <c r="D114" s="180">
        <v>45.012</v>
      </c>
      <c r="E114" s="180" t="s">
        <v>2108</v>
      </c>
      <c r="F114" s="180">
        <v>45</v>
      </c>
      <c r="G114" s="180">
        <v>45</v>
      </c>
      <c r="H114" s="180" t="s">
        <v>2108</v>
      </c>
      <c r="I114" s="181">
        <f t="shared" ref="I114:J122" si="7">(C114-F114)/F114*100</f>
        <v>1.7777777777783714E-2</v>
      </c>
      <c r="J114" s="181">
        <f t="shared" si="7"/>
        <v>2.6666666666667678E-2</v>
      </c>
      <c r="K114" s="184" t="s">
        <v>2108</v>
      </c>
      <c r="L114" s="798"/>
    </row>
    <row r="115" spans="1:12" ht="15.75">
      <c r="A115" s="2443"/>
      <c r="B115" s="2444"/>
      <c r="C115" s="180">
        <v>40.006</v>
      </c>
      <c r="D115" s="180">
        <v>40.01</v>
      </c>
      <c r="E115" s="180" t="s">
        <v>2108</v>
      </c>
      <c r="F115" s="180">
        <v>40</v>
      </c>
      <c r="G115" s="180">
        <v>40</v>
      </c>
      <c r="H115" s="180" t="s">
        <v>2108</v>
      </c>
      <c r="I115" s="181">
        <f t="shared" si="7"/>
        <v>1.5000000000000568E-2</v>
      </c>
      <c r="J115" s="181">
        <f t="shared" si="7"/>
        <v>2.4999999999995023E-2</v>
      </c>
      <c r="K115" s="184" t="s">
        <v>2108</v>
      </c>
      <c r="L115" s="798"/>
    </row>
    <row r="116" spans="1:12" ht="15.75">
      <c r="A116" s="2443"/>
      <c r="B116" s="2444"/>
      <c r="C116" s="180">
        <v>35.005000000000003</v>
      </c>
      <c r="D116" s="180">
        <v>35.009</v>
      </c>
      <c r="E116" s="180" t="s">
        <v>2108</v>
      </c>
      <c r="F116" s="180">
        <v>35</v>
      </c>
      <c r="G116" s="180">
        <v>35</v>
      </c>
      <c r="H116" s="180" t="s">
        <v>2108</v>
      </c>
      <c r="I116" s="181">
        <f t="shared" si="7"/>
        <v>1.4285714285721594E-2</v>
      </c>
      <c r="J116" s="181">
        <f t="shared" si="7"/>
        <v>2.5714285714286692E-2</v>
      </c>
      <c r="K116" s="184" t="s">
        <v>2108</v>
      </c>
      <c r="L116" s="798"/>
    </row>
    <row r="117" spans="1:12" ht="15.75">
      <c r="A117" s="2443"/>
      <c r="B117" s="2444"/>
      <c r="C117" s="180">
        <v>30.004000000000001</v>
      </c>
      <c r="D117" s="180">
        <v>30.007000000000001</v>
      </c>
      <c r="E117" s="180" t="s">
        <v>2108</v>
      </c>
      <c r="F117" s="180">
        <v>30</v>
      </c>
      <c r="G117" s="180">
        <v>30</v>
      </c>
      <c r="H117" s="180" t="s">
        <v>2108</v>
      </c>
      <c r="I117" s="181">
        <f t="shared" si="7"/>
        <v>1.3333333333337787E-2</v>
      </c>
      <c r="J117" s="181">
        <f t="shared" si="7"/>
        <v>2.3333333333338167E-2</v>
      </c>
      <c r="K117" s="184" t="s">
        <v>2108</v>
      </c>
      <c r="L117" s="798"/>
    </row>
    <row r="118" spans="1:12" ht="15.75">
      <c r="A118" s="2443"/>
      <c r="B118" s="2444"/>
      <c r="C118" s="180">
        <v>25.001999999999999</v>
      </c>
      <c r="D118" s="180">
        <v>25.004999999999999</v>
      </c>
      <c r="E118" s="180" t="s">
        <v>2108</v>
      </c>
      <c r="F118" s="180">
        <v>25</v>
      </c>
      <c r="G118" s="180">
        <v>25</v>
      </c>
      <c r="H118" s="180" t="s">
        <v>2108</v>
      </c>
      <c r="I118" s="181">
        <f t="shared" si="7"/>
        <v>7.9999999999955662E-3</v>
      </c>
      <c r="J118" s="181">
        <f t="shared" si="7"/>
        <v>1.9999999999996021E-2</v>
      </c>
      <c r="K118" s="184" t="s">
        <v>2108</v>
      </c>
      <c r="L118" s="798"/>
    </row>
    <row r="119" spans="1:12" ht="15.75">
      <c r="A119" s="2443"/>
      <c r="B119" s="2444"/>
      <c r="C119" s="180">
        <v>20.001000000000001</v>
      </c>
      <c r="D119" s="180">
        <v>20.004000000000001</v>
      </c>
      <c r="E119" s="180" t="s">
        <v>2108</v>
      </c>
      <c r="F119" s="180">
        <v>20</v>
      </c>
      <c r="G119" s="180">
        <v>20</v>
      </c>
      <c r="H119" s="180" t="s">
        <v>2108</v>
      </c>
      <c r="I119" s="181">
        <f t="shared" si="7"/>
        <v>5.0000000000061107E-3</v>
      </c>
      <c r="J119" s="181">
        <f t="shared" si="7"/>
        <v>2.0000000000006679E-2</v>
      </c>
      <c r="K119" s="184" t="s">
        <v>2108</v>
      </c>
      <c r="L119" s="798"/>
    </row>
    <row r="120" spans="1:12" ht="15.75">
      <c r="A120" s="2443"/>
      <c r="B120" s="2444"/>
      <c r="C120" s="180">
        <v>15.000999999999999</v>
      </c>
      <c r="D120" s="180">
        <v>15.002000000000001</v>
      </c>
      <c r="E120" s="180" t="s">
        <v>2108</v>
      </c>
      <c r="F120" s="180">
        <v>15</v>
      </c>
      <c r="G120" s="180">
        <v>15</v>
      </c>
      <c r="H120" s="180" t="s">
        <v>2108</v>
      </c>
      <c r="I120" s="181">
        <f t="shared" si="7"/>
        <v>6.6666666666629713E-3</v>
      </c>
      <c r="J120" s="181">
        <f t="shared" si="7"/>
        <v>1.3333333333337787E-2</v>
      </c>
      <c r="K120" s="184" t="s">
        <v>2108</v>
      </c>
      <c r="L120" s="798"/>
    </row>
    <row r="121" spans="1:12" ht="15.75">
      <c r="A121" s="2443"/>
      <c r="B121" s="2444"/>
      <c r="C121" s="180">
        <v>10</v>
      </c>
      <c r="D121" s="180">
        <v>10.000999999999999</v>
      </c>
      <c r="E121" s="180" t="s">
        <v>2108</v>
      </c>
      <c r="F121" s="180">
        <v>10</v>
      </c>
      <c r="G121" s="180">
        <v>10</v>
      </c>
      <c r="H121" s="180" t="s">
        <v>2108</v>
      </c>
      <c r="I121" s="181">
        <f t="shared" si="7"/>
        <v>0</v>
      </c>
      <c r="J121" s="181">
        <f t="shared" si="7"/>
        <v>9.9999999999944578E-3</v>
      </c>
      <c r="K121" s="184" t="s">
        <v>2108</v>
      </c>
      <c r="L121" s="798"/>
    </row>
    <row r="122" spans="1:12" ht="15.75">
      <c r="A122" s="2489"/>
      <c r="B122" s="2490"/>
      <c r="C122" s="180">
        <v>4.9989999999999997</v>
      </c>
      <c r="D122" s="180">
        <v>5</v>
      </c>
      <c r="E122" s="180" t="s">
        <v>2108</v>
      </c>
      <c r="F122" s="180">
        <v>5</v>
      </c>
      <c r="G122" s="180">
        <v>5</v>
      </c>
      <c r="H122" s="180" t="s">
        <v>2108</v>
      </c>
      <c r="I122" s="181">
        <f t="shared" si="7"/>
        <v>-2.0000000000006679E-2</v>
      </c>
      <c r="J122" s="181">
        <f t="shared" si="7"/>
        <v>0</v>
      </c>
      <c r="K122" s="184" t="s">
        <v>2108</v>
      </c>
      <c r="L122" s="798"/>
    </row>
    <row r="123" spans="1:12" ht="18.75">
      <c r="A123" s="2447"/>
      <c r="B123" s="2448"/>
      <c r="C123" s="177" t="s">
        <v>2103</v>
      </c>
      <c r="D123" s="177" t="s">
        <v>2109</v>
      </c>
      <c r="E123" s="177" t="s">
        <v>2110</v>
      </c>
      <c r="F123" s="177" t="s">
        <v>2103</v>
      </c>
      <c r="G123" s="177" t="s">
        <v>2109</v>
      </c>
      <c r="H123" s="177" t="s">
        <v>2110</v>
      </c>
      <c r="I123" s="177" t="s">
        <v>2103</v>
      </c>
      <c r="J123" s="177" t="s">
        <v>2109</v>
      </c>
      <c r="K123" s="177" t="s">
        <v>2110</v>
      </c>
      <c r="L123" s="799"/>
    </row>
    <row r="124" spans="1:12" ht="15.75">
      <c r="A124" s="2441" t="s">
        <v>2111</v>
      </c>
      <c r="B124" s="2442"/>
      <c r="C124" s="185">
        <v>9.9983000000000004</v>
      </c>
      <c r="D124" s="185">
        <v>10.000999999999999</v>
      </c>
      <c r="E124" s="185">
        <v>10.0002</v>
      </c>
      <c r="F124" s="185">
        <v>10</v>
      </c>
      <c r="G124" s="185">
        <v>10</v>
      </c>
      <c r="H124" s="185">
        <v>10</v>
      </c>
      <c r="I124" s="181">
        <f t="shared" ref="I124:K133" si="8">(C124-F124)/F124*100</f>
        <v>-1.6999999999995907E-2</v>
      </c>
      <c r="J124" s="181">
        <f t="shared" si="8"/>
        <v>9.9999999999944578E-3</v>
      </c>
      <c r="K124" s="181">
        <f t="shared" si="8"/>
        <v>1.9999999999953388E-3</v>
      </c>
      <c r="L124" s="798"/>
    </row>
    <row r="125" spans="1:12" ht="15.75">
      <c r="A125" s="2443"/>
      <c r="B125" s="2444"/>
      <c r="C125" s="185">
        <v>8.9985999999999997</v>
      </c>
      <c r="D125" s="185">
        <v>9.0035000000000007</v>
      </c>
      <c r="E125" s="185">
        <v>9.0044000000000004</v>
      </c>
      <c r="F125" s="185">
        <v>9</v>
      </c>
      <c r="G125" s="185">
        <v>9</v>
      </c>
      <c r="H125" s="185">
        <v>9</v>
      </c>
      <c r="I125" s="181">
        <f t="shared" si="8"/>
        <v>-1.5555555555558776E-2</v>
      </c>
      <c r="J125" s="181">
        <f t="shared" si="8"/>
        <v>3.8888888888896946E-2</v>
      </c>
      <c r="K125" s="181">
        <f t="shared" si="8"/>
        <v>4.8888888888893374E-2</v>
      </c>
      <c r="L125" s="798"/>
    </row>
    <row r="126" spans="1:12" ht="15.75">
      <c r="A126" s="2443"/>
      <c r="B126" s="2444"/>
      <c r="C126" s="185">
        <v>7.9987000000000004</v>
      </c>
      <c r="D126" s="185">
        <v>8.0038</v>
      </c>
      <c r="E126" s="185">
        <v>8.0031999999999996</v>
      </c>
      <c r="F126" s="185">
        <v>8</v>
      </c>
      <c r="G126" s="185">
        <v>8</v>
      </c>
      <c r="H126" s="185">
        <v>8</v>
      </c>
      <c r="I126" s="181">
        <f t="shared" si="8"/>
        <v>-1.6249999999995435E-2</v>
      </c>
      <c r="J126" s="181">
        <f t="shared" si="8"/>
        <v>4.750000000000032E-2</v>
      </c>
      <c r="K126" s="181">
        <f t="shared" si="8"/>
        <v>3.9999999999995595E-2</v>
      </c>
      <c r="L126" s="798"/>
    </row>
    <row r="127" spans="1:12" ht="15.75">
      <c r="A127" s="2443"/>
      <c r="B127" s="2444"/>
      <c r="C127" s="185">
        <v>6.9989999999999997</v>
      </c>
      <c r="D127" s="185">
        <v>7.0030000000000001</v>
      </c>
      <c r="E127" s="185">
        <v>7.0016999999999996</v>
      </c>
      <c r="F127" s="185">
        <v>7</v>
      </c>
      <c r="G127" s="185">
        <v>7</v>
      </c>
      <c r="H127" s="185">
        <v>7</v>
      </c>
      <c r="I127" s="181">
        <f t="shared" si="8"/>
        <v>-1.4285714285719057E-2</v>
      </c>
      <c r="J127" s="181">
        <f t="shared" si="8"/>
        <v>4.2857142857144481E-2</v>
      </c>
      <c r="K127" s="181">
        <f t="shared" si="8"/>
        <v>2.4285714285708439E-2</v>
      </c>
      <c r="L127" s="798"/>
    </row>
    <row r="128" spans="1:12" ht="15.75">
      <c r="A128" s="2443"/>
      <c r="B128" s="2444"/>
      <c r="C128" s="185">
        <v>5.9992000000000001</v>
      </c>
      <c r="D128" s="185">
        <v>6.0025000000000004</v>
      </c>
      <c r="E128" s="185">
        <v>6.0025000000000004</v>
      </c>
      <c r="F128" s="185">
        <v>6</v>
      </c>
      <c r="G128" s="185">
        <v>6</v>
      </c>
      <c r="H128" s="185">
        <v>6</v>
      </c>
      <c r="I128" s="181">
        <f t="shared" si="8"/>
        <v>-1.3333333333331865E-2</v>
      </c>
      <c r="J128" s="181">
        <f t="shared" si="8"/>
        <v>4.166666666667318E-2</v>
      </c>
      <c r="K128" s="181">
        <f t="shared" si="8"/>
        <v>4.166666666667318E-2</v>
      </c>
      <c r="L128" s="798"/>
    </row>
    <row r="129" spans="1:12" ht="15.75">
      <c r="A129" s="2443"/>
      <c r="B129" s="2444"/>
      <c r="C129" s="185">
        <v>4.9981999999999998</v>
      </c>
      <c r="D129" s="185">
        <v>5.0014000000000003</v>
      </c>
      <c r="E129" s="185">
        <v>5.0014000000000003</v>
      </c>
      <c r="F129" s="185">
        <v>5</v>
      </c>
      <c r="G129" s="185">
        <v>5</v>
      </c>
      <c r="H129" s="185">
        <v>5</v>
      </c>
      <c r="I129" s="181">
        <f t="shared" si="8"/>
        <v>-3.6000000000004917E-2</v>
      </c>
      <c r="J129" s="181">
        <f t="shared" si="8"/>
        <v>2.8000000000005798E-2</v>
      </c>
      <c r="K129" s="181">
        <f t="shared" si="8"/>
        <v>2.8000000000005798E-2</v>
      </c>
      <c r="L129" s="798"/>
    </row>
    <row r="130" spans="1:12" ht="15.75">
      <c r="A130" s="2443"/>
      <c r="B130" s="2444"/>
      <c r="C130" s="185">
        <v>3.9979</v>
      </c>
      <c r="D130" s="185">
        <v>4.0007999999999999</v>
      </c>
      <c r="E130" s="185">
        <v>4.0011000000000001</v>
      </c>
      <c r="F130" s="185">
        <v>4</v>
      </c>
      <c r="G130" s="185">
        <v>4</v>
      </c>
      <c r="H130" s="185">
        <v>4</v>
      </c>
      <c r="I130" s="181">
        <f t="shared" si="8"/>
        <v>-5.2499999999999769E-2</v>
      </c>
      <c r="J130" s="181">
        <f t="shared" si="8"/>
        <v>1.9999999999997797E-2</v>
      </c>
      <c r="K130" s="181">
        <f t="shared" si="8"/>
        <v>2.7500000000002522E-2</v>
      </c>
      <c r="L130" s="798"/>
    </row>
    <row r="131" spans="1:12" ht="15.75">
      <c r="A131" s="2443"/>
      <c r="B131" s="2444"/>
      <c r="C131" s="185">
        <v>2.9977999999999998</v>
      </c>
      <c r="D131" s="185">
        <v>3.0009999999999999</v>
      </c>
      <c r="E131" s="185">
        <v>3.0005000000000002</v>
      </c>
      <c r="F131" s="185">
        <v>3</v>
      </c>
      <c r="G131" s="185">
        <v>3</v>
      </c>
      <c r="H131" s="185">
        <v>3</v>
      </c>
      <c r="I131" s="181">
        <f t="shared" si="8"/>
        <v>-7.3333333333340051E-2</v>
      </c>
      <c r="J131" s="181">
        <f t="shared" si="8"/>
        <v>3.3333333333329662E-2</v>
      </c>
      <c r="K131" s="181">
        <f t="shared" si="8"/>
        <v>1.6666666666672235E-2</v>
      </c>
      <c r="L131" s="798"/>
    </row>
    <row r="132" spans="1:12" ht="15.75">
      <c r="A132" s="2443"/>
      <c r="B132" s="2444"/>
      <c r="C132" s="185">
        <v>1.9987999999999999</v>
      </c>
      <c r="D132" s="185">
        <v>2.0005000000000002</v>
      </c>
      <c r="E132" s="185">
        <v>2.0009999999999999</v>
      </c>
      <c r="F132" s="185">
        <v>2</v>
      </c>
      <c r="G132" s="185">
        <v>2</v>
      </c>
      <c r="H132" s="185">
        <v>2</v>
      </c>
      <c r="I132" s="181">
        <f t="shared" si="8"/>
        <v>-6.0000000000004494E-2</v>
      </c>
      <c r="J132" s="181">
        <f t="shared" si="8"/>
        <v>2.5000000000008349E-2</v>
      </c>
      <c r="K132" s="181">
        <f t="shared" si="8"/>
        <v>4.9999999999994493E-2</v>
      </c>
      <c r="L132" s="798"/>
    </row>
    <row r="133" spans="1:12" ht="15.75">
      <c r="A133" s="2443"/>
      <c r="B133" s="2444"/>
      <c r="C133" s="185">
        <v>0.99919999999999998</v>
      </c>
      <c r="D133" s="185">
        <v>1.0004999999999999</v>
      </c>
      <c r="E133" s="185">
        <v>0.99990000000000001</v>
      </c>
      <c r="F133" s="185">
        <v>1</v>
      </c>
      <c r="G133" s="185">
        <v>1</v>
      </c>
      <c r="H133" s="185">
        <v>1</v>
      </c>
      <c r="I133" s="181">
        <f t="shared" si="8"/>
        <v>-8.0000000000002292E-2</v>
      </c>
      <c r="J133" s="181">
        <f t="shared" si="8"/>
        <v>4.9999999999994493E-2</v>
      </c>
      <c r="K133" s="181">
        <f t="shared" si="8"/>
        <v>-9.9999999999988987E-3</v>
      </c>
      <c r="L133" s="798"/>
    </row>
    <row r="134" spans="1:12" ht="18.75">
      <c r="A134" s="2443"/>
      <c r="B134" s="2444"/>
      <c r="C134" s="178" t="s">
        <v>2112</v>
      </c>
      <c r="D134" s="178" t="s">
        <v>2113</v>
      </c>
      <c r="E134" s="178" t="s">
        <v>2114</v>
      </c>
      <c r="F134" s="178" t="s">
        <v>2112</v>
      </c>
      <c r="G134" s="178" t="s">
        <v>2113</v>
      </c>
      <c r="H134" s="178" t="s">
        <v>2114</v>
      </c>
      <c r="I134" s="178" t="s">
        <v>2112</v>
      </c>
      <c r="J134" s="178" t="s">
        <v>2113</v>
      </c>
      <c r="K134" s="178" t="s">
        <v>2114</v>
      </c>
      <c r="L134" s="799"/>
    </row>
    <row r="135" spans="1:12" ht="15.75">
      <c r="A135" s="2443"/>
      <c r="B135" s="2444"/>
      <c r="C135" s="185">
        <v>9.9994999999999994</v>
      </c>
      <c r="D135" s="185">
        <v>10</v>
      </c>
      <c r="E135" s="185">
        <v>10.000299999999999</v>
      </c>
      <c r="F135" s="185">
        <v>10</v>
      </c>
      <c r="G135" s="185">
        <v>10</v>
      </c>
      <c r="H135" s="185">
        <v>10</v>
      </c>
      <c r="I135" s="181">
        <f>(C135-F135)/F135*100</f>
        <v>-5.0000000000061107E-3</v>
      </c>
      <c r="J135" s="181">
        <f>(D135-G135)/G135*100</f>
        <v>0</v>
      </c>
      <c r="K135" s="181">
        <f>(E135-H135)/H135*100</f>
        <v>2.9999999999930083E-3</v>
      </c>
      <c r="L135" s="798"/>
    </row>
    <row r="136" spans="1:12" ht="15.75">
      <c r="A136" s="2443"/>
      <c r="B136" s="2444"/>
      <c r="C136" s="185">
        <v>8.9987999999999992</v>
      </c>
      <c r="D136" s="185">
        <v>9.0032999999999994</v>
      </c>
      <c r="E136" s="185">
        <v>9.0004000000000008</v>
      </c>
      <c r="F136" s="185">
        <v>9</v>
      </c>
      <c r="G136" s="185">
        <v>9</v>
      </c>
      <c r="H136" s="185">
        <v>9</v>
      </c>
      <c r="I136" s="181">
        <f t="shared" ref="I136:K144" si="9">(C136-F136)/F136*100</f>
        <v>-1.3333333333341734E-2</v>
      </c>
      <c r="J136" s="181">
        <f t="shared" si="9"/>
        <v>3.6666666666660165E-2</v>
      </c>
      <c r="K136" s="181">
        <f t="shared" si="9"/>
        <v>4.4444444444538241E-3</v>
      </c>
      <c r="L136" s="798"/>
    </row>
    <row r="137" spans="1:12" ht="15.75">
      <c r="A137" s="2443"/>
      <c r="B137" s="2444"/>
      <c r="C137" s="185">
        <v>7.9988999999999999</v>
      </c>
      <c r="D137" s="185">
        <v>8.0035000000000007</v>
      </c>
      <c r="E137" s="185">
        <v>8.0006000000000004</v>
      </c>
      <c r="F137" s="185">
        <v>8</v>
      </c>
      <c r="G137" s="185">
        <v>8</v>
      </c>
      <c r="H137" s="185">
        <v>8</v>
      </c>
      <c r="I137" s="181">
        <f t="shared" si="9"/>
        <v>-1.3750000000001261E-2</v>
      </c>
      <c r="J137" s="181">
        <f t="shared" si="9"/>
        <v>4.3750000000009059E-2</v>
      </c>
      <c r="K137" s="181">
        <f t="shared" si="9"/>
        <v>7.5000000000047251E-3</v>
      </c>
      <c r="L137" s="798"/>
    </row>
    <row r="138" spans="1:12" ht="15.75">
      <c r="A138" s="2443"/>
      <c r="B138" s="2444"/>
      <c r="C138" s="185">
        <v>6.9984999999999999</v>
      </c>
      <c r="D138" s="185">
        <v>7.0033000000000003</v>
      </c>
      <c r="E138" s="185">
        <v>7.0007999999999999</v>
      </c>
      <c r="F138" s="185">
        <v>7</v>
      </c>
      <c r="G138" s="185">
        <v>7</v>
      </c>
      <c r="H138" s="185">
        <v>7</v>
      </c>
      <c r="I138" s="181">
        <f t="shared" si="9"/>
        <v>-2.1428571428572241E-2</v>
      </c>
      <c r="J138" s="181">
        <f t="shared" si="9"/>
        <v>4.7142857142861469E-2</v>
      </c>
      <c r="K138" s="181">
        <f t="shared" si="9"/>
        <v>1.1428571428570169E-2</v>
      </c>
      <c r="L138" s="798"/>
    </row>
    <row r="139" spans="1:12" ht="15.75">
      <c r="A139" s="2443"/>
      <c r="B139" s="2444"/>
      <c r="C139" s="185">
        <v>5.9980000000000002</v>
      </c>
      <c r="D139" s="185">
        <v>6.0023999999999997</v>
      </c>
      <c r="E139" s="185">
        <v>5.9996999999999998</v>
      </c>
      <c r="F139" s="185">
        <v>6</v>
      </c>
      <c r="G139" s="185">
        <v>6</v>
      </c>
      <c r="H139" s="185">
        <v>6</v>
      </c>
      <c r="I139" s="181">
        <f t="shared" si="9"/>
        <v>-3.3333333333329662E-2</v>
      </c>
      <c r="J139" s="181">
        <f t="shared" si="9"/>
        <v>3.9999999999995595E-2</v>
      </c>
      <c r="K139" s="181">
        <f t="shared" si="9"/>
        <v>-5.0000000000031495E-3</v>
      </c>
      <c r="L139" s="798"/>
    </row>
    <row r="140" spans="1:12" ht="15.75">
      <c r="A140" s="2443"/>
      <c r="B140" s="2444"/>
      <c r="C140" s="185">
        <v>4.9981</v>
      </c>
      <c r="D140" s="185">
        <v>5.0019999999999998</v>
      </c>
      <c r="E140" s="185">
        <v>4.9996</v>
      </c>
      <c r="F140" s="185">
        <v>5</v>
      </c>
      <c r="G140" s="185">
        <v>5</v>
      </c>
      <c r="H140" s="185">
        <v>5</v>
      </c>
      <c r="I140" s="181">
        <f t="shared" si="9"/>
        <v>-3.8000000000000256E-2</v>
      </c>
      <c r="J140" s="181">
        <f t="shared" si="9"/>
        <v>3.9999999999995595E-2</v>
      </c>
      <c r="K140" s="181">
        <f t="shared" si="9"/>
        <v>-7.9999999999991189E-3</v>
      </c>
      <c r="L140" s="798"/>
    </row>
    <row r="141" spans="1:12" ht="15.75">
      <c r="A141" s="2443"/>
      <c r="B141" s="2444"/>
      <c r="C141" s="185">
        <v>3.9979</v>
      </c>
      <c r="D141" s="185">
        <v>4.0011999999999999</v>
      </c>
      <c r="E141" s="185">
        <v>3.9994999999999998</v>
      </c>
      <c r="F141" s="185">
        <v>4</v>
      </c>
      <c r="G141" s="185">
        <v>4</v>
      </c>
      <c r="H141" s="185">
        <v>4</v>
      </c>
      <c r="I141" s="181">
        <f t="shared" si="9"/>
        <v>-5.2499999999999769E-2</v>
      </c>
      <c r="J141" s="181">
        <f t="shared" si="9"/>
        <v>2.9999999999996696E-2</v>
      </c>
      <c r="K141" s="181">
        <f t="shared" si="9"/>
        <v>-1.2500000000004174E-2</v>
      </c>
      <c r="L141" s="798"/>
    </row>
    <row r="142" spans="1:12" ht="15.75">
      <c r="A142" s="2443"/>
      <c r="B142" s="2444"/>
      <c r="C142" s="185">
        <v>2.9977999999999998</v>
      </c>
      <c r="D142" s="185">
        <v>3.0011999999999999</v>
      </c>
      <c r="E142" s="185">
        <v>2.9990999999999999</v>
      </c>
      <c r="F142" s="185">
        <v>3</v>
      </c>
      <c r="G142" s="185">
        <v>3</v>
      </c>
      <c r="H142" s="185">
        <v>3</v>
      </c>
      <c r="I142" s="181">
        <f t="shared" si="9"/>
        <v>-7.3333333333340051E-2</v>
      </c>
      <c r="J142" s="181">
        <f t="shared" si="9"/>
        <v>3.9999999999995595E-2</v>
      </c>
      <c r="K142" s="181">
        <f t="shared" si="9"/>
        <v>-3.0000000000004096E-2</v>
      </c>
      <c r="L142" s="798"/>
    </row>
    <row r="143" spans="1:12" ht="15.75">
      <c r="A143" s="2443"/>
      <c r="B143" s="2444"/>
      <c r="C143" s="185">
        <v>1.9982</v>
      </c>
      <c r="D143" s="185">
        <v>2</v>
      </c>
      <c r="E143" s="185">
        <v>1.9995000000000001</v>
      </c>
      <c r="F143" s="185">
        <v>2</v>
      </c>
      <c r="G143" s="185">
        <v>2</v>
      </c>
      <c r="H143" s="185">
        <v>2</v>
      </c>
      <c r="I143" s="181">
        <f t="shared" si="9"/>
        <v>-9.000000000000119E-2</v>
      </c>
      <c r="J143" s="181">
        <f t="shared" si="9"/>
        <v>0</v>
      </c>
      <c r="K143" s="181">
        <f t="shared" si="9"/>
        <v>-2.4999999999997247E-2</v>
      </c>
      <c r="L143" s="798"/>
    </row>
    <row r="144" spans="1:12" ht="15.75">
      <c r="A144" s="2443"/>
      <c r="B144" s="2444"/>
      <c r="C144" s="185">
        <v>0.99760000000000004</v>
      </c>
      <c r="D144" s="185">
        <v>1.0006999999999999</v>
      </c>
      <c r="E144" s="185">
        <v>0.99929999999999997</v>
      </c>
      <c r="F144" s="185">
        <v>1</v>
      </c>
      <c r="G144" s="185">
        <v>1</v>
      </c>
      <c r="H144" s="185">
        <v>1</v>
      </c>
      <c r="I144" s="181">
        <f t="shared" si="9"/>
        <v>-0.23999999999999577</v>
      </c>
      <c r="J144" s="181">
        <f t="shared" si="9"/>
        <v>6.9999999999992291E-2</v>
      </c>
      <c r="K144" s="181">
        <f t="shared" si="9"/>
        <v>-7.0000000000003393E-2</v>
      </c>
      <c r="L144" s="798"/>
    </row>
    <row r="145" spans="1:12" ht="18.75">
      <c r="A145" s="2445"/>
      <c r="B145" s="2446"/>
      <c r="C145" s="186" t="s">
        <v>2115</v>
      </c>
      <c r="D145" s="186" t="s">
        <v>2116</v>
      </c>
      <c r="E145" s="187" t="s">
        <v>2117</v>
      </c>
      <c r="F145" s="186" t="s">
        <v>2118</v>
      </c>
      <c r="G145" s="186" t="s">
        <v>2119</v>
      </c>
      <c r="H145" s="187" t="s">
        <v>2117</v>
      </c>
      <c r="I145" s="186" t="s">
        <v>2118</v>
      </c>
      <c r="J145" s="186" t="s">
        <v>2119</v>
      </c>
      <c r="K145" s="187" t="s">
        <v>2117</v>
      </c>
      <c r="L145" s="799"/>
    </row>
    <row r="146" spans="1:12" ht="15.75">
      <c r="A146" s="2445"/>
      <c r="B146" s="2446"/>
      <c r="C146" s="185">
        <v>10.000500000000001</v>
      </c>
      <c r="D146" s="185">
        <v>10.000299999999999</v>
      </c>
      <c r="E146" s="188" t="s">
        <v>2117</v>
      </c>
      <c r="F146" s="185">
        <v>10</v>
      </c>
      <c r="G146" s="185">
        <v>10</v>
      </c>
      <c r="H146" s="188" t="s">
        <v>2117</v>
      </c>
      <c r="I146" s="181">
        <f>(C146-F146)/F146*100</f>
        <v>5.0000000000061107E-3</v>
      </c>
      <c r="J146" s="181">
        <f>(D146-G146)/G146*100</f>
        <v>2.9999999999930083E-3</v>
      </c>
      <c r="K146" s="188" t="s">
        <v>2117</v>
      </c>
      <c r="L146" s="798"/>
    </row>
    <row r="147" spans="1:12" ht="15.75">
      <c r="A147" s="2445"/>
      <c r="B147" s="2446"/>
      <c r="C147" s="185">
        <v>9.0015000000000001</v>
      </c>
      <c r="D147" s="185">
        <v>9.0022000000000002</v>
      </c>
      <c r="E147" s="188" t="s">
        <v>2117</v>
      </c>
      <c r="F147" s="185">
        <v>9</v>
      </c>
      <c r="G147" s="185">
        <v>9</v>
      </c>
      <c r="H147" s="188" t="s">
        <v>2117</v>
      </c>
      <c r="I147" s="181">
        <f t="shared" ref="I147:J155" si="10">(C147-F147)/F147*100</f>
        <v>1.6666666666667298E-2</v>
      </c>
      <c r="J147" s="181">
        <f t="shared" si="10"/>
        <v>2.4444444444446687E-2</v>
      </c>
      <c r="K147" s="188" t="s">
        <v>2117</v>
      </c>
      <c r="L147" s="798"/>
    </row>
    <row r="148" spans="1:12" ht="15.75">
      <c r="A148" s="2445"/>
      <c r="B148" s="2446"/>
      <c r="C148" s="185">
        <v>8.0007000000000001</v>
      </c>
      <c r="D148" s="185">
        <v>8.0017999999999994</v>
      </c>
      <c r="E148" s="188" t="s">
        <v>2117</v>
      </c>
      <c r="F148" s="185">
        <v>8</v>
      </c>
      <c r="G148" s="185">
        <v>8</v>
      </c>
      <c r="H148" s="188" t="s">
        <v>2117</v>
      </c>
      <c r="I148" s="181">
        <f t="shared" si="10"/>
        <v>8.7500000000018119E-3</v>
      </c>
      <c r="J148" s="181">
        <f t="shared" si="10"/>
        <v>2.2499999999991971E-2</v>
      </c>
      <c r="K148" s="188" t="s">
        <v>2117</v>
      </c>
      <c r="L148" s="798"/>
    </row>
    <row r="149" spans="1:12" ht="15.75">
      <c r="A149" s="2445"/>
      <c r="B149" s="2446"/>
      <c r="C149" s="185">
        <v>7.0011000000000001</v>
      </c>
      <c r="D149" s="185">
        <v>7.0011999999999999</v>
      </c>
      <c r="E149" s="188" t="s">
        <v>2117</v>
      </c>
      <c r="F149" s="185">
        <v>7</v>
      </c>
      <c r="G149" s="185">
        <v>7</v>
      </c>
      <c r="H149" s="188" t="s">
        <v>2117</v>
      </c>
      <c r="I149" s="181">
        <f t="shared" si="10"/>
        <v>1.5714285714287155E-2</v>
      </c>
      <c r="J149" s="181">
        <f t="shared" si="10"/>
        <v>1.7142857142855256E-2</v>
      </c>
      <c r="K149" s="188" t="s">
        <v>2117</v>
      </c>
      <c r="L149" s="798"/>
    </row>
    <row r="150" spans="1:12" ht="15.75">
      <c r="A150" s="2445"/>
      <c r="B150" s="2446"/>
      <c r="C150" s="185">
        <v>5.9996</v>
      </c>
      <c r="D150" s="185">
        <v>6.0004999999999997</v>
      </c>
      <c r="E150" s="188" t="s">
        <v>2117</v>
      </c>
      <c r="F150" s="185">
        <v>6</v>
      </c>
      <c r="G150" s="185">
        <v>6</v>
      </c>
      <c r="H150" s="188" t="s">
        <v>2117</v>
      </c>
      <c r="I150" s="181">
        <f t="shared" si="10"/>
        <v>-6.6666666666659324E-3</v>
      </c>
      <c r="J150" s="181">
        <f t="shared" si="10"/>
        <v>8.3333333333287136E-3</v>
      </c>
      <c r="K150" s="188" t="s">
        <v>2117</v>
      </c>
      <c r="L150" s="798"/>
    </row>
    <row r="151" spans="1:12" ht="15.75">
      <c r="A151" s="2445"/>
      <c r="B151" s="2446"/>
      <c r="C151" s="185">
        <v>4.9996</v>
      </c>
      <c r="D151" s="185">
        <v>5.0004</v>
      </c>
      <c r="E151" s="188" t="s">
        <v>2117</v>
      </c>
      <c r="F151" s="185">
        <v>5</v>
      </c>
      <c r="G151" s="185">
        <v>5</v>
      </c>
      <c r="H151" s="188" t="s">
        <v>2117</v>
      </c>
      <c r="I151" s="181">
        <f t="shared" si="10"/>
        <v>-7.9999999999991189E-3</v>
      </c>
      <c r="J151" s="181">
        <f t="shared" si="10"/>
        <v>7.9999999999991189E-3</v>
      </c>
      <c r="K151" s="188" t="s">
        <v>2117</v>
      </c>
      <c r="L151" s="798"/>
    </row>
    <row r="152" spans="1:12" ht="15.75">
      <c r="A152" s="2445"/>
      <c r="B152" s="2446"/>
      <c r="C152" s="185">
        <v>3.9988999999999999</v>
      </c>
      <c r="D152" s="185">
        <v>4.0006000000000004</v>
      </c>
      <c r="E152" s="188" t="s">
        <v>2117</v>
      </c>
      <c r="F152" s="185">
        <v>4</v>
      </c>
      <c r="G152" s="185">
        <v>4</v>
      </c>
      <c r="H152" s="188" t="s">
        <v>2117</v>
      </c>
      <c r="I152" s="181">
        <f t="shared" si="10"/>
        <v>-2.7500000000002522E-2</v>
      </c>
      <c r="J152" s="181">
        <f t="shared" si="10"/>
        <v>1.500000000000945E-2</v>
      </c>
      <c r="K152" s="188" t="s">
        <v>2117</v>
      </c>
      <c r="L152" s="798"/>
    </row>
    <row r="153" spans="1:12" ht="15.75">
      <c r="A153" s="2445"/>
      <c r="B153" s="2446"/>
      <c r="C153" s="185">
        <v>2.9990000000000001</v>
      </c>
      <c r="D153" s="185">
        <v>2.9994999999999998</v>
      </c>
      <c r="E153" s="188" t="s">
        <v>2117</v>
      </c>
      <c r="F153" s="185">
        <v>3</v>
      </c>
      <c r="G153" s="185">
        <v>3</v>
      </c>
      <c r="H153" s="188" t="s">
        <v>2117</v>
      </c>
      <c r="I153" s="181">
        <f t="shared" si="10"/>
        <v>-3.3333333333329662E-2</v>
      </c>
      <c r="J153" s="181">
        <f t="shared" si="10"/>
        <v>-1.6666666666672235E-2</v>
      </c>
      <c r="K153" s="188" t="s">
        <v>2117</v>
      </c>
      <c r="L153" s="798"/>
    </row>
    <row r="154" spans="1:12" ht="15.75">
      <c r="A154" s="2445"/>
      <c r="B154" s="2446"/>
      <c r="C154" s="185">
        <v>1.9985999999999999</v>
      </c>
      <c r="D154" s="185">
        <v>1.9992000000000001</v>
      </c>
      <c r="E154" s="188" t="s">
        <v>2117</v>
      </c>
      <c r="F154" s="185">
        <v>2</v>
      </c>
      <c r="G154" s="185">
        <v>2</v>
      </c>
      <c r="H154" s="188" t="s">
        <v>2117</v>
      </c>
      <c r="I154" s="181">
        <f t="shared" si="10"/>
        <v>-7.0000000000003393E-2</v>
      </c>
      <c r="J154" s="181">
        <f t="shared" si="10"/>
        <v>-3.9999999999995595E-2</v>
      </c>
      <c r="K154" s="188" t="s">
        <v>2117</v>
      </c>
      <c r="L154" s="798"/>
    </row>
    <row r="155" spans="1:12" ht="15.75">
      <c r="A155" s="2445"/>
      <c r="B155" s="2446"/>
      <c r="C155" s="185">
        <v>0.99870000000000003</v>
      </c>
      <c r="D155" s="185">
        <v>0.99939999999999996</v>
      </c>
      <c r="E155" s="188" t="s">
        <v>2117</v>
      </c>
      <c r="F155" s="185">
        <v>1</v>
      </c>
      <c r="G155" s="185">
        <v>1</v>
      </c>
      <c r="H155" s="188" t="s">
        <v>2117</v>
      </c>
      <c r="I155" s="181">
        <f t="shared" si="10"/>
        <v>-0.12999999999999678</v>
      </c>
      <c r="J155" s="181">
        <f t="shared" si="10"/>
        <v>-6.0000000000004494E-2</v>
      </c>
      <c r="K155" s="188" t="s">
        <v>2117</v>
      </c>
      <c r="L155" s="798"/>
    </row>
    <row r="156" spans="1:12" ht="18.75">
      <c r="A156" s="2445"/>
      <c r="B156" s="2446"/>
      <c r="C156" s="178" t="s">
        <v>2120</v>
      </c>
      <c r="D156" s="188" t="s">
        <v>2117</v>
      </c>
      <c r="E156" s="188" t="s">
        <v>2117</v>
      </c>
      <c r="F156" s="178" t="s">
        <v>2120</v>
      </c>
      <c r="G156" s="188" t="s">
        <v>2117</v>
      </c>
      <c r="H156" s="188" t="s">
        <v>2117</v>
      </c>
      <c r="I156" s="178" t="s">
        <v>2120</v>
      </c>
      <c r="J156" s="188" t="s">
        <v>2117</v>
      </c>
      <c r="K156" s="188" t="s">
        <v>2117</v>
      </c>
      <c r="L156" s="799"/>
    </row>
    <row r="157" spans="1:12" ht="15.75">
      <c r="A157" s="2445"/>
      <c r="B157" s="2446"/>
      <c r="C157" s="185">
        <v>9.9995999999999992</v>
      </c>
      <c r="D157" s="188" t="s">
        <v>2117</v>
      </c>
      <c r="E157" s="188" t="s">
        <v>2117</v>
      </c>
      <c r="F157" s="185">
        <v>10</v>
      </c>
      <c r="G157" s="188" t="s">
        <v>2117</v>
      </c>
      <c r="H157" s="188" t="s">
        <v>2117</v>
      </c>
      <c r="I157" s="181">
        <f>(C157-F157)/F157*100</f>
        <v>-4.0000000000084412E-3</v>
      </c>
      <c r="J157" s="188" t="s">
        <v>2117</v>
      </c>
      <c r="K157" s="188" t="s">
        <v>2117</v>
      </c>
      <c r="L157" s="798"/>
    </row>
    <row r="158" spans="1:12" ht="15.75">
      <c r="A158" s="2445"/>
      <c r="B158" s="2446"/>
      <c r="C158" s="185">
        <v>9</v>
      </c>
      <c r="D158" s="188" t="s">
        <v>2117</v>
      </c>
      <c r="E158" s="188" t="s">
        <v>2117</v>
      </c>
      <c r="F158" s="185">
        <v>9</v>
      </c>
      <c r="G158" s="188" t="s">
        <v>2117</v>
      </c>
      <c r="H158" s="188" t="s">
        <v>2117</v>
      </c>
      <c r="I158" s="181">
        <f t="shared" ref="I158:I166" si="11">(C158-F158)/F158*100</f>
        <v>0</v>
      </c>
      <c r="J158" s="188" t="s">
        <v>2117</v>
      </c>
      <c r="K158" s="188" t="s">
        <v>2117</v>
      </c>
      <c r="L158" s="798"/>
    </row>
    <row r="159" spans="1:12" ht="15.75">
      <c r="A159" s="2445"/>
      <c r="B159" s="2446"/>
      <c r="C159" s="185">
        <v>7.9996</v>
      </c>
      <c r="D159" s="188" t="s">
        <v>2117</v>
      </c>
      <c r="E159" s="188" t="s">
        <v>2117</v>
      </c>
      <c r="F159" s="185">
        <v>8</v>
      </c>
      <c r="G159" s="188" t="s">
        <v>2117</v>
      </c>
      <c r="H159" s="188" t="s">
        <v>2117</v>
      </c>
      <c r="I159" s="181">
        <f t="shared" si="11"/>
        <v>-4.9999999999994493E-3</v>
      </c>
      <c r="J159" s="188" t="s">
        <v>2117</v>
      </c>
      <c r="K159" s="188" t="s">
        <v>2117</v>
      </c>
      <c r="L159" s="798"/>
    </row>
    <row r="160" spans="1:12" ht="15.75">
      <c r="A160" s="2445"/>
      <c r="B160" s="2446"/>
      <c r="C160" s="185">
        <v>6.9995000000000003</v>
      </c>
      <c r="D160" s="188" t="s">
        <v>2117</v>
      </c>
      <c r="E160" s="188" t="s">
        <v>2117</v>
      </c>
      <c r="F160" s="185">
        <v>7</v>
      </c>
      <c r="G160" s="188" t="s">
        <v>2117</v>
      </c>
      <c r="H160" s="188" t="s">
        <v>2117</v>
      </c>
      <c r="I160" s="181">
        <f t="shared" si="11"/>
        <v>-7.1428571428531849E-3</v>
      </c>
      <c r="J160" s="188" t="s">
        <v>2117</v>
      </c>
      <c r="K160" s="188" t="s">
        <v>2117</v>
      </c>
      <c r="L160" s="798"/>
    </row>
    <row r="161" spans="1:12" ht="15.75">
      <c r="A161" s="2445"/>
      <c r="B161" s="2446"/>
      <c r="C161" s="185">
        <v>5.9993999999999996</v>
      </c>
      <c r="D161" s="188" t="s">
        <v>2117</v>
      </c>
      <c r="E161" s="188" t="s">
        <v>2117</v>
      </c>
      <c r="F161" s="185">
        <v>6</v>
      </c>
      <c r="G161" s="188" t="s">
        <v>2117</v>
      </c>
      <c r="H161" s="188" t="s">
        <v>2117</v>
      </c>
      <c r="I161" s="181">
        <f t="shared" si="11"/>
        <v>-1.0000000000006299E-2</v>
      </c>
      <c r="J161" s="188" t="s">
        <v>2117</v>
      </c>
      <c r="K161" s="188" t="s">
        <v>2117</v>
      </c>
      <c r="L161" s="798"/>
    </row>
    <row r="162" spans="1:12" ht="15.75">
      <c r="A162" s="2445"/>
      <c r="B162" s="2446"/>
      <c r="C162" s="185">
        <v>4.9992999999999999</v>
      </c>
      <c r="D162" s="188" t="s">
        <v>2117</v>
      </c>
      <c r="E162" s="188" t="s">
        <v>2117</v>
      </c>
      <c r="F162" s="185">
        <v>5</v>
      </c>
      <c r="G162" s="188" t="s">
        <v>2117</v>
      </c>
      <c r="H162" s="188" t="s">
        <v>2117</v>
      </c>
      <c r="I162" s="181">
        <f t="shared" si="11"/>
        <v>-1.4000000000002899E-2</v>
      </c>
      <c r="J162" s="188" t="s">
        <v>2117</v>
      </c>
      <c r="K162" s="188" t="s">
        <v>2117</v>
      </c>
      <c r="L162" s="798"/>
    </row>
    <row r="163" spans="1:12" ht="15.75">
      <c r="A163" s="2445"/>
      <c r="B163" s="2446"/>
      <c r="C163" s="185">
        <v>3.9992000000000001</v>
      </c>
      <c r="D163" s="188" t="s">
        <v>2117</v>
      </c>
      <c r="E163" s="188" t="s">
        <v>2117</v>
      </c>
      <c r="F163" s="185">
        <v>4</v>
      </c>
      <c r="G163" s="188" t="s">
        <v>2117</v>
      </c>
      <c r="H163" s="188" t="s">
        <v>2117</v>
      </c>
      <c r="I163" s="181">
        <f t="shared" si="11"/>
        <v>-1.9999999999997797E-2</v>
      </c>
      <c r="J163" s="188" t="s">
        <v>2117</v>
      </c>
      <c r="K163" s="188" t="s">
        <v>2117</v>
      </c>
      <c r="L163" s="798"/>
    </row>
    <row r="164" spans="1:12" ht="15.75">
      <c r="A164" s="2445"/>
      <c r="B164" s="2446"/>
      <c r="C164" s="185">
        <v>2.9990999999999999</v>
      </c>
      <c r="D164" s="188" t="s">
        <v>2117</v>
      </c>
      <c r="E164" s="188" t="s">
        <v>2117</v>
      </c>
      <c r="F164" s="185">
        <v>3</v>
      </c>
      <c r="G164" s="188" t="s">
        <v>2117</v>
      </c>
      <c r="H164" s="188" t="s">
        <v>2117</v>
      </c>
      <c r="I164" s="181">
        <f t="shared" si="11"/>
        <v>-3.0000000000004096E-2</v>
      </c>
      <c r="J164" s="188" t="s">
        <v>2117</v>
      </c>
      <c r="K164" s="188" t="s">
        <v>2117</v>
      </c>
      <c r="L164" s="798"/>
    </row>
    <row r="165" spans="1:12" ht="15.75">
      <c r="A165" s="2445"/>
      <c r="B165" s="2446"/>
      <c r="C165" s="185">
        <v>1.9991000000000001</v>
      </c>
      <c r="D165" s="188" t="s">
        <v>2117</v>
      </c>
      <c r="E165" s="188" t="s">
        <v>2117</v>
      </c>
      <c r="F165" s="185">
        <v>2</v>
      </c>
      <c r="G165" s="188" t="s">
        <v>2117</v>
      </c>
      <c r="H165" s="188" t="s">
        <v>2117</v>
      </c>
      <c r="I165" s="181">
        <f t="shared" si="11"/>
        <v>-4.4999999999995044E-2</v>
      </c>
      <c r="J165" s="188" t="s">
        <v>2117</v>
      </c>
      <c r="K165" s="188" t="s">
        <v>2117</v>
      </c>
      <c r="L165" s="798"/>
    </row>
    <row r="166" spans="1:12" ht="15.75">
      <c r="A166" s="2447"/>
      <c r="B166" s="2448"/>
      <c r="C166" s="185">
        <v>0.999</v>
      </c>
      <c r="D166" s="188" t="s">
        <v>2117</v>
      </c>
      <c r="E166" s="188" t="s">
        <v>2117</v>
      </c>
      <c r="F166" s="185">
        <v>1</v>
      </c>
      <c r="G166" s="188" t="s">
        <v>2117</v>
      </c>
      <c r="H166" s="188" t="s">
        <v>2117</v>
      </c>
      <c r="I166" s="181">
        <f t="shared" si="11"/>
        <v>-0.10000000000000009</v>
      </c>
      <c r="J166" s="188" t="s">
        <v>2117</v>
      </c>
      <c r="K166" s="188" t="s">
        <v>2117</v>
      </c>
      <c r="L166" s="798"/>
    </row>
    <row r="167" spans="1:12">
      <c r="A167" s="189" t="s">
        <v>2121</v>
      </c>
      <c r="B167" s="190"/>
      <c r="C167" s="190"/>
      <c r="D167" s="190"/>
      <c r="E167" s="190"/>
      <c r="F167" s="190"/>
      <c r="G167" s="190"/>
      <c r="H167" s="190"/>
      <c r="I167" s="190"/>
      <c r="J167" s="190"/>
      <c r="K167" s="190"/>
      <c r="L167" s="191"/>
    </row>
    <row r="168" spans="1:12">
      <c r="A168" s="800"/>
      <c r="B168" s="801"/>
      <c r="C168" s="802"/>
      <c r="D168" s="802"/>
      <c r="E168" s="802"/>
      <c r="F168" s="802"/>
      <c r="G168" s="802"/>
      <c r="H168" s="802"/>
      <c r="I168" s="2525"/>
      <c r="J168" s="2525"/>
      <c r="K168" s="2526"/>
      <c r="L168" s="728"/>
    </row>
  </sheetData>
  <mergeCells count="182">
    <mergeCell ref="A1:D1"/>
    <mergeCell ref="A16:D16"/>
    <mergeCell ref="A17:D17"/>
    <mergeCell ref="A18:A19"/>
    <mergeCell ref="B18:B19"/>
    <mergeCell ref="A20:A29"/>
    <mergeCell ref="C74:D74"/>
    <mergeCell ref="A39:A41"/>
    <mergeCell ref="C18:D18"/>
    <mergeCell ref="A44:A45"/>
    <mergeCell ref="B44:B45"/>
    <mergeCell ref="C44:D44"/>
    <mergeCell ref="A71:B72"/>
    <mergeCell ref="C71:D72"/>
    <mergeCell ref="A73:B81"/>
    <mergeCell ref="C73:D73"/>
    <mergeCell ref="C77:D77"/>
    <mergeCell ref="A62:A64"/>
    <mergeCell ref="A65:A67"/>
    <mergeCell ref="A123:B123"/>
    <mergeCell ref="A124:B166"/>
    <mergeCell ref="I168:K168"/>
    <mergeCell ref="A89:B90"/>
    <mergeCell ref="C89:E89"/>
    <mergeCell ref="F89:H89"/>
    <mergeCell ref="I89:K89"/>
    <mergeCell ref="L89:L90"/>
    <mergeCell ref="A91:B100"/>
    <mergeCell ref="L91:L100"/>
    <mergeCell ref="E18:F18"/>
    <mergeCell ref="I18:J19"/>
    <mergeCell ref="K18:K19"/>
    <mergeCell ref="A101:B101"/>
    <mergeCell ref="A102:B122"/>
    <mergeCell ref="E75:F75"/>
    <mergeCell ref="C76:D76"/>
    <mergeCell ref="A30:A32"/>
    <mergeCell ref="A33:A35"/>
    <mergeCell ref="E44:F44"/>
    <mergeCell ref="H71:H72"/>
    <mergeCell ref="E84:F84"/>
    <mergeCell ref="C80:D80"/>
    <mergeCell ref="E80:F80"/>
    <mergeCell ref="C81:D81"/>
    <mergeCell ref="E81:F81"/>
    <mergeCell ref="E76:F76"/>
    <mergeCell ref="C78:D78"/>
    <mergeCell ref="C79:D79"/>
    <mergeCell ref="E79:F79"/>
    <mergeCell ref="E78:F78"/>
    <mergeCell ref="E71:F72"/>
    <mergeCell ref="G71:G72"/>
    <mergeCell ref="C75:D75"/>
    <mergeCell ref="I44:J45"/>
    <mergeCell ref="K44:K45"/>
    <mergeCell ref="A46:A55"/>
    <mergeCell ref="A56:A58"/>
    <mergeCell ref="A59:A61"/>
    <mergeCell ref="A36:A38"/>
    <mergeCell ref="I71:I72"/>
    <mergeCell ref="O33:O35"/>
    <mergeCell ref="X33:X35"/>
    <mergeCell ref="O36:O38"/>
    <mergeCell ref="X36:X38"/>
    <mergeCell ref="O39:O41"/>
    <mergeCell ref="X39:X41"/>
    <mergeCell ref="O59:O61"/>
    <mergeCell ref="X59:X61"/>
    <mergeCell ref="O62:O64"/>
    <mergeCell ref="X62:X64"/>
    <mergeCell ref="O65:O67"/>
    <mergeCell ref="X65:X67"/>
    <mergeCell ref="Z18:AA18"/>
    <mergeCell ref="AB18:AC18"/>
    <mergeCell ref="O20:O29"/>
    <mergeCell ref="X20:X29"/>
    <mergeCell ref="O30:O32"/>
    <mergeCell ref="X30:X32"/>
    <mergeCell ref="O18:O19"/>
    <mergeCell ref="P18:P19"/>
    <mergeCell ref="Q18:R18"/>
    <mergeCell ref="S18:T18"/>
    <mergeCell ref="X18:X19"/>
    <mergeCell ref="Y18:Y19"/>
    <mergeCell ref="Z44:AA44"/>
    <mergeCell ref="AB44:AC44"/>
    <mergeCell ref="O46:O55"/>
    <mergeCell ref="X46:X55"/>
    <mergeCell ref="O56:O58"/>
    <mergeCell ref="X56:X58"/>
    <mergeCell ref="O44:O45"/>
    <mergeCell ref="P44:P45"/>
    <mergeCell ref="Q44:R44"/>
    <mergeCell ref="S44:T44"/>
    <mergeCell ref="X44:X45"/>
    <mergeCell ref="Y44:Y45"/>
    <mergeCell ref="AE97:AF98"/>
    <mergeCell ref="AG97:AI97"/>
    <mergeCell ref="AJ97:AL97"/>
    <mergeCell ref="AM97:AO97"/>
    <mergeCell ref="P99:Q108"/>
    <mergeCell ref="AE99:AF108"/>
    <mergeCell ref="A69:C69"/>
    <mergeCell ref="S96:U96"/>
    <mergeCell ref="P97:Q98"/>
    <mergeCell ref="R97:T97"/>
    <mergeCell ref="U97:W97"/>
    <mergeCell ref="X97:Z97"/>
    <mergeCell ref="K71:L72"/>
    <mergeCell ref="M71:N72"/>
    <mergeCell ref="O71:P72"/>
    <mergeCell ref="Q71:Q72"/>
    <mergeCell ref="A82:B84"/>
    <mergeCell ref="C82:D82"/>
    <mergeCell ref="E82:F82"/>
    <mergeCell ref="C83:D83"/>
    <mergeCell ref="E83:F83"/>
    <mergeCell ref="C84:D84"/>
    <mergeCell ref="E77:F77"/>
    <mergeCell ref="E73:F73"/>
    <mergeCell ref="AB73:AB81"/>
    <mergeCell ref="E74:F74"/>
    <mergeCell ref="M74:N74"/>
    <mergeCell ref="O74:P74"/>
    <mergeCell ref="V74:W74"/>
    <mergeCell ref="X74:Y74"/>
    <mergeCell ref="M75:N75"/>
    <mergeCell ref="O75:P75"/>
    <mergeCell ref="V75:W75"/>
    <mergeCell ref="X75:Y75"/>
    <mergeCell ref="M79:N79"/>
    <mergeCell ref="O79:P79"/>
    <mergeCell ref="V79:W79"/>
    <mergeCell ref="X79:Y79"/>
    <mergeCell ref="AB71:AB72"/>
    <mergeCell ref="R71:R72"/>
    <mergeCell ref="T71:U72"/>
    <mergeCell ref="V71:W72"/>
    <mergeCell ref="X71:Y72"/>
    <mergeCell ref="Z71:Z72"/>
    <mergeCell ref="AA71:AA72"/>
    <mergeCell ref="M78:N78"/>
    <mergeCell ref="O78:P78"/>
    <mergeCell ref="V78:W78"/>
    <mergeCell ref="X78:Y78"/>
    <mergeCell ref="M76:N76"/>
    <mergeCell ref="O76:P76"/>
    <mergeCell ref="V76:W76"/>
    <mergeCell ref="X76:Y76"/>
    <mergeCell ref="M77:N77"/>
    <mergeCell ref="O77:P77"/>
    <mergeCell ref="V77:W77"/>
    <mergeCell ref="X77:Y77"/>
    <mergeCell ref="M73:N73"/>
    <mergeCell ref="O73:P73"/>
    <mergeCell ref="T73:U81"/>
    <mergeCell ref="V73:W73"/>
    <mergeCell ref="X73:Y73"/>
    <mergeCell ref="K82:L84"/>
    <mergeCell ref="M82:N82"/>
    <mergeCell ref="O82:P82"/>
    <mergeCell ref="T82:U84"/>
    <mergeCell ref="V82:W82"/>
    <mergeCell ref="X82:Y82"/>
    <mergeCell ref="M80:N80"/>
    <mergeCell ref="O80:P80"/>
    <mergeCell ref="V80:W80"/>
    <mergeCell ref="X80:Y80"/>
    <mergeCell ref="M81:N81"/>
    <mergeCell ref="O81:P81"/>
    <mergeCell ref="V81:W81"/>
    <mergeCell ref="X81:Y81"/>
    <mergeCell ref="K73:L81"/>
    <mergeCell ref="AB82:AB84"/>
    <mergeCell ref="M83:N83"/>
    <mergeCell ref="O83:P83"/>
    <mergeCell ref="V83:W83"/>
    <mergeCell ref="X83:Y83"/>
    <mergeCell ref="M84:N84"/>
    <mergeCell ref="O84:P84"/>
    <mergeCell ref="V84:W84"/>
    <mergeCell ref="X84:Y84"/>
  </mergeCells>
  <phoneticPr fontId="25" type="noConversion"/>
  <conditionalFormatting sqref="B20:C42">
    <cfRule type="expression" dxfId="116" priority="18" stopIfTrue="1">
      <formula>#REF!&gt;#REF!</formula>
    </cfRule>
  </conditionalFormatting>
  <conditionalFormatting sqref="B20:B42 D20:D42">
    <cfRule type="expression" dxfId="115" priority="19" stopIfTrue="1">
      <formula>ABS(#REF!)&gt;#REF!</formula>
    </cfRule>
  </conditionalFormatting>
  <conditionalFormatting sqref="I113:J122 I157:I166 I146:J155 I124:K133 I135:K144 I91:K100 I102:K111">
    <cfRule type="cellIs" dxfId="114" priority="16" stopIfTrue="1" operator="notBetween">
      <formula>-0.5</formula>
      <formula>0.5</formula>
    </cfRule>
  </conditionalFormatting>
  <conditionalFormatting sqref="B46:C67">
    <cfRule type="expression" dxfId="113" priority="14" stopIfTrue="1">
      <formula>#REF!&gt;#REF!</formula>
    </cfRule>
  </conditionalFormatting>
  <conditionalFormatting sqref="B46:B67 D46:D67">
    <cfRule type="expression" dxfId="112" priority="15" stopIfTrue="1">
      <formula>ABS(#REF!)&gt;#REF!</formula>
    </cfRule>
  </conditionalFormatting>
  <conditionalFormatting sqref="P20:Q41">
    <cfRule type="expression" dxfId="111" priority="12" stopIfTrue="1">
      <formula>#REF!&gt;#REF!</formula>
    </cfRule>
  </conditionalFormatting>
  <conditionalFormatting sqref="P20:P41 R20:R41">
    <cfRule type="expression" dxfId="110" priority="13" stopIfTrue="1">
      <formula>ABS(#REF!)&gt;#REF!</formula>
    </cfRule>
  </conditionalFormatting>
  <conditionalFormatting sqref="Y20:Z41">
    <cfRule type="expression" dxfId="109" priority="10" stopIfTrue="1">
      <formula>#REF!&gt;#REF!</formula>
    </cfRule>
  </conditionalFormatting>
  <conditionalFormatting sqref="Y20:Y41 AA20:AA41">
    <cfRule type="expression" dxfId="108" priority="11" stopIfTrue="1">
      <formula>ABS(#REF!)&gt;#REF!</formula>
    </cfRule>
  </conditionalFormatting>
  <conditionalFormatting sqref="P46:Q67">
    <cfRule type="expression" dxfId="107" priority="8" stopIfTrue="1">
      <formula>#REF!&gt;#REF!</formula>
    </cfRule>
  </conditionalFormatting>
  <conditionalFormatting sqref="P46:P67 R46:R67">
    <cfRule type="expression" dxfId="106" priority="9" stopIfTrue="1">
      <formula>ABS(#REF!)&gt;#REF!</formula>
    </cfRule>
  </conditionalFormatting>
  <conditionalFormatting sqref="Y46:Z67">
    <cfRule type="expression" dxfId="105" priority="6" stopIfTrue="1">
      <formula>#REF!&gt;#REF!</formula>
    </cfRule>
  </conditionalFormatting>
  <conditionalFormatting sqref="Y46:Y67 AA46:AA67">
    <cfRule type="expression" dxfId="104" priority="7" stopIfTrue="1">
      <formula>ABS(#REF!)&gt;#REF!</formula>
    </cfRule>
  </conditionalFormatting>
  <conditionalFormatting sqref="X99:Z108">
    <cfRule type="cellIs" dxfId="103" priority="5" stopIfTrue="1" operator="notBetween">
      <formula>-0.5</formula>
      <formula>0.5</formula>
    </cfRule>
  </conditionalFormatting>
  <conditionalFormatting sqref="AM99:AO108">
    <cfRule type="cellIs" dxfId="102" priority="4" stopIfTrue="1" operator="notBetween">
      <formula>-0.5</formula>
      <formula>0.5</formula>
    </cfRule>
  </conditionalFormatting>
  <conditionalFormatting sqref="G73:G84">
    <cfRule type="expression" dxfId="101" priority="3" stopIfTrue="1">
      <formula>ABS($G73)&gt;$H73</formula>
    </cfRule>
  </conditionalFormatting>
  <conditionalFormatting sqref="Q73:Q84">
    <cfRule type="expression" dxfId="100" priority="2" stopIfTrue="1">
      <formula>ABS($G73)&gt;$H73</formula>
    </cfRule>
  </conditionalFormatting>
  <conditionalFormatting sqref="Z73:Z84">
    <cfRule type="expression" dxfId="99" priority="1" stopIfTrue="1">
      <formula>ABS($G73)&gt;$H73</formula>
    </cfRule>
  </conditionalFormatting>
  <pageMargins left="0.75" right="0.75" top="1" bottom="1" header="0.5" footer="0.5"/>
  <drawing r:id="rId1"/>
  <legacyDrawing r:id="rId2"/>
</worksheet>
</file>

<file path=xl/worksheets/sheet26.xml><?xml version="1.0" encoding="utf-8"?>
<worksheet xmlns="http://schemas.openxmlformats.org/spreadsheetml/2006/main" xmlns:r="http://schemas.openxmlformats.org/officeDocument/2006/relationships">
  <dimension ref="A1:I70"/>
  <sheetViews>
    <sheetView topLeftCell="A46" zoomScaleNormal="100" zoomScaleSheetLayoutView="115" workbookViewId="0">
      <selection activeCell="E31" sqref="E31"/>
    </sheetView>
  </sheetViews>
  <sheetFormatPr defaultRowHeight="14.25"/>
  <cols>
    <col min="1" max="1" width="10.875" style="1620" customWidth="1"/>
    <col min="2" max="4" width="17.5" style="1620" customWidth="1"/>
    <col min="5" max="5" width="17.5" customWidth="1"/>
    <col min="6" max="6" width="15.375" style="1620" customWidth="1"/>
    <col min="7" max="7" width="18" style="1620" customWidth="1"/>
    <col min="8" max="8" width="13.125" style="1620" customWidth="1"/>
    <col min="9" max="9" width="22.625" style="1620" customWidth="1"/>
    <col min="10" max="16384" width="9" style="1620"/>
  </cols>
  <sheetData>
    <row r="1" spans="1:9">
      <c r="A1" s="1749" t="s">
        <v>4130</v>
      </c>
      <c r="B1" s="1749"/>
      <c r="C1" s="1749"/>
      <c r="D1" s="1749"/>
      <c r="E1" s="1615"/>
      <c r="F1" s="8"/>
      <c r="G1"/>
    </row>
    <row r="2" spans="1:9">
      <c r="A2" s="2535" t="s">
        <v>1929</v>
      </c>
      <c r="B2" s="2535" t="s">
        <v>1930</v>
      </c>
      <c r="C2" s="2535" t="s">
        <v>1932</v>
      </c>
      <c r="D2" s="2331"/>
      <c r="E2" s="1749" t="s">
        <v>4083</v>
      </c>
      <c r="F2" s="2331"/>
      <c r="G2" s="1749" t="s">
        <v>2140</v>
      </c>
      <c r="I2" s="1749" t="s">
        <v>4084</v>
      </c>
    </row>
    <row r="3" spans="1:9">
      <c r="A3" s="2331"/>
      <c r="B3" s="2331"/>
      <c r="C3" s="379" t="s">
        <v>2072</v>
      </c>
      <c r="D3" s="379" t="s">
        <v>1977</v>
      </c>
      <c r="E3" s="785" t="s">
        <v>2072</v>
      </c>
      <c r="F3" s="785" t="s">
        <v>1977</v>
      </c>
      <c r="G3" s="1749"/>
      <c r="I3" s="1749"/>
    </row>
    <row r="5" spans="1:9">
      <c r="A5" s="2535" t="s">
        <v>1929</v>
      </c>
      <c r="B5" s="2535" t="s">
        <v>1930</v>
      </c>
      <c r="C5" s="2535" t="s">
        <v>1932</v>
      </c>
      <c r="D5" s="2331"/>
      <c r="E5" s="1749" t="s">
        <v>4082</v>
      </c>
      <c r="F5" s="2331"/>
      <c r="G5" s="1749" t="s">
        <v>2140</v>
      </c>
      <c r="I5" s="1749" t="s">
        <v>4084</v>
      </c>
    </row>
    <row r="6" spans="1:9">
      <c r="A6" s="2331"/>
      <c r="B6" s="2331"/>
      <c r="C6" s="379" t="s">
        <v>2072</v>
      </c>
      <c r="D6" s="379" t="s">
        <v>1977</v>
      </c>
      <c r="E6" s="785" t="s">
        <v>2072</v>
      </c>
      <c r="F6" s="785" t="s">
        <v>1977</v>
      </c>
      <c r="G6" s="1749"/>
      <c r="I6" s="1749"/>
    </row>
    <row r="13" spans="1:9">
      <c r="A13" s="2543" t="str">
        <f xml:space="preserve">                                      [5]原始记录!A2&amp;[5]原始记录!C4&amp;[5]原始记录!E4&amp;[5]原始记录!F4&amp;[5]原始记录!I4</f>
        <v>证书编号：DC/数表-006-2016</v>
      </c>
      <c r="B13" s="2543"/>
      <c r="C13" s="2543"/>
      <c r="D13" s="1617"/>
      <c r="E13" s="1618"/>
      <c r="F13" s="1619"/>
    </row>
    <row r="14" spans="1:9">
      <c r="A14" s="1621"/>
      <c r="E14" s="1622"/>
      <c r="F14" s="1619"/>
    </row>
    <row r="15" spans="1:9" ht="18.75">
      <c r="A15" s="2539" t="s">
        <v>4061</v>
      </c>
      <c r="B15" s="2539"/>
      <c r="C15" s="2539"/>
      <c r="D15" s="2539"/>
      <c r="E15" s="2539"/>
      <c r="F15" s="1623"/>
    </row>
    <row r="16" spans="1:9">
      <c r="A16" s="1624" t="s">
        <v>4062</v>
      </c>
      <c r="B16" s="1625"/>
      <c r="C16" s="1625"/>
      <c r="D16" s="1625"/>
      <c r="E16" s="1626"/>
      <c r="F16" s="1619"/>
    </row>
    <row r="17" spans="1:8">
      <c r="A17" s="1624" t="s">
        <v>4063</v>
      </c>
      <c r="B17" s="1625"/>
      <c r="C17" s="1625"/>
      <c r="D17" s="1625"/>
      <c r="E17" s="1626"/>
      <c r="F17" s="1619"/>
    </row>
    <row r="18" spans="1:8">
      <c r="A18" s="2540" t="s">
        <v>4064</v>
      </c>
      <c r="B18" s="2541"/>
      <c r="C18" s="2541"/>
      <c r="D18" s="2541"/>
      <c r="E18" s="1626"/>
      <c r="F18" s="1619"/>
    </row>
    <row r="19" spans="1:8">
      <c r="A19" s="1749" t="s">
        <v>4065</v>
      </c>
      <c r="B19" s="1749" t="s">
        <v>4066</v>
      </c>
      <c r="C19" s="1749" t="s">
        <v>4067</v>
      </c>
      <c r="D19" s="1749"/>
      <c r="E19" s="2542" t="s">
        <v>4068</v>
      </c>
      <c r="F19" s="2538" t="s">
        <v>4069</v>
      </c>
      <c r="G19" s="2538"/>
      <c r="H19" s="2538" t="s">
        <v>4070</v>
      </c>
    </row>
    <row r="20" spans="1:8">
      <c r="A20" s="2234"/>
      <c r="B20" s="1749"/>
      <c r="C20" s="6" t="s">
        <v>4071</v>
      </c>
      <c r="D20" s="6" t="s">
        <v>4072</v>
      </c>
      <c r="E20" s="2542"/>
      <c r="F20" s="2538"/>
      <c r="G20" s="2538"/>
      <c r="H20" s="2234"/>
    </row>
    <row r="21" spans="1:8">
      <c r="A21" s="2234">
        <v>10</v>
      </c>
      <c r="B21" s="2">
        <v>10</v>
      </c>
      <c r="C21" s="2">
        <v>9.9999900000000004</v>
      </c>
      <c r="D21" s="2">
        <v>9.9999800000000008</v>
      </c>
      <c r="E21" s="2">
        <f ca="1">((H21/1.732)^2+((F21/1000000*ABS(C21)+G21)/2)^2)^0.5*2</f>
        <v>0.57736720676053543</v>
      </c>
      <c r="F21" s="2">
        <v>3.5</v>
      </c>
      <c r="G21" s="2">
        <v>2.5000000000000002E-6</v>
      </c>
      <c r="H21" s="2">
        <f ca="1">10^(-IF(CELL("format",C21)="G",0,VALUE(REPLACE(CELL("format",C21),1,1,))))/2</f>
        <v>0.5</v>
      </c>
    </row>
    <row r="22" spans="1:8">
      <c r="A22" s="2234"/>
      <c r="B22" s="2">
        <v>9</v>
      </c>
      <c r="C22" s="2">
        <v>8.9999900000000004</v>
      </c>
      <c r="D22" s="2" t="s">
        <v>76</v>
      </c>
      <c r="E22" s="2">
        <f t="shared" ref="E22:E42" ca="1" si="0">((H22/1.732)^2+((F22/1000000*ABS(C22)+G22)/2)^2)^0.5*2</f>
        <v>0.57736720654381912</v>
      </c>
      <c r="F22" s="2">
        <v>3.5</v>
      </c>
      <c r="G22" s="2">
        <v>2.5000000000000002E-6</v>
      </c>
      <c r="H22" s="2">
        <f t="shared" ref="H22:H42" ca="1" si="1">10^(-IF(CELL("format",C22)="G",0,VALUE(REPLACE(CELL("format",C22),1,1,))))/2</f>
        <v>0.5</v>
      </c>
    </row>
    <row r="23" spans="1:8">
      <c r="A23" s="2234"/>
      <c r="B23" s="2">
        <v>8</v>
      </c>
      <c r="C23" s="2">
        <v>7.9999900000000004</v>
      </c>
      <c r="D23" s="2" t="s">
        <v>76</v>
      </c>
      <c r="E23" s="2">
        <f t="shared" ca="1" si="0"/>
        <v>0.57736720634831984</v>
      </c>
      <c r="F23" s="2">
        <v>3.5</v>
      </c>
      <c r="G23" s="2">
        <v>2.5000000000000002E-6</v>
      </c>
      <c r="H23" s="2">
        <f t="shared" ca="1" si="1"/>
        <v>0.5</v>
      </c>
    </row>
    <row r="24" spans="1:8">
      <c r="A24" s="2234"/>
      <c r="B24" s="2">
        <v>7</v>
      </c>
      <c r="C24" s="2">
        <v>6.9999900000000004</v>
      </c>
      <c r="D24" s="2" t="s">
        <v>76</v>
      </c>
      <c r="E24" s="2">
        <f t="shared" ca="1" si="0"/>
        <v>0.57736720617403747</v>
      </c>
      <c r="F24" s="2">
        <v>3.5</v>
      </c>
      <c r="G24" s="2">
        <v>2.5000000000000002E-6</v>
      </c>
      <c r="H24" s="2">
        <f t="shared" ca="1" si="1"/>
        <v>0.5</v>
      </c>
    </row>
    <row r="25" spans="1:8">
      <c r="A25" s="2234"/>
      <c r="B25" s="2">
        <v>6</v>
      </c>
      <c r="C25" s="2">
        <v>5.9999900000000004</v>
      </c>
      <c r="D25" s="2" t="s">
        <v>76</v>
      </c>
      <c r="E25" s="2">
        <f t="shared" ca="1" si="0"/>
        <v>0.57736720602097225</v>
      </c>
      <c r="F25" s="2">
        <v>3.5</v>
      </c>
      <c r="G25" s="2">
        <v>2.5000000000000002E-6</v>
      </c>
      <c r="H25" s="2">
        <f t="shared" ca="1" si="1"/>
        <v>0.5</v>
      </c>
    </row>
    <row r="26" spans="1:8">
      <c r="A26" s="2234"/>
      <c r="B26" s="2">
        <v>5</v>
      </c>
      <c r="C26" s="2">
        <v>4.9999900000000004</v>
      </c>
      <c r="D26" s="2" t="s">
        <v>76</v>
      </c>
      <c r="E26" s="2">
        <f t="shared" ca="1" si="0"/>
        <v>0.57736720588912394</v>
      </c>
      <c r="F26" s="2">
        <v>3.5</v>
      </c>
      <c r="G26" s="2">
        <v>2.5000000000000002E-6</v>
      </c>
      <c r="H26" s="2">
        <f t="shared" ca="1" si="1"/>
        <v>0.5</v>
      </c>
    </row>
    <row r="27" spans="1:8">
      <c r="A27" s="2234"/>
      <c r="B27" s="2">
        <v>4</v>
      </c>
      <c r="C27" s="2">
        <v>3.9999899999999999</v>
      </c>
      <c r="D27" s="2" t="s">
        <v>76</v>
      </c>
      <c r="E27" s="2">
        <f t="shared" ca="1" si="0"/>
        <v>0.57736720577849265</v>
      </c>
      <c r="F27" s="2">
        <v>3.5</v>
      </c>
      <c r="G27" s="2">
        <v>2.5000000000000002E-6</v>
      </c>
      <c r="H27" s="2">
        <f t="shared" ca="1" si="1"/>
        <v>0.5</v>
      </c>
    </row>
    <row r="28" spans="1:8">
      <c r="A28" s="2234"/>
      <c r="B28" s="2">
        <v>3</v>
      </c>
      <c r="C28" s="2">
        <v>2.9999899999999999</v>
      </c>
      <c r="D28" s="2" t="s">
        <v>76</v>
      </c>
      <c r="E28" s="2">
        <f t="shared" ca="1" si="0"/>
        <v>0.5773672056890784</v>
      </c>
      <c r="F28" s="2">
        <v>3.5</v>
      </c>
      <c r="G28" s="2">
        <v>2.5000000000000002E-6</v>
      </c>
      <c r="H28" s="2">
        <f t="shared" ca="1" si="1"/>
        <v>0.5</v>
      </c>
    </row>
    <row r="29" spans="1:8">
      <c r="A29" s="2234"/>
      <c r="B29" s="2">
        <v>2</v>
      </c>
      <c r="C29" s="2">
        <v>2</v>
      </c>
      <c r="D29" s="2" t="s">
        <v>76</v>
      </c>
      <c r="E29" s="2">
        <f t="shared" ca="1" si="0"/>
        <v>0.57736720564187349</v>
      </c>
      <c r="F29" s="2">
        <v>5</v>
      </c>
      <c r="G29" s="2">
        <v>6.9999999999999997E-7</v>
      </c>
      <c r="H29" s="2">
        <f t="shared" ca="1" si="1"/>
        <v>0.5</v>
      </c>
    </row>
    <row r="30" spans="1:8">
      <c r="A30" s="2234"/>
      <c r="B30" s="2">
        <v>1</v>
      </c>
      <c r="C30" s="2">
        <v>0.99999899999999997</v>
      </c>
      <c r="D30" s="2" t="s">
        <v>76</v>
      </c>
      <c r="E30" s="2">
        <f ca="1">((H30/1.732)^2+((F30/1000000*ABS(C30)+G30)/2)^2)^0.5*2</f>
        <v>0.57736720557086141</v>
      </c>
      <c r="F30" s="2">
        <v>5</v>
      </c>
      <c r="G30" s="2">
        <v>6.9999999999999997E-7</v>
      </c>
      <c r="H30" s="2">
        <f t="shared" ca="1" si="1"/>
        <v>0.5</v>
      </c>
    </row>
    <row r="31" spans="1:8">
      <c r="A31" s="2234">
        <v>100</v>
      </c>
      <c r="B31" s="2">
        <v>100</v>
      </c>
      <c r="C31" s="2">
        <v>100.0016</v>
      </c>
      <c r="D31" s="2">
        <v>99.999799999999993</v>
      </c>
      <c r="E31" s="2">
        <f t="shared" ca="1" si="0"/>
        <v>0.57736835085049087</v>
      </c>
      <c r="F31" s="2">
        <v>7.5</v>
      </c>
      <c r="G31" s="2">
        <v>4.0000000000000002E-4</v>
      </c>
      <c r="H31" s="2">
        <f t="shared" ca="1" si="1"/>
        <v>0.5</v>
      </c>
    </row>
    <row r="32" spans="1:8">
      <c r="A32" s="2234"/>
      <c r="B32" s="2">
        <v>50</v>
      </c>
      <c r="C32" s="2">
        <v>50.000999999999998</v>
      </c>
      <c r="D32" s="2" t="s">
        <v>76</v>
      </c>
      <c r="E32" s="2">
        <f t="shared" ca="1" si="0"/>
        <v>0.57736772569380812</v>
      </c>
      <c r="F32" s="2">
        <v>7.5</v>
      </c>
      <c r="G32" s="2">
        <v>4.0000000000000002E-4</v>
      </c>
      <c r="H32" s="2">
        <f t="shared" ca="1" si="1"/>
        <v>0.5</v>
      </c>
    </row>
    <row r="33" spans="1:9">
      <c r="A33" s="2234"/>
      <c r="B33" s="2">
        <v>10</v>
      </c>
      <c r="C33" s="2">
        <v>9.9995999999999992</v>
      </c>
      <c r="D33" s="2" t="s">
        <v>76</v>
      </c>
      <c r="E33" s="2">
        <f t="shared" ca="1" si="0"/>
        <v>0.57736740093147398</v>
      </c>
      <c r="F33" s="2">
        <v>7.5</v>
      </c>
      <c r="G33" s="2">
        <v>4.0000000000000002E-4</v>
      </c>
      <c r="H33" s="2">
        <f t="shared" ca="1" si="1"/>
        <v>0.5</v>
      </c>
    </row>
    <row r="34" spans="1:9">
      <c r="A34" s="2234">
        <v>1</v>
      </c>
      <c r="B34" s="2">
        <v>1</v>
      </c>
      <c r="C34" s="2">
        <v>0.99999800000000005</v>
      </c>
      <c r="D34" s="2">
        <v>0.999996</v>
      </c>
      <c r="E34" s="2">
        <f t="shared" ca="1" si="0"/>
        <v>0.57736720557086141</v>
      </c>
      <c r="F34" s="2">
        <v>5</v>
      </c>
      <c r="G34" s="2">
        <v>6.9999999999999997E-7</v>
      </c>
      <c r="H34" s="2">
        <f t="shared" ca="1" si="1"/>
        <v>0.5</v>
      </c>
    </row>
    <row r="35" spans="1:9">
      <c r="A35" s="2234"/>
      <c r="B35" s="2">
        <v>0.5</v>
      </c>
      <c r="C35" s="2">
        <v>0.49999700000000002</v>
      </c>
      <c r="D35" s="2" t="s">
        <v>76</v>
      </c>
      <c r="E35" s="2">
        <f t="shared" ca="1" si="0"/>
        <v>0.57736720555159293</v>
      </c>
      <c r="F35" s="2">
        <v>5</v>
      </c>
      <c r="G35" s="2">
        <v>6.9999999999999997E-7</v>
      </c>
      <c r="H35" s="2">
        <f t="shared" ca="1" si="1"/>
        <v>0.5</v>
      </c>
    </row>
    <row r="36" spans="1:9">
      <c r="A36" s="2234"/>
      <c r="B36" s="2">
        <v>0.1</v>
      </c>
      <c r="C36" s="2">
        <v>0.1000017</v>
      </c>
      <c r="D36" s="2" t="s">
        <v>76</v>
      </c>
      <c r="E36" s="2">
        <f t="shared" ca="1" si="0"/>
        <v>0.57736734462280437</v>
      </c>
      <c r="F36" s="2">
        <v>7.5</v>
      </c>
      <c r="G36" s="2">
        <v>4.0000000000000002E-4</v>
      </c>
      <c r="H36" s="2">
        <f t="shared" ca="1" si="1"/>
        <v>0.5</v>
      </c>
    </row>
    <row r="37" spans="1:9">
      <c r="A37" s="2234">
        <v>100</v>
      </c>
      <c r="B37" s="2">
        <v>100</v>
      </c>
      <c r="C37" s="2">
        <v>99.995699999999999</v>
      </c>
      <c r="D37" s="2">
        <v>99.995400000000004</v>
      </c>
      <c r="E37" s="2">
        <f t="shared" ca="1" si="0"/>
        <v>0.57736745804816181</v>
      </c>
      <c r="F37" s="2">
        <v>5</v>
      </c>
      <c r="G37" s="2">
        <v>4.0000000000000003E-5</v>
      </c>
      <c r="H37" s="2">
        <f t="shared" ca="1" si="1"/>
        <v>0.5</v>
      </c>
    </row>
    <row r="38" spans="1:9">
      <c r="A38" s="2234"/>
      <c r="B38" s="2">
        <v>50</v>
      </c>
      <c r="C38" s="2">
        <v>49.997700000000002</v>
      </c>
      <c r="D38" s="2" t="s">
        <v>76</v>
      </c>
      <c r="E38" s="2">
        <f t="shared" ca="1" si="0"/>
        <v>0.57736727836754442</v>
      </c>
      <c r="F38" s="2">
        <v>5</v>
      </c>
      <c r="G38" s="2">
        <v>4.0000000000000003E-5</v>
      </c>
      <c r="H38" s="2">
        <f t="shared" ca="1" si="1"/>
        <v>0.5</v>
      </c>
    </row>
    <row r="39" spans="1:9">
      <c r="A39" s="2234"/>
      <c r="B39" s="2">
        <v>10</v>
      </c>
      <c r="C39" s="2">
        <v>9.9999800000000008</v>
      </c>
      <c r="D39" s="2" t="s">
        <v>76</v>
      </c>
      <c r="E39" s="2">
        <f t="shared" ca="1" si="0"/>
        <v>0.5773672067605331</v>
      </c>
      <c r="F39" s="2">
        <v>3.5</v>
      </c>
      <c r="G39" s="2">
        <v>2.5000000000000002E-6</v>
      </c>
      <c r="H39" s="2">
        <f t="shared" ca="1" si="1"/>
        <v>0.5</v>
      </c>
    </row>
    <row r="40" spans="1:9">
      <c r="A40" s="2234">
        <v>1000</v>
      </c>
      <c r="B40" s="2">
        <v>1000</v>
      </c>
      <c r="C40" s="2">
        <v>999.96299999999997</v>
      </c>
      <c r="D40" s="2">
        <v>999.96199999999999</v>
      </c>
      <c r="E40" s="2">
        <f t="shared" ca="1" si="0"/>
        <v>0.57740843145677501</v>
      </c>
      <c r="F40" s="2">
        <v>6.5</v>
      </c>
      <c r="G40" s="2">
        <v>4.0000000000000002E-4</v>
      </c>
      <c r="H40" s="2">
        <f t="shared" ca="1" si="1"/>
        <v>0.5</v>
      </c>
    </row>
    <row r="41" spans="1:9">
      <c r="A41" s="2234"/>
      <c r="B41" s="2">
        <v>500</v>
      </c>
      <c r="C41" s="2">
        <v>499.98</v>
      </c>
      <c r="D41" s="2" t="s">
        <v>76</v>
      </c>
      <c r="E41" s="2">
        <f t="shared" ca="1" si="0"/>
        <v>0.57737874189065219</v>
      </c>
      <c r="F41" s="2">
        <v>6.5</v>
      </c>
      <c r="G41" s="2">
        <v>4.0000000000000002E-4</v>
      </c>
      <c r="H41" s="2">
        <f t="shared" ca="1" si="1"/>
        <v>0.5</v>
      </c>
    </row>
    <row r="42" spans="1:9">
      <c r="A42" s="2234"/>
      <c r="B42" s="2">
        <v>100</v>
      </c>
      <c r="C42" s="2">
        <v>99.995699999999999</v>
      </c>
      <c r="D42" s="2" t="s">
        <v>76</v>
      </c>
      <c r="E42" s="2">
        <f t="shared" ca="1" si="0"/>
        <v>0.57736745804816181</v>
      </c>
      <c r="F42" s="2">
        <v>5</v>
      </c>
      <c r="G42" s="2">
        <v>4.0000000000000003E-5</v>
      </c>
      <c r="H42" s="2">
        <f t="shared" ca="1" si="1"/>
        <v>0.5</v>
      </c>
    </row>
    <row r="45" spans="1:9">
      <c r="A45" s="2536" t="s">
        <v>4073</v>
      </c>
      <c r="B45" s="2537"/>
      <c r="C45" s="2537"/>
      <c r="D45" s="2537"/>
      <c r="E45" s="2537"/>
      <c r="F45" s="2537"/>
      <c r="G45"/>
      <c r="H45"/>
      <c r="I45"/>
    </row>
    <row r="46" spans="1:9">
      <c r="A46" s="1749" t="s">
        <v>604</v>
      </c>
      <c r="B46" s="1749" t="s">
        <v>3530</v>
      </c>
      <c r="C46" s="1749" t="s">
        <v>3651</v>
      </c>
      <c r="D46" s="1749"/>
      <c r="E46" t="s">
        <v>4074</v>
      </c>
      <c r="F46"/>
      <c r="G46" t="s">
        <v>4075</v>
      </c>
      <c r="H46" t="s">
        <v>4076</v>
      </c>
      <c r="I46" t="s">
        <v>4077</v>
      </c>
    </row>
    <row r="47" spans="1:9">
      <c r="A47" s="1749"/>
      <c r="B47" s="1749"/>
      <c r="C47" t="s">
        <v>509</v>
      </c>
      <c r="D47" t="s">
        <v>84</v>
      </c>
      <c r="E47" t="s">
        <v>509</v>
      </c>
      <c r="F47" t="s">
        <v>84</v>
      </c>
      <c r="G47" t="s">
        <v>4078</v>
      </c>
      <c r="H47" t="s">
        <v>4079</v>
      </c>
      <c r="I47" t="s">
        <v>4080</v>
      </c>
    </row>
    <row r="48" spans="1:9">
      <c r="A48" s="1749">
        <v>10</v>
      </c>
      <c r="B48">
        <v>10</v>
      </c>
      <c r="C48">
        <v>10</v>
      </c>
      <c r="D48">
        <v>10.000019999999999</v>
      </c>
      <c r="E48">
        <v>0</v>
      </c>
      <c r="F48">
        <v>-1.9999999999242846E-5</v>
      </c>
      <c r="G48">
        <v>35</v>
      </c>
      <c r="H48">
        <v>5</v>
      </c>
      <c r="I48">
        <v>4.0000000000000002E-4</v>
      </c>
    </row>
    <row r="49" spans="1:9">
      <c r="A49" s="1749"/>
      <c r="B49">
        <v>9</v>
      </c>
      <c r="C49">
        <v>9</v>
      </c>
      <c r="D49" t="s">
        <v>76</v>
      </c>
      <c r="E49">
        <v>0</v>
      </c>
      <c r="F49" t="s">
        <v>76</v>
      </c>
      <c r="G49" s="1631"/>
      <c r="H49" s="1631"/>
      <c r="I49">
        <v>3.6499999999999998E-4</v>
      </c>
    </row>
    <row r="50" spans="1:9">
      <c r="A50" s="1749"/>
      <c r="B50">
        <v>8</v>
      </c>
      <c r="C50">
        <v>8</v>
      </c>
      <c r="D50" t="s">
        <v>76</v>
      </c>
      <c r="E50">
        <v>0</v>
      </c>
      <c r="F50" t="s">
        <v>76</v>
      </c>
      <c r="G50" s="1631"/>
      <c r="H50" s="1631"/>
      <c r="I50">
        <v>3.3E-4</v>
      </c>
    </row>
    <row r="51" spans="1:9">
      <c r="A51" s="1749"/>
      <c r="B51">
        <v>7</v>
      </c>
      <c r="C51">
        <v>7</v>
      </c>
      <c r="D51" t="s">
        <v>76</v>
      </c>
      <c r="E51">
        <v>0</v>
      </c>
      <c r="F51" t="s">
        <v>76</v>
      </c>
      <c r="G51" s="1631"/>
      <c r="H51" s="1631"/>
      <c r="I51">
        <v>2.9500000000000001E-4</v>
      </c>
    </row>
    <row r="52" spans="1:9">
      <c r="A52" s="1749"/>
      <c r="B52">
        <v>6</v>
      </c>
      <c r="C52">
        <v>6</v>
      </c>
      <c r="D52" t="s">
        <v>76</v>
      </c>
      <c r="E52">
        <v>0</v>
      </c>
      <c r="F52" t="s">
        <v>76</v>
      </c>
      <c r="G52" s="1631"/>
      <c r="H52" s="1631"/>
      <c r="I52">
        <v>2.5999999999999998E-4</v>
      </c>
    </row>
    <row r="53" spans="1:9">
      <c r="A53" s="1749"/>
      <c r="B53">
        <v>5</v>
      </c>
      <c r="C53">
        <v>5</v>
      </c>
      <c r="D53" t="s">
        <v>76</v>
      </c>
      <c r="E53">
        <v>0</v>
      </c>
      <c r="F53" t="s">
        <v>76</v>
      </c>
      <c r="G53" s="1631"/>
      <c r="H53" s="1631"/>
      <c r="I53">
        <v>2.2499999999999999E-4</v>
      </c>
    </row>
    <row r="54" spans="1:9">
      <c r="A54" s="1749"/>
      <c r="B54">
        <v>4</v>
      </c>
      <c r="C54">
        <v>4</v>
      </c>
      <c r="D54" t="s">
        <v>76</v>
      </c>
      <c r="E54">
        <v>0</v>
      </c>
      <c r="F54" t="s">
        <v>76</v>
      </c>
      <c r="G54" s="1631"/>
      <c r="H54" s="1631"/>
      <c r="I54">
        <v>1.9000000000000001E-4</v>
      </c>
    </row>
    <row r="55" spans="1:9">
      <c r="A55" s="1749"/>
      <c r="B55">
        <v>3</v>
      </c>
      <c r="C55">
        <v>3</v>
      </c>
      <c r="D55" t="s">
        <v>76</v>
      </c>
      <c r="E55">
        <v>0</v>
      </c>
      <c r="F55" t="s">
        <v>76</v>
      </c>
      <c r="G55" s="1631"/>
      <c r="H55" s="1631"/>
      <c r="I55">
        <v>1.55E-4</v>
      </c>
    </row>
    <row r="56" spans="1:9">
      <c r="A56" s="1749"/>
      <c r="B56">
        <v>2</v>
      </c>
      <c r="C56">
        <v>2</v>
      </c>
      <c r="D56" t="s">
        <v>76</v>
      </c>
      <c r="E56">
        <v>0</v>
      </c>
      <c r="F56" t="s">
        <v>76</v>
      </c>
      <c r="G56" s="1631"/>
      <c r="H56" s="1631"/>
      <c r="I56">
        <v>1.2E-4</v>
      </c>
    </row>
    <row r="57" spans="1:9">
      <c r="A57" s="1749"/>
      <c r="B57">
        <v>1</v>
      </c>
      <c r="C57">
        <v>1.000003</v>
      </c>
      <c r="D57" t="s">
        <v>76</v>
      </c>
      <c r="E57">
        <v>2.9999999999752447E-6</v>
      </c>
      <c r="F57" t="s">
        <v>76</v>
      </c>
      <c r="G57" s="1631"/>
      <c r="H57" s="1631"/>
      <c r="I57">
        <v>8.5000000000000006E-5</v>
      </c>
    </row>
    <row r="58" spans="1:9">
      <c r="A58" s="1749">
        <v>100</v>
      </c>
      <c r="B58">
        <v>100</v>
      </c>
      <c r="C58">
        <v>99.997</v>
      </c>
      <c r="D58">
        <v>100.0005</v>
      </c>
      <c r="E58">
        <v>-3.0000000000001137E-3</v>
      </c>
      <c r="F58">
        <v>-5.0000000000238742E-4</v>
      </c>
      <c r="G58">
        <v>50</v>
      </c>
      <c r="H58">
        <v>35</v>
      </c>
      <c r="I58">
        <v>8.5000000000000006E-3</v>
      </c>
    </row>
    <row r="59" spans="1:9">
      <c r="A59" s="1749"/>
      <c r="B59">
        <v>50</v>
      </c>
      <c r="C59">
        <v>49.998100000000001</v>
      </c>
      <c r="D59" t="s">
        <v>76</v>
      </c>
      <c r="E59">
        <v>-1.8999999999991246E-3</v>
      </c>
      <c r="F59" t="s">
        <v>76</v>
      </c>
      <c r="G59" s="1631"/>
      <c r="H59" s="1631"/>
      <c r="I59">
        <v>6.0000000000000001E-3</v>
      </c>
    </row>
    <row r="60" spans="1:9">
      <c r="A60" s="1749"/>
      <c r="B60">
        <v>10</v>
      </c>
      <c r="C60">
        <v>9.9985999999999997</v>
      </c>
      <c r="D60" t="s">
        <v>76</v>
      </c>
      <c r="E60">
        <v>-1.4000000000002899E-3</v>
      </c>
      <c r="F60" t="s">
        <v>76</v>
      </c>
      <c r="G60" s="1631"/>
      <c r="H60" s="1631"/>
      <c r="I60">
        <v>4.0000000000000001E-3</v>
      </c>
    </row>
    <row r="61" spans="1:9">
      <c r="A61" s="1749">
        <v>1</v>
      </c>
      <c r="B61">
        <v>1</v>
      </c>
      <c r="C61">
        <v>0.99999899999999997</v>
      </c>
      <c r="D61">
        <v>1.000005</v>
      </c>
      <c r="E61">
        <v>-1.0000000000287557E-6</v>
      </c>
      <c r="F61">
        <v>-5.000000000032756E-6</v>
      </c>
      <c r="G61">
        <v>40</v>
      </c>
      <c r="H61">
        <v>7</v>
      </c>
      <c r="I61">
        <v>4.6999999999999997E-5</v>
      </c>
    </row>
    <row r="62" spans="1:9">
      <c r="A62" s="1749"/>
      <c r="B62">
        <v>0.5</v>
      </c>
      <c r="C62">
        <v>0.49999900000000003</v>
      </c>
      <c r="D62" t="s">
        <v>76</v>
      </c>
      <c r="E62">
        <v>-9.9999999997324451E-7</v>
      </c>
      <c r="F62" t="s">
        <v>76</v>
      </c>
      <c r="G62" s="1631"/>
      <c r="H62" s="1631"/>
      <c r="I62">
        <v>2.6999999999999999E-5</v>
      </c>
    </row>
    <row r="63" spans="1:9">
      <c r="A63" s="1749"/>
      <c r="B63">
        <v>0.1</v>
      </c>
      <c r="C63">
        <v>9.9997500000000003E-2</v>
      </c>
      <c r="D63" t="s">
        <v>76</v>
      </c>
      <c r="E63">
        <v>-2.5000000000025002E-6</v>
      </c>
      <c r="F63" t="s">
        <v>76</v>
      </c>
      <c r="G63" s="1631"/>
      <c r="H63" s="1631"/>
      <c r="I63">
        <v>1.1E-5</v>
      </c>
    </row>
    <row r="64" spans="1:9">
      <c r="A64" s="1749">
        <v>100</v>
      </c>
      <c r="B64">
        <v>100</v>
      </c>
      <c r="C64">
        <v>100</v>
      </c>
      <c r="D64">
        <v>100.00020000000001</v>
      </c>
      <c r="E64">
        <v>0</v>
      </c>
      <c r="F64">
        <v>-2.0000000000663931E-4</v>
      </c>
      <c r="G64">
        <v>45</v>
      </c>
      <c r="H64">
        <v>6</v>
      </c>
      <c r="I64">
        <v>5.1000000000000004E-3</v>
      </c>
    </row>
    <row r="65" spans="1:9">
      <c r="A65" s="1749"/>
      <c r="B65">
        <v>50</v>
      </c>
      <c r="C65">
        <v>50</v>
      </c>
      <c r="D65" t="s">
        <v>76</v>
      </c>
      <c r="E65">
        <v>0</v>
      </c>
      <c r="F65" t="s">
        <v>76</v>
      </c>
      <c r="G65" s="1631"/>
      <c r="H65" s="1631"/>
      <c r="I65">
        <v>2.8500000000000001E-3</v>
      </c>
    </row>
    <row r="66" spans="1:9">
      <c r="A66" s="1749"/>
      <c r="B66">
        <v>10</v>
      </c>
      <c r="C66">
        <v>10</v>
      </c>
      <c r="D66" t="s">
        <v>76</v>
      </c>
      <c r="E66">
        <v>0</v>
      </c>
      <c r="F66" t="s">
        <v>76</v>
      </c>
      <c r="G66" s="1631"/>
      <c r="H66" s="1631"/>
      <c r="I66">
        <v>1.0499999999999999E-3</v>
      </c>
    </row>
    <row r="67" spans="1:9">
      <c r="A67" s="1749">
        <v>1000</v>
      </c>
      <c r="B67">
        <v>1000</v>
      </c>
      <c r="C67">
        <v>999.99900000000002</v>
      </c>
      <c r="D67">
        <v>1000.002</v>
      </c>
      <c r="E67">
        <v>-9.9999999997635314E-4</v>
      </c>
      <c r="F67">
        <v>-1.9999999999527063E-3</v>
      </c>
      <c r="G67">
        <v>45</v>
      </c>
      <c r="H67">
        <v>10</v>
      </c>
      <c r="I67">
        <v>5.5E-2</v>
      </c>
    </row>
    <row r="68" spans="1:9">
      <c r="A68" s="1749"/>
      <c r="B68">
        <v>500</v>
      </c>
      <c r="C68">
        <v>500</v>
      </c>
      <c r="D68" t="s">
        <v>76</v>
      </c>
      <c r="E68">
        <v>0</v>
      </c>
      <c r="F68" t="s">
        <v>76</v>
      </c>
      <c r="G68" s="1631"/>
      <c r="H68" s="1631"/>
      <c r="I68">
        <v>3.2500000000000001E-2</v>
      </c>
    </row>
    <row r="69" spans="1:9">
      <c r="A69" s="1749"/>
      <c r="B69">
        <v>100</v>
      </c>
      <c r="C69">
        <v>100</v>
      </c>
      <c r="D69" t="s">
        <v>76</v>
      </c>
      <c r="E69">
        <v>0</v>
      </c>
      <c r="F69" t="s">
        <v>76</v>
      </c>
      <c r="G69" s="1631"/>
      <c r="H69" s="1631"/>
      <c r="I69">
        <v>1.4500000000000001E-2</v>
      </c>
    </row>
    <row r="70" spans="1:9">
      <c r="A70" s="2" t="s">
        <v>4081</v>
      </c>
      <c r="B70" s="2"/>
      <c r="C70" s="2"/>
      <c r="D70" s="2"/>
      <c r="E70" s="2"/>
      <c r="F70" s="2"/>
      <c r="G70" s="2"/>
      <c r="H70" s="2"/>
      <c r="I70" s="2"/>
    </row>
  </sheetData>
  <mergeCells count="36">
    <mergeCell ref="A13:C13"/>
    <mergeCell ref="I2:I3"/>
    <mergeCell ref="I5:I6"/>
    <mergeCell ref="G2:G3"/>
    <mergeCell ref="A5:A6"/>
    <mergeCell ref="B5:B6"/>
    <mergeCell ref="C5:D5"/>
    <mergeCell ref="E5:F5"/>
    <mergeCell ref="G5:G6"/>
    <mergeCell ref="A1:D1"/>
    <mergeCell ref="A2:A3"/>
    <mergeCell ref="B2:B3"/>
    <mergeCell ref="C2:D2"/>
    <mergeCell ref="E2:F2"/>
    <mergeCell ref="A15:E15"/>
    <mergeCell ref="A18:D18"/>
    <mergeCell ref="A19:A20"/>
    <mergeCell ref="B19:B20"/>
    <mergeCell ref="C19:D19"/>
    <mergeCell ref="E19:E20"/>
    <mergeCell ref="A45:F45"/>
    <mergeCell ref="A40:A42"/>
    <mergeCell ref="F19:G20"/>
    <mergeCell ref="H19:H20"/>
    <mergeCell ref="A21:A30"/>
    <mergeCell ref="A31:A33"/>
    <mergeCell ref="A34:A36"/>
    <mergeCell ref="A37:A39"/>
    <mergeCell ref="A67:A69"/>
    <mergeCell ref="A58:A60"/>
    <mergeCell ref="C46:D46"/>
    <mergeCell ref="A61:A63"/>
    <mergeCell ref="A64:A66"/>
    <mergeCell ref="A46:A47"/>
    <mergeCell ref="A48:A57"/>
    <mergeCell ref="B46:B47"/>
  </mergeCells>
  <phoneticPr fontId="210" type="noConversion"/>
  <conditionalFormatting sqref="B21:C42">
    <cfRule type="expression" dxfId="98" priority="1" stopIfTrue="1">
      <formula>#REF!&gt;#REF!</formula>
    </cfRule>
  </conditionalFormatting>
  <conditionalFormatting sqref="B21:B42 D21:D42">
    <cfRule type="expression" dxfId="97" priority="2" stopIfTrue="1">
      <formula>ABS(#REF!)&gt;#REF!</formula>
    </cfRule>
  </conditionalFormatting>
  <pageMargins left="0.86614173228346458" right="0.47244094488188981" top="0.47244094488188981" bottom="0.98425196850393704" header="0.51181102362204722" footer="0.51181102362204722"/>
  <pageSetup paperSize="9" orientation="portrait" r:id="rId1"/>
  <headerFooter alignWithMargins="0">
    <oddHeader xml:space="preserve">&amp;L&amp;8                                                                                              第&amp;P页     共&amp;N页      </oddHeader>
  </headerFooter>
  <legacyDrawing r:id="rId2"/>
</worksheet>
</file>

<file path=xl/worksheets/sheet27.xml><?xml version="1.0" encoding="utf-8"?>
<worksheet xmlns="http://schemas.openxmlformats.org/spreadsheetml/2006/main" xmlns:r="http://schemas.openxmlformats.org/officeDocument/2006/relationships">
  <dimension ref="A1:K210"/>
  <sheetViews>
    <sheetView view="pageBreakPreview" zoomScaleNormal="100" zoomScaleSheetLayoutView="100" workbookViewId="0">
      <selection activeCell="E5" sqref="E5:H5"/>
    </sheetView>
  </sheetViews>
  <sheetFormatPr defaultRowHeight="14.25"/>
  <cols>
    <col min="1" max="1" width="7.5" style="1631" customWidth="1"/>
    <col min="2" max="2" width="4.5" style="1631" customWidth="1"/>
    <col min="3" max="3" width="12.75" style="1631" customWidth="1"/>
    <col min="4" max="4" width="4.625" style="1631" customWidth="1"/>
    <col min="5" max="5" width="12.5" style="1631" customWidth="1"/>
    <col min="6" max="6" width="4" style="1631" customWidth="1"/>
    <col min="7" max="7" width="11.5" style="1631" customWidth="1"/>
    <col min="8" max="8" width="6" style="1631" customWidth="1"/>
    <col min="9" max="9" width="8.375" style="1631" customWidth="1"/>
    <col min="10" max="10" width="9.625" style="1631" customWidth="1"/>
    <col min="11" max="11" width="17" style="1631" customWidth="1"/>
    <col min="12" max="16384" width="9" style="1631"/>
  </cols>
  <sheetData>
    <row r="1" spans="1:11" ht="14.25" customHeight="1">
      <c r="A1" s="1749" t="s">
        <v>4085</v>
      </c>
      <c r="B1" s="1749"/>
      <c r="C1" s="1749"/>
      <c r="D1" s="1749"/>
      <c r="E1" s="1749"/>
      <c r="F1" s="1749"/>
      <c r="G1" s="1632"/>
      <c r="H1" s="1632"/>
      <c r="I1" s="1632"/>
      <c r="J1" s="1632"/>
      <c r="K1" s="1632"/>
    </row>
    <row r="2" spans="1:11">
      <c r="A2"/>
    </row>
    <row r="3" spans="1:11" ht="30" customHeight="1">
      <c r="A3" s="1749" t="s">
        <v>4086</v>
      </c>
      <c r="B3" s="1749"/>
      <c r="C3" s="1749"/>
      <c r="D3" s="1749"/>
      <c r="E3" s="1749"/>
      <c r="F3" s="1749"/>
      <c r="G3" s="1749"/>
      <c r="H3" s="1749"/>
      <c r="I3" s="1749"/>
      <c r="J3" s="1749"/>
    </row>
    <row r="4" spans="1:11" ht="20.100000000000001" customHeight="1">
      <c r="A4" t="s">
        <v>4087</v>
      </c>
      <c r="B4" s="1635"/>
      <c r="C4" s="1635"/>
      <c r="D4" s="1635"/>
      <c r="E4" s="1635"/>
      <c r="F4" s="1635"/>
      <c r="G4" s="1635"/>
      <c r="H4" s="1635"/>
      <c r="I4" s="1635"/>
      <c r="J4" s="1749"/>
      <c r="K4" s="1749"/>
    </row>
    <row r="5" spans="1:11" ht="17.100000000000001" customHeight="1">
      <c r="A5" s="1749" t="s">
        <v>4088</v>
      </c>
      <c r="B5" s="1749"/>
      <c r="C5" s="1749" t="s">
        <v>4089</v>
      </c>
      <c r="D5" s="1749"/>
      <c r="E5" s="1749" t="s">
        <v>4090</v>
      </c>
      <c r="F5" s="1749"/>
      <c r="G5" s="1749"/>
      <c r="H5" s="1749"/>
      <c r="I5" s="1749" t="s">
        <v>4091</v>
      </c>
      <c r="J5" s="1749"/>
      <c r="K5" s="1749" t="s">
        <v>4092</v>
      </c>
    </row>
    <row r="6" spans="1:11" ht="21.75" customHeight="1">
      <c r="A6" s="1749"/>
      <c r="B6" s="1749"/>
      <c r="C6" s="1749"/>
      <c r="D6" s="1749"/>
      <c r="E6" s="1749" t="s">
        <v>4093</v>
      </c>
      <c r="F6" s="1749"/>
      <c r="G6" s="1749" t="s">
        <v>4094</v>
      </c>
      <c r="H6" s="1749"/>
      <c r="I6" s="1749"/>
      <c r="J6" s="1749"/>
      <c r="K6" s="1749"/>
    </row>
    <row r="7" spans="1:11" ht="17.100000000000001" customHeight="1">
      <c r="A7" s="1749">
        <v>10</v>
      </c>
      <c r="B7" s="1749" t="s">
        <v>4095</v>
      </c>
      <c r="C7">
        <v>10</v>
      </c>
      <c r="D7" t="str">
        <f t="shared" ref="D7:D16" si="0">B$7</f>
        <v>V</v>
      </c>
      <c r="E7">
        <v>9.99</v>
      </c>
      <c r="F7" t="str">
        <f t="shared" ref="F7:F16" si="1">B$7</f>
        <v>V</v>
      </c>
      <c r="G7">
        <v>9.9939999999999998</v>
      </c>
      <c r="H7" t="str">
        <f>B$7</f>
        <v>V</v>
      </c>
      <c r="I7" s="1749">
        <f>IF(G7="/",(E7-C7)/10*100,IF(ABS(E7-C7)&gt;ABS(G7-C7),(E7-C7)/10*100,(G7-C7)/10*100))</f>
        <v>-9.9999999999997882E-2</v>
      </c>
      <c r="J7" s="1749"/>
      <c r="K7" s="1749">
        <f>2*(0.00000005^2+0.000003^2+0.000029^2)^0.5</f>
        <v>5.8309604697682525E-5</v>
      </c>
    </row>
    <row r="8" spans="1:11" ht="17.100000000000001" customHeight="1">
      <c r="A8" s="1749"/>
      <c r="B8" s="1749"/>
      <c r="C8">
        <v>9</v>
      </c>
      <c r="D8" t="str">
        <f t="shared" si="0"/>
        <v>V</v>
      </c>
      <c r="E8">
        <v>8.9909999999999997</v>
      </c>
      <c r="F8" t="str">
        <f t="shared" si="1"/>
        <v>V</v>
      </c>
      <c r="G8">
        <v>8.9949999999999992</v>
      </c>
      <c r="H8" t="str">
        <f t="shared" ref="H8:H16" si="2">B$7</f>
        <v>V</v>
      </c>
      <c r="I8" s="1749">
        <f>IF(G8="/",(E8-C8)/10*100,IF(ABS(E8-C8)&gt;ABS(G8-C8),(E8-C8)/10*100,(G8-C8)/10*100))</f>
        <v>-9.0000000000003411E-2</v>
      </c>
      <c r="J8" s="1749"/>
      <c r="K8" s="1749"/>
    </row>
    <row r="9" spans="1:11" ht="17.100000000000001" customHeight="1">
      <c r="A9" s="1749"/>
      <c r="B9" s="1749"/>
      <c r="C9">
        <v>8</v>
      </c>
      <c r="D9" t="str">
        <f t="shared" si="0"/>
        <v>V</v>
      </c>
      <c r="E9">
        <v>7.9909999999999997</v>
      </c>
      <c r="F9" t="str">
        <f t="shared" si="1"/>
        <v>V</v>
      </c>
      <c r="G9">
        <v>7.9950000000000001</v>
      </c>
      <c r="H9" t="str">
        <f t="shared" si="2"/>
        <v>V</v>
      </c>
      <c r="I9" s="1749">
        <f t="shared" ref="I9:I16" si="3">IF(G9="/",(E9-C9)/10*100,IF(ABS(E9-C9)&gt;ABS(G9-C9),(E9-C9)/10*100,(G9-C9)/10*100))</f>
        <v>-9.0000000000003411E-2</v>
      </c>
      <c r="J9" s="1749"/>
      <c r="K9" s="1749"/>
    </row>
    <row r="10" spans="1:11" ht="17.100000000000001" customHeight="1">
      <c r="A10" s="1749"/>
      <c r="B10" s="1749"/>
      <c r="C10">
        <v>7</v>
      </c>
      <c r="D10" t="str">
        <f t="shared" si="0"/>
        <v>V</v>
      </c>
      <c r="E10">
        <v>6.992</v>
      </c>
      <c r="F10" t="str">
        <f t="shared" si="1"/>
        <v>V</v>
      </c>
      <c r="G10">
        <v>6.9960000000000004</v>
      </c>
      <c r="H10" t="str">
        <f t="shared" si="2"/>
        <v>V</v>
      </c>
      <c r="I10" s="1749">
        <f t="shared" si="3"/>
        <v>-8.0000000000000071E-2</v>
      </c>
      <c r="J10" s="1749"/>
      <c r="K10" s="1749"/>
    </row>
    <row r="11" spans="1:11" ht="17.100000000000001" customHeight="1">
      <c r="A11" s="1749"/>
      <c r="B11" s="1749"/>
      <c r="C11">
        <v>6</v>
      </c>
      <c r="D11" t="str">
        <f t="shared" si="0"/>
        <v>V</v>
      </c>
      <c r="E11">
        <v>5.992</v>
      </c>
      <c r="F11" t="str">
        <f t="shared" si="1"/>
        <v>V</v>
      </c>
      <c r="G11">
        <v>5.9950000000000001</v>
      </c>
      <c r="H11" t="str">
        <f t="shared" si="2"/>
        <v>V</v>
      </c>
      <c r="I11" s="1749">
        <f t="shared" si="3"/>
        <v>-8.0000000000000071E-2</v>
      </c>
      <c r="J11" s="1749"/>
      <c r="K11" s="1749"/>
    </row>
    <row r="12" spans="1:11" ht="17.100000000000001" customHeight="1">
      <c r="A12" s="1749"/>
      <c r="B12" s="1749"/>
      <c r="C12">
        <v>5</v>
      </c>
      <c r="D12" t="str">
        <f t="shared" si="0"/>
        <v>V</v>
      </c>
      <c r="E12">
        <v>4.9930000000000003</v>
      </c>
      <c r="F12" t="str">
        <f t="shared" si="1"/>
        <v>V</v>
      </c>
      <c r="G12">
        <v>4.9960000000000004</v>
      </c>
      <c r="H12" t="str">
        <f t="shared" si="2"/>
        <v>V</v>
      </c>
      <c r="I12" s="1749">
        <f t="shared" si="3"/>
        <v>-6.9999999999996732E-2</v>
      </c>
      <c r="J12" s="1749"/>
      <c r="K12" s="1749"/>
    </row>
    <row r="13" spans="1:11" ht="17.100000000000001" customHeight="1">
      <c r="A13" s="1749"/>
      <c r="B13" s="1749"/>
      <c r="C13">
        <v>4</v>
      </c>
      <c r="D13" t="str">
        <f t="shared" si="0"/>
        <v>V</v>
      </c>
      <c r="E13">
        <v>3.9940000000000002</v>
      </c>
      <c r="F13" t="str">
        <f t="shared" si="1"/>
        <v>V</v>
      </c>
      <c r="G13">
        <v>3.9990000000000001</v>
      </c>
      <c r="H13" t="str">
        <f t="shared" si="2"/>
        <v>V</v>
      </c>
      <c r="I13" s="1749">
        <f t="shared" si="3"/>
        <v>-5.999999999999784E-2</v>
      </c>
      <c r="J13" s="1749"/>
      <c r="K13" s="1749"/>
    </row>
    <row r="14" spans="1:11" ht="17.100000000000001" customHeight="1">
      <c r="A14" s="1749"/>
      <c r="B14" s="1749"/>
      <c r="C14">
        <v>3</v>
      </c>
      <c r="D14" t="str">
        <f t="shared" si="0"/>
        <v>V</v>
      </c>
      <c r="E14">
        <v>2.9969999999999999</v>
      </c>
      <c r="F14" t="str">
        <f t="shared" si="1"/>
        <v>V</v>
      </c>
      <c r="G14">
        <v>2.9969999999999999</v>
      </c>
      <c r="H14" t="str">
        <f t="shared" si="2"/>
        <v>V</v>
      </c>
      <c r="I14" s="1749">
        <f t="shared" si="3"/>
        <v>-3.0000000000001137E-2</v>
      </c>
      <c r="J14" s="1749"/>
      <c r="K14" s="1749"/>
    </row>
    <row r="15" spans="1:11" ht="17.100000000000001" customHeight="1">
      <c r="A15" s="1749"/>
      <c r="B15" s="1749"/>
      <c r="C15">
        <v>2</v>
      </c>
      <c r="D15" t="str">
        <f t="shared" si="0"/>
        <v>V</v>
      </c>
      <c r="E15">
        <v>1.9970000000000001</v>
      </c>
      <c r="F15" t="s">
        <v>4095</v>
      </c>
      <c r="G15">
        <v>1.9990000000000001</v>
      </c>
      <c r="H15" t="str">
        <f t="shared" si="2"/>
        <v>V</v>
      </c>
      <c r="I15" s="1749">
        <f t="shared" si="3"/>
        <v>-2.999999999999892E-2</v>
      </c>
      <c r="J15" s="1749"/>
      <c r="K15" s="1749"/>
    </row>
    <row r="16" spans="1:11" ht="17.100000000000001" customHeight="1">
      <c r="A16" s="1749"/>
      <c r="B16" s="1749"/>
      <c r="C16">
        <v>1</v>
      </c>
      <c r="D16" t="str">
        <f t="shared" si="0"/>
        <v>V</v>
      </c>
      <c r="E16">
        <v>0.997</v>
      </c>
      <c r="F16" t="str">
        <f t="shared" si="1"/>
        <v>V</v>
      </c>
      <c r="G16">
        <v>1.0009999999999999</v>
      </c>
      <c r="H16" t="str">
        <f t="shared" si="2"/>
        <v>V</v>
      </c>
      <c r="I16" s="1749">
        <f t="shared" si="3"/>
        <v>-3.0000000000000023E-2</v>
      </c>
      <c r="J16" s="1749"/>
      <c r="K16" s="1749"/>
    </row>
    <row r="17" spans="1:11" ht="17.100000000000001" hidden="1" customHeight="1">
      <c r="A17" s="1749" t="s">
        <v>4096</v>
      </c>
      <c r="B17" s="1749"/>
      <c r="C17" s="1749" t="s">
        <v>4089</v>
      </c>
      <c r="D17" s="1749"/>
      <c r="E17" s="1749" t="s">
        <v>4097</v>
      </c>
      <c r="F17" s="1749"/>
      <c r="G17" s="1749"/>
      <c r="H17" s="1749"/>
      <c r="I17" s="1749" t="s">
        <v>4091</v>
      </c>
      <c r="J17" s="1749"/>
    </row>
    <row r="18" spans="1:11" ht="17.100000000000001" hidden="1" customHeight="1">
      <c r="A18" s="1749"/>
      <c r="B18" s="1749"/>
      <c r="C18" s="1749"/>
      <c r="D18" s="1749"/>
      <c r="E18" s="1749" t="s">
        <v>4093</v>
      </c>
      <c r="F18" s="1749"/>
      <c r="G18" s="1749" t="s">
        <v>4094</v>
      </c>
      <c r="H18" s="1749"/>
      <c r="I18" s="1749"/>
      <c r="J18" s="1749"/>
    </row>
    <row r="19" spans="1:11" ht="17.100000000000001" hidden="1" customHeight="1">
      <c r="A19" s="1749">
        <v>10</v>
      </c>
      <c r="B19" s="1749" t="s">
        <v>4098</v>
      </c>
      <c r="C19">
        <v>10</v>
      </c>
      <c r="D19" t="str">
        <f t="shared" ref="D19:D28" si="4">B$7</f>
        <v>V</v>
      </c>
      <c r="E19"/>
      <c r="F19" t="str">
        <f t="shared" ref="F19:F27" si="5">B$7</f>
        <v>V</v>
      </c>
      <c r="G19"/>
      <c r="H19" t="str">
        <f>B$7</f>
        <v>V</v>
      </c>
      <c r="I19" s="1749">
        <f>IF(G19="/",(E19-C19)/10*100,IF(ABS(E19-C19)&gt;ABS(G19-C19),(E19-C19)/10*100,(G19-C19)/10*100))</f>
        <v>-100</v>
      </c>
      <c r="J19" s="1749"/>
    </row>
    <row r="20" spans="1:11" ht="17.100000000000001" hidden="1" customHeight="1">
      <c r="A20" s="1749"/>
      <c r="B20" s="1749"/>
      <c r="C20">
        <v>9</v>
      </c>
      <c r="D20" t="str">
        <f t="shared" si="4"/>
        <v>V</v>
      </c>
      <c r="E20"/>
      <c r="F20" t="str">
        <f t="shared" si="5"/>
        <v>V</v>
      </c>
      <c r="G20"/>
      <c r="H20" t="str">
        <f t="shared" ref="H20:H28" si="6">B$7</f>
        <v>V</v>
      </c>
      <c r="I20" s="1749">
        <f t="shared" ref="I20:I28" si="7">IF(G20="/",(E20-C20)/10*100,IF(ABS(E20-C20)&gt;ABS(G20-C20),(E20-C20)/10*100,(G20-C20)/10*100))</f>
        <v>-90</v>
      </c>
      <c r="J20" s="1749"/>
    </row>
    <row r="21" spans="1:11" ht="17.100000000000001" hidden="1" customHeight="1">
      <c r="A21" s="1749"/>
      <c r="B21" s="1749"/>
      <c r="C21">
        <v>8</v>
      </c>
      <c r="D21" t="str">
        <f t="shared" si="4"/>
        <v>V</v>
      </c>
      <c r="E21"/>
      <c r="F21" t="str">
        <f t="shared" si="5"/>
        <v>V</v>
      </c>
      <c r="G21"/>
      <c r="H21" t="str">
        <f t="shared" si="6"/>
        <v>V</v>
      </c>
      <c r="I21" s="1749">
        <f t="shared" si="7"/>
        <v>-80</v>
      </c>
      <c r="J21" s="1749"/>
    </row>
    <row r="22" spans="1:11" ht="17.100000000000001" hidden="1" customHeight="1">
      <c r="A22" s="1749"/>
      <c r="B22" s="1749"/>
      <c r="C22">
        <v>7</v>
      </c>
      <c r="D22" t="str">
        <f t="shared" si="4"/>
        <v>V</v>
      </c>
      <c r="E22"/>
      <c r="F22" t="str">
        <f t="shared" si="5"/>
        <v>V</v>
      </c>
      <c r="G22"/>
      <c r="H22" t="str">
        <f t="shared" si="6"/>
        <v>V</v>
      </c>
      <c r="I22" s="1749">
        <f t="shared" si="7"/>
        <v>-70</v>
      </c>
      <c r="J22" s="1749"/>
    </row>
    <row r="23" spans="1:11" ht="17.100000000000001" hidden="1" customHeight="1">
      <c r="A23" s="1749"/>
      <c r="B23" s="1749"/>
      <c r="C23">
        <v>6</v>
      </c>
      <c r="D23" t="str">
        <f t="shared" si="4"/>
        <v>V</v>
      </c>
      <c r="E23"/>
      <c r="F23" t="str">
        <f t="shared" si="5"/>
        <v>V</v>
      </c>
      <c r="G23"/>
      <c r="H23" t="str">
        <f t="shared" si="6"/>
        <v>V</v>
      </c>
      <c r="I23" s="1749">
        <f t="shared" si="7"/>
        <v>-60</v>
      </c>
      <c r="J23" s="1749"/>
    </row>
    <row r="24" spans="1:11" ht="17.100000000000001" hidden="1" customHeight="1">
      <c r="A24" s="1749"/>
      <c r="B24" s="1749"/>
      <c r="C24">
        <v>5</v>
      </c>
      <c r="D24" t="str">
        <f t="shared" si="4"/>
        <v>V</v>
      </c>
      <c r="E24"/>
      <c r="F24" t="str">
        <f t="shared" si="5"/>
        <v>V</v>
      </c>
      <c r="G24"/>
      <c r="H24" t="str">
        <f t="shared" si="6"/>
        <v>V</v>
      </c>
      <c r="I24" s="1749">
        <f t="shared" si="7"/>
        <v>-50</v>
      </c>
      <c r="J24" s="1749"/>
    </row>
    <row r="25" spans="1:11" ht="17.100000000000001" hidden="1" customHeight="1">
      <c r="A25" s="1749"/>
      <c r="B25" s="1749"/>
      <c r="C25">
        <v>4</v>
      </c>
      <c r="D25" t="str">
        <f t="shared" si="4"/>
        <v>V</v>
      </c>
      <c r="E25"/>
      <c r="F25" t="str">
        <f t="shared" si="5"/>
        <v>V</v>
      </c>
      <c r="G25"/>
      <c r="H25" t="str">
        <f t="shared" si="6"/>
        <v>V</v>
      </c>
      <c r="I25" s="1749">
        <f t="shared" si="7"/>
        <v>-40</v>
      </c>
      <c r="J25" s="1749"/>
    </row>
    <row r="26" spans="1:11" ht="17.100000000000001" hidden="1" customHeight="1">
      <c r="A26" s="1749"/>
      <c r="B26" s="1749"/>
      <c r="C26">
        <v>3</v>
      </c>
      <c r="D26" t="str">
        <f t="shared" si="4"/>
        <v>V</v>
      </c>
      <c r="E26"/>
      <c r="F26" t="str">
        <f t="shared" si="5"/>
        <v>V</v>
      </c>
      <c r="G26"/>
      <c r="H26" t="str">
        <f t="shared" si="6"/>
        <v>V</v>
      </c>
      <c r="I26" s="1749">
        <f t="shared" si="7"/>
        <v>-30</v>
      </c>
      <c r="J26" s="1749"/>
    </row>
    <row r="27" spans="1:11" ht="17.100000000000001" hidden="1" customHeight="1">
      <c r="A27" s="1749"/>
      <c r="B27" s="1749"/>
      <c r="C27">
        <v>2</v>
      </c>
      <c r="D27" t="str">
        <f t="shared" si="4"/>
        <v>V</v>
      </c>
      <c r="E27"/>
      <c r="F27" t="str">
        <f t="shared" si="5"/>
        <v>V</v>
      </c>
      <c r="G27"/>
      <c r="H27" t="str">
        <f t="shared" si="6"/>
        <v>V</v>
      </c>
      <c r="I27" s="1749">
        <f t="shared" si="7"/>
        <v>-20</v>
      </c>
      <c r="J27" s="1749"/>
    </row>
    <row r="28" spans="1:11" ht="17.100000000000001" hidden="1" customHeight="1">
      <c r="A28" s="1749"/>
      <c r="B28" s="1749"/>
      <c r="C28">
        <v>1</v>
      </c>
      <c r="D28" t="str">
        <f t="shared" si="4"/>
        <v>V</v>
      </c>
      <c r="E28"/>
      <c r="F28" t="s">
        <v>4095</v>
      </c>
      <c r="G28"/>
      <c r="H28" t="str">
        <f t="shared" si="6"/>
        <v>V</v>
      </c>
      <c r="I28" s="1749">
        <f t="shared" si="7"/>
        <v>-10</v>
      </c>
      <c r="J28" s="1749"/>
    </row>
    <row r="29" spans="1:11" ht="17.100000000000001" customHeight="1">
      <c r="A29" s="1749" t="s">
        <v>4088</v>
      </c>
      <c r="B29" s="1749"/>
      <c r="C29" s="1749" t="s">
        <v>4099</v>
      </c>
      <c r="D29" s="1749"/>
      <c r="E29" s="1749" t="s">
        <v>4100</v>
      </c>
      <c r="F29" s="1749"/>
      <c r="G29" s="1749"/>
      <c r="H29" s="1749"/>
      <c r="I29" s="1749" t="s">
        <v>4091</v>
      </c>
      <c r="J29" s="1749"/>
      <c r="K29" s="1749" t="s">
        <v>4101</v>
      </c>
    </row>
    <row r="30" spans="1:11" ht="19.5" customHeight="1">
      <c r="A30" s="1749"/>
      <c r="B30" s="1749"/>
      <c r="C30" s="1749"/>
      <c r="D30" s="1749"/>
      <c r="E30" s="1749" t="s">
        <v>4093</v>
      </c>
      <c r="F30" s="1749"/>
      <c r="G30" s="1749" t="s">
        <v>4094</v>
      </c>
      <c r="H30" s="1749"/>
      <c r="I30" s="1749"/>
      <c r="J30" s="1749"/>
      <c r="K30" s="1749"/>
    </row>
    <row r="31" spans="1:11" ht="17.100000000000001" customHeight="1">
      <c r="A31" s="1749">
        <v>10</v>
      </c>
      <c r="B31" s="1749" t="s">
        <v>4095</v>
      </c>
      <c r="C31">
        <v>10</v>
      </c>
      <c r="D31" t="str">
        <f t="shared" ref="D31:D40" si="8">B$7</f>
        <v>V</v>
      </c>
      <c r="E31">
        <v>9.9890000000000008</v>
      </c>
      <c r="F31" t="str">
        <f t="shared" ref="F31:F40" si="9">B$7</f>
        <v>V</v>
      </c>
      <c r="G31">
        <v>9.99</v>
      </c>
      <c r="H31" t="str">
        <f>B$7</f>
        <v>V</v>
      </c>
      <c r="I31" s="1749">
        <f>IF(G31="/",(E31-C31)/10*100,IF(ABS(E31-C31)&gt;ABS(G31-C31),(E31-C31)/10*100,(G31-C31)/10*100))</f>
        <v>-0.10999999999999233</v>
      </c>
      <c r="J31" s="1749"/>
      <c r="K31" s="1749">
        <f>2*(0.00000005^2+0.000003^2+0.000029^2)^0.5</f>
        <v>5.8309604697682525E-5</v>
      </c>
    </row>
    <row r="32" spans="1:11" ht="17.100000000000001" customHeight="1">
      <c r="A32" s="1749"/>
      <c r="B32" s="1749"/>
      <c r="C32">
        <v>9</v>
      </c>
      <c r="D32" t="str">
        <f t="shared" si="8"/>
        <v>V</v>
      </c>
      <c r="E32">
        <v>8.99</v>
      </c>
      <c r="F32" t="str">
        <f t="shared" si="9"/>
        <v>V</v>
      </c>
      <c r="G32">
        <v>8.99</v>
      </c>
      <c r="H32" t="str">
        <f t="shared" ref="H32:H40" si="10">B$7</f>
        <v>V</v>
      </c>
      <c r="I32" s="1749">
        <f t="shared" ref="I32:I40" si="11">IF(G32="/",(E32-C32)/10*100,IF(ABS(E32-C32)&gt;ABS(G32-C32),(E32-C32)/10*100,(G32-C32)/10*100))</f>
        <v>-9.9999999999997882E-2</v>
      </c>
      <c r="J32" s="1749"/>
      <c r="K32" s="1749"/>
    </row>
    <row r="33" spans="1:11" ht="17.100000000000001" customHeight="1">
      <c r="A33" s="1749"/>
      <c r="B33" s="1749"/>
      <c r="C33">
        <v>8</v>
      </c>
      <c r="D33" t="str">
        <f t="shared" si="8"/>
        <v>V</v>
      </c>
      <c r="E33">
        <v>7.99</v>
      </c>
      <c r="F33" t="str">
        <f t="shared" si="9"/>
        <v>V</v>
      </c>
      <c r="G33">
        <v>7.9909999999999997</v>
      </c>
      <c r="H33" t="str">
        <f t="shared" si="10"/>
        <v>V</v>
      </c>
      <c r="I33" s="1749">
        <f t="shared" si="11"/>
        <v>-9.9999999999997882E-2</v>
      </c>
      <c r="J33" s="1749"/>
      <c r="K33" s="1749"/>
    </row>
    <row r="34" spans="1:11" ht="17.100000000000001" customHeight="1">
      <c r="A34" s="1749"/>
      <c r="B34" s="1749"/>
      <c r="C34">
        <v>7</v>
      </c>
      <c r="D34" t="str">
        <f t="shared" si="8"/>
        <v>V</v>
      </c>
      <c r="E34">
        <v>6.9909999999999997</v>
      </c>
      <c r="F34" t="str">
        <f t="shared" si="9"/>
        <v>V</v>
      </c>
      <c r="G34">
        <v>6.9930000000000003</v>
      </c>
      <c r="H34" t="str">
        <f t="shared" si="10"/>
        <v>V</v>
      </c>
      <c r="I34" s="1749">
        <f t="shared" si="11"/>
        <v>-9.0000000000003411E-2</v>
      </c>
      <c r="J34" s="1749"/>
      <c r="K34" s="1749"/>
    </row>
    <row r="35" spans="1:11" ht="17.100000000000001" customHeight="1">
      <c r="A35" s="1749"/>
      <c r="B35" s="1749"/>
      <c r="C35">
        <v>6</v>
      </c>
      <c r="D35" t="str">
        <f t="shared" si="8"/>
        <v>V</v>
      </c>
      <c r="E35">
        <v>5.9909999999999997</v>
      </c>
      <c r="F35" t="str">
        <f t="shared" si="9"/>
        <v>V</v>
      </c>
      <c r="G35">
        <v>5.9930000000000003</v>
      </c>
      <c r="H35" t="str">
        <f t="shared" si="10"/>
        <v>V</v>
      </c>
      <c r="I35" s="1749">
        <f t="shared" si="11"/>
        <v>-9.0000000000003411E-2</v>
      </c>
      <c r="J35" s="1749"/>
      <c r="K35" s="1749"/>
    </row>
    <row r="36" spans="1:11" ht="17.100000000000001" customHeight="1">
      <c r="A36" s="1749"/>
      <c r="B36" s="1749"/>
      <c r="C36">
        <v>5</v>
      </c>
      <c r="D36" t="str">
        <f t="shared" si="8"/>
        <v>V</v>
      </c>
      <c r="E36">
        <v>4.992</v>
      </c>
      <c r="F36" t="str">
        <f t="shared" si="9"/>
        <v>V</v>
      </c>
      <c r="G36">
        <v>4.9939999999999998</v>
      </c>
      <c r="H36" t="str">
        <f t="shared" si="10"/>
        <v>V</v>
      </c>
      <c r="I36" s="1749">
        <f t="shared" si="11"/>
        <v>-8.0000000000000071E-2</v>
      </c>
      <c r="J36" s="1749"/>
      <c r="K36" s="1749"/>
    </row>
    <row r="37" spans="1:11" ht="17.100000000000001" customHeight="1">
      <c r="A37" s="1749"/>
      <c r="B37" s="1749"/>
      <c r="C37">
        <v>4</v>
      </c>
      <c r="D37" t="str">
        <f t="shared" si="8"/>
        <v>V</v>
      </c>
      <c r="E37">
        <v>3.9940000000000002</v>
      </c>
      <c r="F37" t="str">
        <f t="shared" si="9"/>
        <v>V</v>
      </c>
      <c r="G37">
        <v>3.9950000000000001</v>
      </c>
      <c r="H37" t="str">
        <f t="shared" si="10"/>
        <v>V</v>
      </c>
      <c r="I37" s="1749">
        <f t="shared" si="11"/>
        <v>-5.999999999999784E-2</v>
      </c>
      <c r="J37" s="1749"/>
      <c r="K37" s="1749"/>
    </row>
    <row r="38" spans="1:11" ht="17.100000000000001" customHeight="1">
      <c r="A38" s="1749"/>
      <c r="B38" s="1749"/>
      <c r="C38">
        <v>3</v>
      </c>
      <c r="D38" t="str">
        <f t="shared" si="8"/>
        <v>V</v>
      </c>
      <c r="E38">
        <v>2.9950000000000001</v>
      </c>
      <c r="F38" t="str">
        <f t="shared" si="9"/>
        <v>V</v>
      </c>
      <c r="G38">
        <v>2.996</v>
      </c>
      <c r="H38" t="str">
        <f t="shared" si="10"/>
        <v>V</v>
      </c>
      <c r="I38" s="1749">
        <f t="shared" si="11"/>
        <v>-4.9999999999998941E-2</v>
      </c>
      <c r="J38" s="1749"/>
      <c r="K38" s="1749"/>
    </row>
    <row r="39" spans="1:11" ht="17.100000000000001" customHeight="1">
      <c r="A39" s="1749"/>
      <c r="B39" s="1749"/>
      <c r="C39">
        <v>2</v>
      </c>
      <c r="D39" t="str">
        <f t="shared" si="8"/>
        <v>V</v>
      </c>
      <c r="E39">
        <v>1.996</v>
      </c>
      <c r="F39" t="str">
        <f t="shared" si="9"/>
        <v>V</v>
      </c>
      <c r="G39">
        <v>1.996</v>
      </c>
      <c r="H39" t="str">
        <f t="shared" si="10"/>
        <v>V</v>
      </c>
      <c r="I39" s="1749">
        <f t="shared" si="11"/>
        <v>-4.0000000000000036E-2</v>
      </c>
      <c r="J39" s="1749"/>
      <c r="K39" s="1749"/>
    </row>
    <row r="40" spans="1:11" ht="17.100000000000001" customHeight="1">
      <c r="A40" s="1749"/>
      <c r="B40" s="1749"/>
      <c r="C40">
        <v>1</v>
      </c>
      <c r="D40" t="str">
        <f t="shared" si="8"/>
        <v>V</v>
      </c>
      <c r="E40">
        <v>0.998</v>
      </c>
      <c r="F40" t="str">
        <f t="shared" si="9"/>
        <v>V</v>
      </c>
      <c r="G40">
        <v>0.998</v>
      </c>
      <c r="H40" t="str">
        <f t="shared" si="10"/>
        <v>V</v>
      </c>
      <c r="I40" s="1749">
        <f t="shared" si="11"/>
        <v>-2.0000000000000018E-2</v>
      </c>
      <c r="J40" s="1749"/>
      <c r="K40" s="1749"/>
    </row>
    <row r="41" spans="1:11" ht="30" customHeight="1">
      <c r="A41"/>
      <c r="B41"/>
      <c r="C41"/>
      <c r="D41"/>
      <c r="E41"/>
      <c r="F41"/>
      <c r="G41"/>
      <c r="H41"/>
      <c r="I41"/>
      <c r="J41"/>
    </row>
    <row r="42" spans="1:11" ht="19.5" customHeight="1">
      <c r="A42" s="1749" t="s">
        <v>4102</v>
      </c>
      <c r="B42" s="1749"/>
      <c r="C42" s="1749"/>
      <c r="D42" s="1749"/>
      <c r="E42" s="1749"/>
      <c r="F42" s="1749"/>
      <c r="G42" s="1749"/>
      <c r="H42" s="1749"/>
      <c r="I42" s="1749"/>
      <c r="J42" s="1749"/>
    </row>
    <row r="43" spans="1:11" ht="16.5" customHeight="1">
      <c r="A43" s="1749" t="s">
        <v>4096</v>
      </c>
      <c r="B43" s="1749"/>
      <c r="C43" s="1749" t="s">
        <v>4089</v>
      </c>
      <c r="D43" s="1749"/>
      <c r="E43" s="1749" t="s">
        <v>4103</v>
      </c>
      <c r="F43" s="1749"/>
      <c r="G43" s="1749"/>
      <c r="H43" s="1749"/>
      <c r="I43" s="1749" t="s">
        <v>4104</v>
      </c>
      <c r="J43" s="1749"/>
      <c r="K43" s="1749" t="s">
        <v>4101</v>
      </c>
    </row>
    <row r="44" spans="1:11" ht="16.5" customHeight="1">
      <c r="A44" s="1749"/>
      <c r="B44" s="1749"/>
      <c r="C44" s="1749"/>
      <c r="D44" s="1749"/>
      <c r="E44" s="1749" t="s">
        <v>4093</v>
      </c>
      <c r="F44" s="1749"/>
      <c r="G44" s="1749" t="s">
        <v>4105</v>
      </c>
      <c r="H44" s="1749"/>
      <c r="I44" s="1749"/>
      <c r="J44" s="1749"/>
      <c r="K44" s="1749"/>
    </row>
    <row r="45" spans="1:11" ht="16.5" customHeight="1">
      <c r="A45" s="1749">
        <v>10</v>
      </c>
      <c r="B45" s="1749" t="s">
        <v>4098</v>
      </c>
      <c r="C45">
        <v>10</v>
      </c>
      <c r="D45" t="str">
        <f t="shared" ref="D45:D54" si="12">B$7</f>
        <v>V</v>
      </c>
      <c r="E45">
        <v>9.9909999999999997</v>
      </c>
      <c r="F45" t="str">
        <f t="shared" ref="F45:F54" si="13">B$7</f>
        <v>V</v>
      </c>
      <c r="G45">
        <v>9.9930000000000003</v>
      </c>
      <c r="H45" t="str">
        <f>B$7</f>
        <v>V</v>
      </c>
      <c r="I45" s="1749">
        <f>IF(G45="/",(E45-C45)/10*100,IF(ABS(E45-C45)&gt;ABS(G45-C45),(E45-C45)/10*100,(G45-C45)/10*100))</f>
        <v>-9.0000000000003411E-2</v>
      </c>
      <c r="J45" s="1749"/>
      <c r="K45" s="1749">
        <f>2*(0.00000005^2+0.000003^2+0.000029^2)^0.5</f>
        <v>5.8309604697682525E-5</v>
      </c>
    </row>
    <row r="46" spans="1:11" ht="16.5" customHeight="1">
      <c r="A46" s="1749"/>
      <c r="B46" s="1749"/>
      <c r="C46">
        <v>9</v>
      </c>
      <c r="D46" t="str">
        <f t="shared" si="12"/>
        <v>V</v>
      </c>
      <c r="E46">
        <v>8.9920000000000009</v>
      </c>
      <c r="F46" t="str">
        <f t="shared" si="13"/>
        <v>V</v>
      </c>
      <c r="G46">
        <v>8.9930000000000003</v>
      </c>
      <c r="H46" t="str">
        <f t="shared" ref="H46:H54" si="14">B$7</f>
        <v>V</v>
      </c>
      <c r="I46" s="1749">
        <f t="shared" ref="I46:I54" si="15">IF(G46="/",(E46-C46)/10*100,IF(ABS(E46-C46)&gt;ABS(G46-C46),(E46-C46)/10*100,(G46-C46)/10*100))</f>
        <v>-7.9999999999991189E-2</v>
      </c>
      <c r="J46" s="1749"/>
      <c r="K46" s="1749"/>
    </row>
    <row r="47" spans="1:11" ht="16.5" customHeight="1">
      <c r="A47" s="1749"/>
      <c r="B47" s="1749"/>
      <c r="C47">
        <v>8</v>
      </c>
      <c r="D47" t="str">
        <f t="shared" si="12"/>
        <v>V</v>
      </c>
      <c r="E47">
        <v>7.992</v>
      </c>
      <c r="F47" t="str">
        <f t="shared" si="13"/>
        <v>V</v>
      </c>
      <c r="G47">
        <v>7.9930000000000003</v>
      </c>
      <c r="H47" t="str">
        <f t="shared" si="14"/>
        <v>V</v>
      </c>
      <c r="I47" s="1749">
        <f t="shared" si="15"/>
        <v>-8.0000000000000071E-2</v>
      </c>
      <c r="J47" s="1749"/>
      <c r="K47" s="1749"/>
    </row>
    <row r="48" spans="1:11" ht="16.5" customHeight="1">
      <c r="A48" s="1749"/>
      <c r="B48" s="1749"/>
      <c r="C48">
        <v>7</v>
      </c>
      <c r="D48" t="str">
        <f t="shared" si="12"/>
        <v>V</v>
      </c>
      <c r="E48">
        <v>6.9930000000000003</v>
      </c>
      <c r="F48" t="str">
        <f t="shared" si="13"/>
        <v>V</v>
      </c>
      <c r="G48">
        <v>6.9950000000000001</v>
      </c>
      <c r="H48" t="str">
        <f t="shared" si="14"/>
        <v>V</v>
      </c>
      <c r="I48" s="1749">
        <f t="shared" si="15"/>
        <v>-6.9999999999996732E-2</v>
      </c>
      <c r="J48" s="1749"/>
      <c r="K48" s="1749"/>
    </row>
    <row r="49" spans="1:11" ht="16.5" customHeight="1">
      <c r="A49" s="1749"/>
      <c r="B49" s="1749"/>
      <c r="C49">
        <v>6</v>
      </c>
      <c r="D49" t="str">
        <f t="shared" si="12"/>
        <v>V</v>
      </c>
      <c r="E49">
        <v>5.9939999999999998</v>
      </c>
      <c r="F49" t="str">
        <f t="shared" si="13"/>
        <v>V</v>
      </c>
      <c r="G49">
        <v>5.9950000000000001</v>
      </c>
      <c r="H49" t="str">
        <f t="shared" si="14"/>
        <v>V</v>
      </c>
      <c r="I49" s="1749">
        <f t="shared" si="15"/>
        <v>-6.0000000000002274E-2</v>
      </c>
      <c r="J49" s="1749"/>
      <c r="K49" s="1749"/>
    </row>
    <row r="50" spans="1:11" ht="16.5" customHeight="1">
      <c r="A50" s="1749"/>
      <c r="B50" s="1749"/>
      <c r="C50">
        <v>5</v>
      </c>
      <c r="D50" t="str">
        <f t="shared" si="12"/>
        <v>V</v>
      </c>
      <c r="E50">
        <v>4.9950000000000001</v>
      </c>
      <c r="F50" t="str">
        <f t="shared" si="13"/>
        <v>V</v>
      </c>
      <c r="G50">
        <v>4.9960000000000004</v>
      </c>
      <c r="H50" t="str">
        <f t="shared" si="14"/>
        <v>V</v>
      </c>
      <c r="I50" s="1749">
        <f t="shared" si="15"/>
        <v>-4.9999999999998941E-2</v>
      </c>
      <c r="J50" s="1749"/>
      <c r="K50" s="1749"/>
    </row>
    <row r="51" spans="1:11" ht="16.5" customHeight="1">
      <c r="A51" s="1749"/>
      <c r="B51" s="1749"/>
      <c r="C51">
        <v>4</v>
      </c>
      <c r="D51" t="str">
        <f t="shared" si="12"/>
        <v>V</v>
      </c>
      <c r="E51">
        <v>3.9950000000000001</v>
      </c>
      <c r="F51" t="str">
        <f t="shared" si="13"/>
        <v>V</v>
      </c>
      <c r="G51">
        <v>3.996</v>
      </c>
      <c r="H51" t="str">
        <f t="shared" si="14"/>
        <v>V</v>
      </c>
      <c r="I51" s="1749">
        <f t="shared" si="15"/>
        <v>-4.9999999999998941E-2</v>
      </c>
      <c r="J51" s="1749"/>
      <c r="K51" s="1749"/>
    </row>
    <row r="52" spans="1:11" ht="16.5" customHeight="1">
      <c r="A52" s="1749"/>
      <c r="B52" s="1749"/>
      <c r="C52">
        <v>3</v>
      </c>
      <c r="D52" t="str">
        <f t="shared" si="12"/>
        <v>V</v>
      </c>
      <c r="E52">
        <v>2.9980000000000002</v>
      </c>
      <c r="F52" t="str">
        <f t="shared" si="13"/>
        <v>V</v>
      </c>
      <c r="G52">
        <v>2.9980000000000002</v>
      </c>
      <c r="H52" t="str">
        <f t="shared" si="14"/>
        <v>V</v>
      </c>
      <c r="I52" s="1749">
        <f t="shared" si="15"/>
        <v>-1.9999999999997797E-2</v>
      </c>
      <c r="J52" s="1749"/>
      <c r="K52" s="1749"/>
    </row>
    <row r="53" spans="1:11" ht="16.5" customHeight="1">
      <c r="A53" s="1749"/>
      <c r="B53" s="1749"/>
      <c r="C53">
        <v>2</v>
      </c>
      <c r="D53" t="str">
        <f t="shared" si="12"/>
        <v>V</v>
      </c>
      <c r="E53">
        <v>1.996</v>
      </c>
      <c r="F53" t="str">
        <f t="shared" si="13"/>
        <v>V</v>
      </c>
      <c r="G53">
        <v>1.996</v>
      </c>
      <c r="H53" t="str">
        <f t="shared" si="14"/>
        <v>V</v>
      </c>
      <c r="I53" s="1749">
        <f t="shared" si="15"/>
        <v>-4.0000000000000036E-2</v>
      </c>
      <c r="J53" s="1749"/>
      <c r="K53" s="1749"/>
    </row>
    <row r="54" spans="1:11" ht="16.5" customHeight="1">
      <c r="A54" s="1749"/>
      <c r="B54" s="1749"/>
      <c r="C54">
        <v>1</v>
      </c>
      <c r="D54" t="str">
        <f t="shared" si="12"/>
        <v>V</v>
      </c>
      <c r="E54">
        <v>0.997</v>
      </c>
      <c r="F54" t="str">
        <f t="shared" si="13"/>
        <v>V</v>
      </c>
      <c r="G54">
        <v>0.996</v>
      </c>
      <c r="H54" t="str">
        <f t="shared" si="14"/>
        <v>V</v>
      </c>
      <c r="I54" s="1749">
        <f t="shared" si="15"/>
        <v>-4.0000000000000036E-2</v>
      </c>
      <c r="J54" s="1749"/>
      <c r="K54" s="1749"/>
    </row>
    <row r="55" spans="1:11" ht="16.5" customHeight="1">
      <c r="A55" s="1749" t="s">
        <v>4088</v>
      </c>
      <c r="B55" s="1749"/>
      <c r="C55" s="1749" t="s">
        <v>4089</v>
      </c>
      <c r="D55" s="1749"/>
      <c r="E55" s="1749" t="s">
        <v>4106</v>
      </c>
      <c r="F55" s="1749"/>
      <c r="G55" s="1749"/>
      <c r="H55" s="1749"/>
      <c r="I55" s="1749" t="s">
        <v>4104</v>
      </c>
      <c r="J55" s="1749"/>
      <c r="K55" s="1749" t="s">
        <v>4101</v>
      </c>
    </row>
    <row r="56" spans="1:11" ht="16.5" customHeight="1">
      <c r="A56" s="1749"/>
      <c r="B56" s="1749"/>
      <c r="C56" s="1749"/>
      <c r="D56" s="1749"/>
      <c r="E56" s="1749" t="s">
        <v>4107</v>
      </c>
      <c r="F56" s="1749"/>
      <c r="G56" s="1749" t="s">
        <v>4105</v>
      </c>
      <c r="H56" s="1749"/>
      <c r="I56" s="1749"/>
      <c r="J56" s="1749"/>
      <c r="K56" s="1749"/>
    </row>
    <row r="57" spans="1:11" ht="16.5" customHeight="1">
      <c r="A57" s="1749">
        <v>10</v>
      </c>
      <c r="B57" s="1749" t="s">
        <v>4098</v>
      </c>
      <c r="C57">
        <v>10</v>
      </c>
      <c r="D57" t="str">
        <f t="shared" ref="D57:D66" si="16">B$7</f>
        <v>V</v>
      </c>
      <c r="E57">
        <v>9.9909999999999997</v>
      </c>
      <c r="F57" t="str">
        <f t="shared" ref="F57:F66" si="17">B$7</f>
        <v>V</v>
      </c>
      <c r="G57">
        <v>9.99</v>
      </c>
      <c r="H57" t="str">
        <f>B$7</f>
        <v>V</v>
      </c>
      <c r="I57" s="1749">
        <f>IF(G57="/",(E57-C57)/10*100,IF(ABS(E57-C57)&gt;ABS(G57-C57),(E57-C57)/10*100,(G57-C57)/10*100))</f>
        <v>-9.9999999999997882E-2</v>
      </c>
      <c r="J57" s="1749"/>
      <c r="K57" s="1749">
        <f>2*(0.00000005^2+0.000003^2+0.000029^2)^0.5</f>
        <v>5.8309604697682525E-5</v>
      </c>
    </row>
    <row r="58" spans="1:11" ht="16.5" customHeight="1">
      <c r="A58" s="1749"/>
      <c r="B58" s="1749"/>
      <c r="C58">
        <v>9</v>
      </c>
      <c r="D58" t="str">
        <f t="shared" si="16"/>
        <v>V</v>
      </c>
      <c r="E58">
        <v>8.9909999999999997</v>
      </c>
      <c r="F58" t="str">
        <f t="shared" si="17"/>
        <v>V</v>
      </c>
      <c r="G58">
        <v>8.9990000000000006</v>
      </c>
      <c r="H58" t="str">
        <f t="shared" ref="H58:H66" si="18">B$7</f>
        <v>V</v>
      </c>
      <c r="I58" s="1749">
        <f t="shared" ref="I58:I66" si="19">IF(G58="/",(E58-C58)/10*100,IF(ABS(E58-C58)&gt;ABS(G58-C58),(E58-C58)/10*100,(G58-C58)/10*100))</f>
        <v>-9.0000000000003411E-2</v>
      </c>
      <c r="J58" s="1749"/>
      <c r="K58" s="1749"/>
    </row>
    <row r="59" spans="1:11" ht="16.5" customHeight="1">
      <c r="A59" s="1749"/>
      <c r="B59" s="1749"/>
      <c r="C59">
        <v>8</v>
      </c>
      <c r="D59" t="str">
        <f t="shared" si="16"/>
        <v>V</v>
      </c>
      <c r="E59">
        <v>7.9930000000000003</v>
      </c>
      <c r="F59" t="str">
        <f t="shared" si="17"/>
        <v>V</v>
      </c>
      <c r="G59">
        <v>7.992</v>
      </c>
      <c r="H59" t="str">
        <f t="shared" si="18"/>
        <v>V</v>
      </c>
      <c r="I59" s="1749">
        <f t="shared" si="19"/>
        <v>-8.0000000000000071E-2</v>
      </c>
      <c r="J59" s="1749"/>
      <c r="K59" s="1749"/>
    </row>
    <row r="60" spans="1:11" ht="16.5" customHeight="1">
      <c r="A60" s="1749"/>
      <c r="B60" s="1749"/>
      <c r="C60">
        <v>7</v>
      </c>
      <c r="D60" t="str">
        <f t="shared" si="16"/>
        <v>V</v>
      </c>
      <c r="E60">
        <v>6.9930000000000003</v>
      </c>
      <c r="F60" t="str">
        <f t="shared" si="17"/>
        <v>V</v>
      </c>
      <c r="G60">
        <v>6.9930000000000003</v>
      </c>
      <c r="H60" t="str">
        <f t="shared" si="18"/>
        <v>V</v>
      </c>
      <c r="I60" s="1749">
        <f t="shared" si="19"/>
        <v>-6.9999999999996732E-2</v>
      </c>
      <c r="J60" s="1749"/>
      <c r="K60" s="1749"/>
    </row>
    <row r="61" spans="1:11" ht="16.5" customHeight="1">
      <c r="A61" s="1749"/>
      <c r="B61" s="1749"/>
      <c r="C61">
        <v>6</v>
      </c>
      <c r="D61" t="str">
        <f t="shared" si="16"/>
        <v>V</v>
      </c>
      <c r="E61">
        <v>5.9939999999999998</v>
      </c>
      <c r="F61" t="str">
        <f t="shared" si="17"/>
        <v>V</v>
      </c>
      <c r="G61">
        <v>5.9950000000000001</v>
      </c>
      <c r="H61" t="str">
        <f t="shared" si="18"/>
        <v>V</v>
      </c>
      <c r="I61" s="1749">
        <f t="shared" si="19"/>
        <v>-6.0000000000002274E-2</v>
      </c>
      <c r="J61" s="1749"/>
      <c r="K61" s="1749"/>
    </row>
    <row r="62" spans="1:11" ht="16.5" customHeight="1">
      <c r="A62" s="1749"/>
      <c r="B62" s="1749"/>
      <c r="C62">
        <v>5</v>
      </c>
      <c r="D62" t="str">
        <f t="shared" si="16"/>
        <v>V</v>
      </c>
      <c r="E62">
        <v>4.9950000000000001</v>
      </c>
      <c r="F62" t="str">
        <f t="shared" si="17"/>
        <v>V</v>
      </c>
      <c r="G62">
        <v>4.9960000000000004</v>
      </c>
      <c r="H62" t="str">
        <f t="shared" si="18"/>
        <v>V</v>
      </c>
      <c r="I62" s="1749">
        <f t="shared" si="19"/>
        <v>-4.9999999999998941E-2</v>
      </c>
      <c r="J62" s="1749"/>
      <c r="K62" s="1749"/>
    </row>
    <row r="63" spans="1:11" ht="16.5" customHeight="1">
      <c r="A63" s="1749"/>
      <c r="B63" s="1749"/>
      <c r="C63">
        <v>4</v>
      </c>
      <c r="D63" t="str">
        <f t="shared" si="16"/>
        <v>V</v>
      </c>
      <c r="E63">
        <v>3.996</v>
      </c>
      <c r="F63" t="str">
        <f t="shared" si="17"/>
        <v>V</v>
      </c>
      <c r="G63">
        <v>3.9969999999999999</v>
      </c>
      <c r="H63" t="str">
        <f t="shared" si="18"/>
        <v>V</v>
      </c>
      <c r="I63" s="1749">
        <f t="shared" si="19"/>
        <v>-4.0000000000000036E-2</v>
      </c>
      <c r="J63" s="1749"/>
      <c r="K63" s="1749"/>
    </row>
    <row r="64" spans="1:11" ht="16.5" customHeight="1">
      <c r="A64" s="1749"/>
      <c r="B64" s="1749"/>
      <c r="C64">
        <v>3</v>
      </c>
      <c r="D64" t="str">
        <f t="shared" si="16"/>
        <v>V</v>
      </c>
      <c r="E64">
        <v>2.9980000000000002</v>
      </c>
      <c r="F64" t="str">
        <f t="shared" si="17"/>
        <v>V</v>
      </c>
      <c r="G64">
        <v>2.9969999999999999</v>
      </c>
      <c r="H64" t="str">
        <f t="shared" si="18"/>
        <v>V</v>
      </c>
      <c r="I64" s="1749">
        <f t="shared" si="19"/>
        <v>-3.0000000000001137E-2</v>
      </c>
      <c r="J64" s="1749"/>
      <c r="K64" s="1749"/>
    </row>
    <row r="65" spans="1:11" ht="16.5" customHeight="1">
      <c r="A65" s="1749"/>
      <c r="B65" s="1749"/>
      <c r="C65">
        <v>2</v>
      </c>
      <c r="D65" t="str">
        <f t="shared" si="16"/>
        <v>V</v>
      </c>
      <c r="E65">
        <v>1.998</v>
      </c>
      <c r="F65" t="str">
        <f t="shared" si="17"/>
        <v>V</v>
      </c>
      <c r="G65">
        <v>1.9990000000000001</v>
      </c>
      <c r="H65" t="str">
        <f t="shared" si="18"/>
        <v>V</v>
      </c>
      <c r="I65" s="1749">
        <f t="shared" si="19"/>
        <v>-2.0000000000000018E-2</v>
      </c>
      <c r="J65" s="1749"/>
      <c r="K65" s="1749"/>
    </row>
    <row r="66" spans="1:11" ht="16.5" customHeight="1">
      <c r="A66" s="1749"/>
      <c r="B66" s="1749"/>
      <c r="C66">
        <v>1</v>
      </c>
      <c r="D66" t="str">
        <f t="shared" si="16"/>
        <v>V</v>
      </c>
      <c r="E66">
        <v>0.998</v>
      </c>
      <c r="F66" t="str">
        <f t="shared" si="17"/>
        <v>V</v>
      </c>
      <c r="G66">
        <v>0.998</v>
      </c>
      <c r="H66" t="str">
        <f t="shared" si="18"/>
        <v>V</v>
      </c>
      <c r="I66" s="1749">
        <f t="shared" si="19"/>
        <v>-2.0000000000000018E-2</v>
      </c>
      <c r="J66" s="1749"/>
      <c r="K66" s="1749"/>
    </row>
    <row r="67" spans="1:11" ht="16.5" customHeight="1">
      <c r="A67" s="1749" t="s">
        <v>4088</v>
      </c>
      <c r="B67" s="1749"/>
      <c r="C67" s="1749" t="s">
        <v>4108</v>
      </c>
      <c r="D67" s="1749"/>
      <c r="E67" s="1749" t="s">
        <v>4109</v>
      </c>
      <c r="F67" s="1749"/>
      <c r="G67" s="1749"/>
      <c r="H67" s="1749"/>
      <c r="I67" s="1749" t="s">
        <v>4091</v>
      </c>
      <c r="J67" s="1749"/>
      <c r="K67" s="1749" t="s">
        <v>4101</v>
      </c>
    </row>
    <row r="68" spans="1:11" ht="16.5" customHeight="1">
      <c r="A68" s="1749"/>
      <c r="B68" s="1749"/>
      <c r="C68" s="1749"/>
      <c r="D68" s="1749"/>
      <c r="E68" s="1749" t="s">
        <v>4107</v>
      </c>
      <c r="F68" s="1749"/>
      <c r="G68" s="1749" t="s">
        <v>4094</v>
      </c>
      <c r="H68" s="1749"/>
      <c r="I68" s="1749"/>
      <c r="J68" s="1749"/>
      <c r="K68" s="1749"/>
    </row>
    <row r="69" spans="1:11" ht="16.5" customHeight="1">
      <c r="A69" s="1749">
        <v>10</v>
      </c>
      <c r="B69" s="1749" t="s">
        <v>4098</v>
      </c>
      <c r="C69">
        <v>10</v>
      </c>
      <c r="D69" t="str">
        <f t="shared" ref="D69:D78" si="20">B$7</f>
        <v>V</v>
      </c>
      <c r="E69">
        <v>9.9920000000000009</v>
      </c>
      <c r="F69" t="str">
        <f t="shared" ref="F69:F78" si="21">B$7</f>
        <v>V</v>
      </c>
      <c r="G69">
        <v>9.9930000000000003</v>
      </c>
      <c r="H69" t="str">
        <f>B$7</f>
        <v>V</v>
      </c>
      <c r="I69" s="1749">
        <f>IF(G69="/",(E69-C69)/10*100,IF(ABS(E69-C69)&gt;ABS(G69-C69),(E69-C69)/10*100,(G69-C69)/10*100))</f>
        <v>-7.9999999999991189E-2</v>
      </c>
      <c r="J69" s="1749"/>
      <c r="K69" s="1749">
        <f>2*(0.00000005^2+0.000003^2+0.000029^2)^0.5</f>
        <v>5.8309604697682525E-5</v>
      </c>
    </row>
    <row r="70" spans="1:11" ht="16.5" customHeight="1">
      <c r="A70" s="1749"/>
      <c r="B70" s="1749"/>
      <c r="C70">
        <v>9</v>
      </c>
      <c r="D70" t="str">
        <f t="shared" si="20"/>
        <v>V</v>
      </c>
      <c r="E70">
        <v>8.9909999999999997</v>
      </c>
      <c r="F70" t="str">
        <f t="shared" si="21"/>
        <v>V</v>
      </c>
      <c r="G70">
        <v>9</v>
      </c>
      <c r="H70" t="str">
        <f t="shared" ref="H70:H78" si="22">B$7</f>
        <v>V</v>
      </c>
      <c r="I70" s="1749">
        <f t="shared" ref="I70:I78" si="23">IF(G70="/",(E70-C70)/10*100,IF(ABS(E70-C70)&gt;ABS(G70-C70),(E70-C70)/10*100,(G70-C70)/10*100))</f>
        <v>-9.0000000000003411E-2</v>
      </c>
      <c r="J70" s="1749"/>
      <c r="K70" s="1749"/>
    </row>
    <row r="71" spans="1:11" ht="16.5" customHeight="1">
      <c r="A71" s="1749"/>
      <c r="B71" s="1749"/>
      <c r="C71">
        <v>8</v>
      </c>
      <c r="D71" t="str">
        <f t="shared" si="20"/>
        <v>V</v>
      </c>
      <c r="E71">
        <v>7.9930000000000003</v>
      </c>
      <c r="F71" t="str">
        <f t="shared" si="21"/>
        <v>V</v>
      </c>
      <c r="G71">
        <v>7.9950000000000001</v>
      </c>
      <c r="H71" t="str">
        <f t="shared" si="22"/>
        <v>V</v>
      </c>
      <c r="I71" s="1749">
        <f t="shared" si="23"/>
        <v>-6.9999999999996732E-2</v>
      </c>
      <c r="J71" s="1749"/>
      <c r="K71" s="1749"/>
    </row>
    <row r="72" spans="1:11" ht="16.5" customHeight="1">
      <c r="A72" s="1749"/>
      <c r="B72" s="1749"/>
      <c r="C72">
        <v>7</v>
      </c>
      <c r="D72" t="str">
        <f t="shared" si="20"/>
        <v>V</v>
      </c>
      <c r="E72">
        <v>6.9930000000000003</v>
      </c>
      <c r="F72" t="str">
        <f t="shared" si="21"/>
        <v>V</v>
      </c>
      <c r="G72">
        <v>6.9950000000000001</v>
      </c>
      <c r="H72" t="str">
        <f t="shared" si="22"/>
        <v>V</v>
      </c>
      <c r="I72" s="1749">
        <f t="shared" si="23"/>
        <v>-6.9999999999996732E-2</v>
      </c>
      <c r="J72" s="1749"/>
      <c r="K72" s="1749"/>
    </row>
    <row r="73" spans="1:11" ht="16.5" customHeight="1">
      <c r="A73" s="1749"/>
      <c r="B73" s="1749"/>
      <c r="C73">
        <v>6</v>
      </c>
      <c r="D73" t="str">
        <f t="shared" si="20"/>
        <v>V</v>
      </c>
      <c r="E73">
        <v>5.9950000000000001</v>
      </c>
      <c r="F73" t="str">
        <f t="shared" si="21"/>
        <v>V</v>
      </c>
      <c r="G73">
        <v>5.9969999999999999</v>
      </c>
      <c r="H73" t="str">
        <f t="shared" si="22"/>
        <v>V</v>
      </c>
      <c r="I73" s="1749">
        <f t="shared" si="23"/>
        <v>-4.9999999999998941E-2</v>
      </c>
      <c r="J73" s="1749"/>
      <c r="K73" s="1749"/>
    </row>
    <row r="74" spans="1:11" ht="16.5" customHeight="1">
      <c r="A74" s="1749"/>
      <c r="B74" s="1749"/>
      <c r="C74">
        <v>5</v>
      </c>
      <c r="D74" t="str">
        <f t="shared" si="20"/>
        <v>V</v>
      </c>
      <c r="E74">
        <v>4.9960000000000004</v>
      </c>
      <c r="F74" t="str">
        <f t="shared" si="21"/>
        <v>V</v>
      </c>
      <c r="G74">
        <v>4.9989999999999997</v>
      </c>
      <c r="H74" t="str">
        <f t="shared" si="22"/>
        <v>V</v>
      </c>
      <c r="I74" s="1749">
        <f t="shared" si="23"/>
        <v>-3.9999999999995595E-2</v>
      </c>
      <c r="J74" s="1749"/>
      <c r="K74" s="1749"/>
    </row>
    <row r="75" spans="1:11" ht="16.5" customHeight="1">
      <c r="A75" s="1749"/>
      <c r="B75" s="1749"/>
      <c r="C75">
        <v>4</v>
      </c>
      <c r="D75" t="str">
        <f t="shared" si="20"/>
        <v>V</v>
      </c>
      <c r="E75">
        <v>3.9969999999999999</v>
      </c>
      <c r="F75" t="str">
        <f t="shared" si="21"/>
        <v>V</v>
      </c>
      <c r="G75">
        <v>4</v>
      </c>
      <c r="H75" t="str">
        <f t="shared" si="22"/>
        <v>V</v>
      </c>
      <c r="I75" s="1749">
        <f t="shared" si="23"/>
        <v>-3.0000000000001137E-2</v>
      </c>
      <c r="J75" s="1749"/>
      <c r="K75" s="1749"/>
    </row>
    <row r="76" spans="1:11" ht="16.5" customHeight="1">
      <c r="A76" s="1749"/>
      <c r="B76" s="1749"/>
      <c r="C76">
        <v>3</v>
      </c>
      <c r="D76" t="str">
        <f t="shared" si="20"/>
        <v>V</v>
      </c>
      <c r="E76">
        <v>2.9969999999999999</v>
      </c>
      <c r="F76" t="str">
        <f t="shared" si="21"/>
        <v>V</v>
      </c>
      <c r="G76">
        <v>3</v>
      </c>
      <c r="H76" t="str">
        <f t="shared" si="22"/>
        <v>V</v>
      </c>
      <c r="I76" s="1749">
        <f t="shared" si="23"/>
        <v>-3.0000000000001137E-2</v>
      </c>
      <c r="J76" s="1749"/>
      <c r="K76" s="1749"/>
    </row>
    <row r="77" spans="1:11" ht="16.5" customHeight="1">
      <c r="A77" s="1749"/>
      <c r="B77" s="1749"/>
      <c r="C77">
        <v>2</v>
      </c>
      <c r="D77" t="str">
        <f t="shared" si="20"/>
        <v>V</v>
      </c>
      <c r="E77">
        <v>1.9990000000000001</v>
      </c>
      <c r="F77" t="str">
        <f t="shared" si="21"/>
        <v>V</v>
      </c>
      <c r="G77">
        <v>1.9990000000000001</v>
      </c>
      <c r="H77" t="str">
        <f t="shared" si="22"/>
        <v>V</v>
      </c>
      <c r="I77" s="1749">
        <f t="shared" si="23"/>
        <v>-9.9999999999988987E-3</v>
      </c>
      <c r="J77" s="1749"/>
      <c r="K77" s="1749"/>
    </row>
    <row r="78" spans="1:11" ht="16.5" customHeight="1">
      <c r="A78" s="1749"/>
      <c r="B78" s="1749"/>
      <c r="C78">
        <v>1</v>
      </c>
      <c r="D78" t="str">
        <f t="shared" si="20"/>
        <v>V</v>
      </c>
      <c r="E78">
        <v>0.999</v>
      </c>
      <c r="F78" t="str">
        <f t="shared" si="21"/>
        <v>V</v>
      </c>
      <c r="G78">
        <v>1.002</v>
      </c>
      <c r="H78" t="str">
        <f t="shared" si="22"/>
        <v>V</v>
      </c>
      <c r="I78" s="1749">
        <f t="shared" si="23"/>
        <v>2.0000000000000018E-2</v>
      </c>
      <c r="J78" s="1749"/>
      <c r="K78" s="1749"/>
    </row>
    <row r="79" spans="1:11" ht="30" customHeight="1">
      <c r="A79"/>
      <c r="B79"/>
      <c r="C79"/>
      <c r="D79"/>
      <c r="E79"/>
      <c r="F79"/>
      <c r="G79"/>
      <c r="H79"/>
      <c r="I79"/>
      <c r="J79"/>
    </row>
    <row r="80" spans="1:11" ht="19.5" customHeight="1">
      <c r="A80" s="1749" t="s">
        <v>4110</v>
      </c>
      <c r="B80" s="1749"/>
      <c r="C80" s="1749"/>
      <c r="D80" s="1749"/>
      <c r="E80" s="1749"/>
      <c r="F80" s="1749"/>
      <c r="G80" s="1749"/>
      <c r="H80" s="1749"/>
      <c r="I80" s="1749"/>
      <c r="J80" s="1749"/>
    </row>
    <row r="81" spans="1:11" ht="16.5" customHeight="1">
      <c r="A81" s="1749" t="s">
        <v>4088</v>
      </c>
      <c r="B81" s="1749"/>
      <c r="C81" s="1749" t="s">
        <v>4089</v>
      </c>
      <c r="D81" s="1749"/>
      <c r="E81" s="1749" t="s">
        <v>4111</v>
      </c>
      <c r="F81" s="1749"/>
      <c r="G81" s="1749"/>
      <c r="H81" s="1749"/>
      <c r="I81" s="1749" t="s">
        <v>4104</v>
      </c>
      <c r="J81" s="1749"/>
      <c r="K81" s="1749" t="s">
        <v>4092</v>
      </c>
    </row>
    <row r="82" spans="1:11" ht="16.5" customHeight="1">
      <c r="A82" s="1749"/>
      <c r="B82" s="1749"/>
      <c r="C82" s="1749"/>
      <c r="D82" s="1749"/>
      <c r="E82" s="1749" t="s">
        <v>4093</v>
      </c>
      <c r="F82" s="1749"/>
      <c r="G82" s="1749" t="s">
        <v>4105</v>
      </c>
      <c r="H82" s="1749"/>
      <c r="I82" s="1749"/>
      <c r="J82" s="1749"/>
      <c r="K82" s="1749"/>
    </row>
    <row r="83" spans="1:11" ht="16.5" customHeight="1">
      <c r="A83" s="1749">
        <v>10</v>
      </c>
      <c r="B83" s="1749" t="s">
        <v>4098</v>
      </c>
      <c r="C83">
        <v>10</v>
      </c>
      <c r="D83" t="str">
        <f t="shared" ref="D83:D92" si="24">B$7</f>
        <v>V</v>
      </c>
      <c r="E83">
        <v>9.9909999999999997</v>
      </c>
      <c r="F83" t="str">
        <f t="shared" ref="F83:F92" si="25">B$7</f>
        <v>V</v>
      </c>
      <c r="G83">
        <v>9.9909999999999997</v>
      </c>
      <c r="H83" t="str">
        <f>B$7</f>
        <v>V</v>
      </c>
      <c r="I83" s="1749">
        <f>IF(G83="/",(E83-C83)/10*100,IF(ABS(E83-C83)&gt;ABS(G83-C83),(E83-C83)/10*100,(G83-C83)/10*100))</f>
        <v>-9.0000000000003411E-2</v>
      </c>
      <c r="J83" s="1749"/>
      <c r="K83" s="1749">
        <f>2*(0.00000005^2+0.000003^2+0.000029^2)^0.5</f>
        <v>5.8309604697682525E-5</v>
      </c>
    </row>
    <row r="84" spans="1:11" ht="16.5" customHeight="1">
      <c r="A84" s="1749"/>
      <c r="B84" s="1749"/>
      <c r="C84">
        <v>9</v>
      </c>
      <c r="D84" t="str">
        <f t="shared" si="24"/>
        <v>V</v>
      </c>
      <c r="E84">
        <v>8.9920000000000009</v>
      </c>
      <c r="F84" t="str">
        <f t="shared" si="25"/>
        <v>V</v>
      </c>
      <c r="G84">
        <v>9.0030000000000001</v>
      </c>
      <c r="H84" t="str">
        <f t="shared" ref="H84:H92" si="26">B$7</f>
        <v>V</v>
      </c>
      <c r="I84" s="1749">
        <f t="shared" ref="I84:I92" si="27">IF(G84="/",(E84-C84)/10*100,IF(ABS(E84-C84)&gt;ABS(G84-C84),(E84-C84)/10*100,(G84-C84)/10*100))</f>
        <v>-7.9999999999991189E-2</v>
      </c>
      <c r="J84" s="1749"/>
      <c r="K84" s="1749"/>
    </row>
    <row r="85" spans="1:11" ht="16.5" customHeight="1">
      <c r="A85" s="1749"/>
      <c r="B85" s="1749"/>
      <c r="C85">
        <v>8</v>
      </c>
      <c r="D85" t="str">
        <f t="shared" si="24"/>
        <v>V</v>
      </c>
      <c r="E85">
        <v>7.9909999999999997</v>
      </c>
      <c r="F85" t="str">
        <f t="shared" si="25"/>
        <v>V</v>
      </c>
      <c r="G85">
        <v>7.9930000000000003</v>
      </c>
      <c r="H85" t="str">
        <f t="shared" si="26"/>
        <v>V</v>
      </c>
      <c r="I85" s="1749">
        <f t="shared" si="27"/>
        <v>-9.0000000000003411E-2</v>
      </c>
      <c r="J85" s="1749"/>
      <c r="K85" s="1749"/>
    </row>
    <row r="86" spans="1:11" ht="16.5" customHeight="1">
      <c r="A86" s="1749"/>
      <c r="B86" s="1749"/>
      <c r="C86">
        <v>7</v>
      </c>
      <c r="D86" t="str">
        <f t="shared" si="24"/>
        <v>V</v>
      </c>
      <c r="E86">
        <v>6.9930000000000003</v>
      </c>
      <c r="F86" t="str">
        <f t="shared" si="25"/>
        <v>V</v>
      </c>
      <c r="G86">
        <v>6.9930000000000003</v>
      </c>
      <c r="H86" t="str">
        <f t="shared" si="26"/>
        <v>V</v>
      </c>
      <c r="I86" s="1749">
        <f t="shared" si="27"/>
        <v>-6.9999999999996732E-2</v>
      </c>
      <c r="J86" s="1749"/>
      <c r="K86" s="1749"/>
    </row>
    <row r="87" spans="1:11" ht="16.5" customHeight="1">
      <c r="A87" s="1749"/>
      <c r="B87" s="1749"/>
      <c r="C87">
        <v>6</v>
      </c>
      <c r="D87" t="str">
        <f t="shared" si="24"/>
        <v>V</v>
      </c>
      <c r="E87">
        <v>5.9930000000000003</v>
      </c>
      <c r="F87" t="str">
        <f t="shared" si="25"/>
        <v>V</v>
      </c>
      <c r="G87">
        <v>5.9950000000000001</v>
      </c>
      <c r="H87" t="str">
        <f t="shared" si="26"/>
        <v>V</v>
      </c>
      <c r="I87" s="1749">
        <f t="shared" si="27"/>
        <v>-6.9999999999996732E-2</v>
      </c>
      <c r="J87" s="1749"/>
      <c r="K87" s="1749"/>
    </row>
    <row r="88" spans="1:11" ht="16.5" customHeight="1">
      <c r="A88" s="1749"/>
      <c r="B88" s="1749"/>
      <c r="C88">
        <v>5</v>
      </c>
      <c r="D88" t="str">
        <f t="shared" si="24"/>
        <v>V</v>
      </c>
      <c r="E88">
        <v>4.9930000000000003</v>
      </c>
      <c r="F88" t="str">
        <f t="shared" si="25"/>
        <v>V</v>
      </c>
      <c r="G88">
        <v>4.9960000000000004</v>
      </c>
      <c r="H88" t="str">
        <f t="shared" si="26"/>
        <v>V</v>
      </c>
      <c r="I88" s="1749">
        <f t="shared" si="27"/>
        <v>-6.9999999999996732E-2</v>
      </c>
      <c r="J88" s="1749"/>
      <c r="K88" s="1749"/>
    </row>
    <row r="89" spans="1:11" ht="16.5" customHeight="1">
      <c r="A89" s="1749"/>
      <c r="B89" s="1749"/>
      <c r="C89">
        <v>4</v>
      </c>
      <c r="D89" t="str">
        <f t="shared" si="24"/>
        <v>V</v>
      </c>
      <c r="E89">
        <v>3.9950000000000001</v>
      </c>
      <c r="F89" t="str">
        <f t="shared" si="25"/>
        <v>V</v>
      </c>
      <c r="G89">
        <v>3.9969999999999999</v>
      </c>
      <c r="H89" t="str">
        <f t="shared" si="26"/>
        <v>V</v>
      </c>
      <c r="I89" s="1749">
        <f t="shared" si="27"/>
        <v>-4.9999999999998941E-2</v>
      </c>
      <c r="J89" s="1749"/>
      <c r="K89" s="1749"/>
    </row>
    <row r="90" spans="1:11" ht="16.5" customHeight="1">
      <c r="A90" s="1749"/>
      <c r="B90" s="1749"/>
      <c r="C90">
        <v>3</v>
      </c>
      <c r="D90" t="str">
        <f t="shared" si="24"/>
        <v>V</v>
      </c>
      <c r="E90">
        <v>2.9969999999999999</v>
      </c>
      <c r="F90" t="str">
        <f t="shared" si="25"/>
        <v>V</v>
      </c>
      <c r="G90">
        <v>2.9969999999999999</v>
      </c>
      <c r="H90" t="str">
        <f t="shared" si="26"/>
        <v>V</v>
      </c>
      <c r="I90" s="1749">
        <f t="shared" si="27"/>
        <v>-3.0000000000001137E-2</v>
      </c>
      <c r="J90" s="1749"/>
      <c r="K90" s="1749"/>
    </row>
    <row r="91" spans="1:11" ht="16.5" customHeight="1">
      <c r="A91" s="1749"/>
      <c r="B91" s="1749"/>
      <c r="C91">
        <v>2</v>
      </c>
      <c r="D91" t="str">
        <f t="shared" si="24"/>
        <v>V</v>
      </c>
      <c r="E91">
        <v>1.9970000000000001</v>
      </c>
      <c r="F91" t="str">
        <f t="shared" si="25"/>
        <v>V</v>
      </c>
      <c r="G91">
        <v>1.9990000000000001</v>
      </c>
      <c r="H91" t="str">
        <f t="shared" si="26"/>
        <v>V</v>
      </c>
      <c r="I91" s="1749">
        <f t="shared" si="27"/>
        <v>-2.999999999999892E-2</v>
      </c>
      <c r="J91" s="1749"/>
      <c r="K91" s="1749"/>
    </row>
    <row r="92" spans="1:11" ht="16.5" customHeight="1">
      <c r="A92" s="1749"/>
      <c r="B92" s="1749"/>
      <c r="C92">
        <v>1</v>
      </c>
      <c r="D92" t="str">
        <f t="shared" si="24"/>
        <v>V</v>
      </c>
      <c r="E92">
        <v>0.997</v>
      </c>
      <c r="F92" t="str">
        <f t="shared" si="25"/>
        <v>V</v>
      </c>
      <c r="G92">
        <v>1</v>
      </c>
      <c r="H92" t="str">
        <f t="shared" si="26"/>
        <v>V</v>
      </c>
      <c r="I92" s="1749">
        <f t="shared" si="27"/>
        <v>-3.0000000000000023E-2</v>
      </c>
      <c r="J92" s="1749"/>
      <c r="K92" s="1749"/>
    </row>
    <row r="93" spans="1:11" ht="16.5" customHeight="1">
      <c r="A93" s="1749" t="s">
        <v>4096</v>
      </c>
      <c r="B93" s="1749"/>
      <c r="C93" s="1749" t="s">
        <v>4108</v>
      </c>
      <c r="D93" s="1749"/>
      <c r="E93" s="1749" t="s">
        <v>4112</v>
      </c>
      <c r="F93" s="1749"/>
      <c r="G93" s="1749"/>
      <c r="H93" s="1749"/>
      <c r="I93" s="1749" t="s">
        <v>4104</v>
      </c>
      <c r="J93" s="1749"/>
      <c r="K93" s="1749" t="s">
        <v>4101</v>
      </c>
    </row>
    <row r="94" spans="1:11" ht="16.5" customHeight="1">
      <c r="A94" s="1749"/>
      <c r="B94" s="1749"/>
      <c r="C94" s="1749"/>
      <c r="D94" s="1749"/>
      <c r="E94" s="1749" t="s">
        <v>4093</v>
      </c>
      <c r="F94" s="1749"/>
      <c r="G94" s="1749" t="s">
        <v>4105</v>
      </c>
      <c r="H94" s="1749"/>
      <c r="I94" s="1749"/>
      <c r="J94" s="1749"/>
      <c r="K94" s="1749"/>
    </row>
    <row r="95" spans="1:11" ht="16.5" customHeight="1">
      <c r="A95" s="1749">
        <v>10</v>
      </c>
      <c r="B95" s="1749" t="s">
        <v>4098</v>
      </c>
      <c r="C95">
        <v>10</v>
      </c>
      <c r="D95" t="str">
        <f t="shared" ref="D95:D104" si="28">B$7</f>
        <v>V</v>
      </c>
      <c r="E95">
        <v>9.9920000000000009</v>
      </c>
      <c r="F95" t="str">
        <f t="shared" ref="F95:F104" si="29">B$7</f>
        <v>V</v>
      </c>
      <c r="G95">
        <v>9.9909999999999997</v>
      </c>
      <c r="H95" t="str">
        <f>B$7</f>
        <v>V</v>
      </c>
      <c r="I95" s="1749">
        <f>IF(G95="/",(E95-C95)/10*100,IF(ABS(E95-C95)&gt;ABS(G95-C95),(E95-C95)/10*100,(G95-C95)/10*100))</f>
        <v>-9.0000000000003411E-2</v>
      </c>
      <c r="J95" s="1749"/>
      <c r="K95" s="1749">
        <f>2*(0.00000005^2+0.000003^2+0.000029^2)^0.5</f>
        <v>5.8309604697682525E-5</v>
      </c>
    </row>
    <row r="96" spans="1:11" ht="16.5" customHeight="1">
      <c r="A96" s="1749"/>
      <c r="B96" s="1749"/>
      <c r="C96">
        <v>9</v>
      </c>
      <c r="D96" t="str">
        <f t="shared" si="28"/>
        <v>V</v>
      </c>
      <c r="E96">
        <v>8.9909999999999997</v>
      </c>
      <c r="F96" t="str">
        <f t="shared" si="29"/>
        <v>V</v>
      </c>
      <c r="G96">
        <v>8.9909999999999997</v>
      </c>
      <c r="H96" t="str">
        <f t="shared" ref="H96:H104" si="30">B$7</f>
        <v>V</v>
      </c>
      <c r="I96" s="1749">
        <f t="shared" ref="I96:I104" si="31">IF(G96="/",(E96-C96)/10*100,IF(ABS(E96-C96)&gt;ABS(G96-C96),(E96-C96)/10*100,(G96-C96)/10*100))</f>
        <v>-9.0000000000003411E-2</v>
      </c>
      <c r="J96" s="1749"/>
      <c r="K96" s="1749"/>
    </row>
    <row r="97" spans="1:11" ht="16.5" customHeight="1">
      <c r="A97" s="1749"/>
      <c r="B97" s="1749"/>
      <c r="C97">
        <v>8</v>
      </c>
      <c r="D97" t="str">
        <f t="shared" si="28"/>
        <v>V</v>
      </c>
      <c r="E97">
        <v>7.9930000000000003</v>
      </c>
      <c r="F97" t="str">
        <f t="shared" si="29"/>
        <v>V</v>
      </c>
      <c r="G97">
        <v>7.9930000000000003</v>
      </c>
      <c r="H97" t="str">
        <f t="shared" si="30"/>
        <v>V</v>
      </c>
      <c r="I97" s="1749">
        <f t="shared" si="31"/>
        <v>-6.9999999999996732E-2</v>
      </c>
      <c r="J97" s="1749"/>
      <c r="K97" s="1749"/>
    </row>
    <row r="98" spans="1:11" ht="16.5" customHeight="1">
      <c r="A98" s="1749"/>
      <c r="B98" s="1749"/>
      <c r="C98">
        <v>7</v>
      </c>
      <c r="D98" t="str">
        <f t="shared" si="28"/>
        <v>V</v>
      </c>
      <c r="E98">
        <v>6.9939999999999998</v>
      </c>
      <c r="F98" t="str">
        <f t="shared" si="29"/>
        <v>V</v>
      </c>
      <c r="G98">
        <v>6.9930000000000003</v>
      </c>
      <c r="H98" t="str">
        <f t="shared" si="30"/>
        <v>V</v>
      </c>
      <c r="I98" s="1749">
        <f t="shared" si="31"/>
        <v>-6.9999999999996732E-2</v>
      </c>
      <c r="J98" s="1749"/>
      <c r="K98" s="1749"/>
    </row>
    <row r="99" spans="1:11" ht="16.5" customHeight="1">
      <c r="A99" s="1749"/>
      <c r="B99" s="1749"/>
      <c r="C99">
        <v>6</v>
      </c>
      <c r="D99" t="str">
        <f t="shared" si="28"/>
        <v>V</v>
      </c>
      <c r="E99">
        <v>5.9930000000000003</v>
      </c>
      <c r="F99" t="str">
        <f t="shared" si="29"/>
        <v>V</v>
      </c>
      <c r="G99">
        <v>5.9939999999999998</v>
      </c>
      <c r="H99" t="str">
        <f t="shared" si="30"/>
        <v>V</v>
      </c>
      <c r="I99" s="1749">
        <f t="shared" si="31"/>
        <v>-6.9999999999996732E-2</v>
      </c>
      <c r="J99" s="1749"/>
      <c r="K99" s="1749"/>
    </row>
    <row r="100" spans="1:11" ht="16.5" customHeight="1">
      <c r="A100" s="1749"/>
      <c r="B100" s="1749"/>
      <c r="C100">
        <v>5</v>
      </c>
      <c r="D100" t="str">
        <f t="shared" si="28"/>
        <v>V</v>
      </c>
      <c r="E100">
        <v>4.9950000000000001</v>
      </c>
      <c r="F100" t="str">
        <f t="shared" si="29"/>
        <v>V</v>
      </c>
      <c r="G100">
        <v>4.9960000000000004</v>
      </c>
      <c r="H100" t="str">
        <f t="shared" si="30"/>
        <v>V</v>
      </c>
      <c r="I100" s="1749">
        <f t="shared" si="31"/>
        <v>-4.9999999999998941E-2</v>
      </c>
      <c r="J100" s="1749"/>
      <c r="K100" s="1749"/>
    </row>
    <row r="101" spans="1:11" ht="16.5" customHeight="1">
      <c r="A101" s="1749"/>
      <c r="B101" s="1749"/>
      <c r="C101">
        <v>4</v>
      </c>
      <c r="D101" t="str">
        <f t="shared" si="28"/>
        <v>V</v>
      </c>
      <c r="E101">
        <v>3.9969999999999999</v>
      </c>
      <c r="F101" t="str">
        <f t="shared" si="29"/>
        <v>V</v>
      </c>
      <c r="G101">
        <v>3.9969999999999999</v>
      </c>
      <c r="H101" t="str">
        <f t="shared" si="30"/>
        <v>V</v>
      </c>
      <c r="I101" s="1749">
        <f t="shared" si="31"/>
        <v>-3.0000000000001137E-2</v>
      </c>
      <c r="J101" s="1749"/>
      <c r="K101" s="1749"/>
    </row>
    <row r="102" spans="1:11" ht="16.5" customHeight="1">
      <c r="A102" s="1749"/>
      <c r="B102" s="1749"/>
      <c r="C102">
        <v>3</v>
      </c>
      <c r="D102" t="str">
        <f t="shared" si="28"/>
        <v>V</v>
      </c>
      <c r="E102">
        <v>2.9969999999999999</v>
      </c>
      <c r="F102" t="str">
        <f t="shared" si="29"/>
        <v>V</v>
      </c>
      <c r="G102">
        <v>2.9969999999999999</v>
      </c>
      <c r="H102" t="str">
        <f t="shared" si="30"/>
        <v>V</v>
      </c>
      <c r="I102" s="1749">
        <f t="shared" si="31"/>
        <v>-3.0000000000001137E-2</v>
      </c>
      <c r="J102" s="1749"/>
      <c r="K102" s="1749"/>
    </row>
    <row r="103" spans="1:11" ht="16.5" customHeight="1">
      <c r="A103" s="1749"/>
      <c r="B103" s="1749"/>
      <c r="C103">
        <v>2</v>
      </c>
      <c r="D103" t="str">
        <f t="shared" si="28"/>
        <v>V</v>
      </c>
      <c r="E103">
        <v>1.998</v>
      </c>
      <c r="F103" t="str">
        <f t="shared" si="29"/>
        <v>V</v>
      </c>
      <c r="G103">
        <v>1.998</v>
      </c>
      <c r="H103" t="str">
        <f t="shared" si="30"/>
        <v>V</v>
      </c>
      <c r="I103" s="1749">
        <f t="shared" si="31"/>
        <v>-2.0000000000000018E-2</v>
      </c>
      <c r="J103" s="1749"/>
      <c r="K103" s="1749"/>
    </row>
    <row r="104" spans="1:11" ht="16.5" customHeight="1">
      <c r="A104" s="1749"/>
      <c r="B104" s="1749"/>
      <c r="C104">
        <v>1</v>
      </c>
      <c r="D104" t="str">
        <f t="shared" si="28"/>
        <v>V</v>
      </c>
      <c r="E104">
        <v>0.999</v>
      </c>
      <c r="F104" t="str">
        <f t="shared" si="29"/>
        <v>V</v>
      </c>
      <c r="G104">
        <v>1</v>
      </c>
      <c r="H104" t="str">
        <f t="shared" si="30"/>
        <v>V</v>
      </c>
      <c r="I104" s="1749">
        <f t="shared" si="31"/>
        <v>-1.0000000000000009E-2</v>
      </c>
      <c r="J104" s="1749"/>
      <c r="K104" s="1749"/>
    </row>
    <row r="105" spans="1:11" ht="16.5" customHeight="1">
      <c r="A105" s="1749" t="s">
        <v>4096</v>
      </c>
      <c r="B105" s="1749"/>
      <c r="C105" s="1749" t="s">
        <v>4108</v>
      </c>
      <c r="D105" s="1749"/>
      <c r="E105" s="1749" t="s">
        <v>4113</v>
      </c>
      <c r="F105" s="1749"/>
      <c r="G105" s="1749"/>
      <c r="H105" s="1749"/>
      <c r="I105" s="1749" t="s">
        <v>4104</v>
      </c>
      <c r="J105" s="1749"/>
      <c r="K105" s="1749" t="s">
        <v>4101</v>
      </c>
    </row>
    <row r="106" spans="1:11" ht="16.5" customHeight="1">
      <c r="A106" s="1749"/>
      <c r="B106" s="1749"/>
      <c r="C106" s="1749"/>
      <c r="D106" s="1749"/>
      <c r="E106" s="1749" t="s">
        <v>4107</v>
      </c>
      <c r="F106" s="1749"/>
      <c r="G106" s="1749" t="s">
        <v>4094</v>
      </c>
      <c r="H106" s="1749"/>
      <c r="I106" s="1749"/>
      <c r="J106" s="1749"/>
      <c r="K106" s="1749"/>
    </row>
    <row r="107" spans="1:11" ht="16.5" customHeight="1">
      <c r="A107" s="1749">
        <v>10</v>
      </c>
      <c r="B107" s="1749" t="s">
        <v>4098</v>
      </c>
      <c r="C107">
        <v>10</v>
      </c>
      <c r="D107" t="str">
        <f t="shared" ref="D107:D116" si="32">B$7</f>
        <v>V</v>
      </c>
      <c r="E107">
        <v>9.9930000000000003</v>
      </c>
      <c r="F107" t="str">
        <f t="shared" ref="F107:F116" si="33">B$7</f>
        <v>V</v>
      </c>
      <c r="G107">
        <v>9.9949999999999992</v>
      </c>
      <c r="H107" t="str">
        <f>B$7</f>
        <v>V</v>
      </c>
      <c r="I107" s="1749">
        <f>IF(G107="/",(E107-C107)/10*100,IF(ABS(E107-C107)&gt;ABS(G107-C107),(E107-C107)/10*100,(G107-C107)/10*100))</f>
        <v>-6.9999999999996732E-2</v>
      </c>
      <c r="J107" s="1749"/>
      <c r="K107" s="1749">
        <f>2*(0.00000005^2+0.000003^2+0.000029^2)^0.5</f>
        <v>5.8309604697682525E-5</v>
      </c>
    </row>
    <row r="108" spans="1:11" ht="16.5" customHeight="1">
      <c r="A108" s="1749"/>
      <c r="B108" s="1749"/>
      <c r="C108">
        <v>9</v>
      </c>
      <c r="D108" t="str">
        <f t="shared" si="32"/>
        <v>V</v>
      </c>
      <c r="E108">
        <v>8.9930000000000003</v>
      </c>
      <c r="F108" t="str">
        <f t="shared" si="33"/>
        <v>V</v>
      </c>
      <c r="G108">
        <v>8.9960000000000004</v>
      </c>
      <c r="H108" t="str">
        <f t="shared" ref="H108:H116" si="34">B$7</f>
        <v>V</v>
      </c>
      <c r="I108" s="1749">
        <f t="shared" ref="I108:I116" si="35">IF(G108="/",(E108-C108)/10*100,IF(ABS(E108-C108)&gt;ABS(G108-C108),(E108-C108)/10*100,(G108-C108)/10*100))</f>
        <v>-6.9999999999996732E-2</v>
      </c>
      <c r="J108" s="1749"/>
      <c r="K108" s="1749"/>
    </row>
    <row r="109" spans="1:11" ht="16.5" customHeight="1">
      <c r="A109" s="1749"/>
      <c r="B109" s="1749"/>
      <c r="C109">
        <v>8</v>
      </c>
      <c r="D109" t="str">
        <f t="shared" si="32"/>
        <v>V</v>
      </c>
      <c r="E109">
        <v>7.9939999999999998</v>
      </c>
      <c r="F109" t="str">
        <f t="shared" si="33"/>
        <v>V</v>
      </c>
      <c r="G109">
        <v>7.9939999999999998</v>
      </c>
      <c r="H109" t="str">
        <f t="shared" si="34"/>
        <v>V</v>
      </c>
      <c r="I109" s="1749">
        <f t="shared" si="35"/>
        <v>-6.0000000000002274E-2</v>
      </c>
      <c r="J109" s="1749"/>
      <c r="K109" s="1749"/>
    </row>
    <row r="110" spans="1:11" ht="16.5" customHeight="1">
      <c r="A110" s="1749"/>
      <c r="B110" s="1749"/>
      <c r="C110">
        <v>7</v>
      </c>
      <c r="D110" t="str">
        <f t="shared" si="32"/>
        <v>V</v>
      </c>
      <c r="E110">
        <v>6.9939999999999998</v>
      </c>
      <c r="F110" t="str">
        <f t="shared" si="33"/>
        <v>V</v>
      </c>
      <c r="G110">
        <v>6.9969999999999999</v>
      </c>
      <c r="H110" t="str">
        <f t="shared" si="34"/>
        <v>V</v>
      </c>
      <c r="I110" s="1749">
        <f t="shared" si="35"/>
        <v>-6.0000000000002274E-2</v>
      </c>
      <c r="J110" s="1749"/>
      <c r="K110" s="1749"/>
    </row>
    <row r="111" spans="1:11" ht="16.5" customHeight="1">
      <c r="A111" s="1749"/>
      <c r="B111" s="1749"/>
      <c r="C111">
        <v>6</v>
      </c>
      <c r="D111" t="str">
        <f t="shared" si="32"/>
        <v>V</v>
      </c>
      <c r="E111">
        <v>5.9939999999999998</v>
      </c>
      <c r="F111" t="str">
        <f t="shared" si="33"/>
        <v>V</v>
      </c>
      <c r="G111">
        <v>5.9969999999999999</v>
      </c>
      <c r="H111" t="str">
        <f t="shared" si="34"/>
        <v>V</v>
      </c>
      <c r="I111" s="1749">
        <f t="shared" si="35"/>
        <v>-6.0000000000002274E-2</v>
      </c>
      <c r="J111" s="1749"/>
      <c r="K111" s="1749"/>
    </row>
    <row r="112" spans="1:11" ht="16.5" customHeight="1">
      <c r="A112" s="1749"/>
      <c r="B112" s="1749"/>
      <c r="C112">
        <v>5</v>
      </c>
      <c r="D112" t="str">
        <f t="shared" si="32"/>
        <v>V</v>
      </c>
      <c r="E112">
        <v>4.9950000000000001</v>
      </c>
      <c r="F112" t="str">
        <f t="shared" si="33"/>
        <v>V</v>
      </c>
      <c r="G112">
        <v>4.9969999999999999</v>
      </c>
      <c r="H112" t="str">
        <f t="shared" si="34"/>
        <v>V</v>
      </c>
      <c r="I112" s="1749">
        <f t="shared" si="35"/>
        <v>-4.9999999999998941E-2</v>
      </c>
      <c r="J112" s="1749"/>
      <c r="K112" s="1749"/>
    </row>
    <row r="113" spans="1:11" ht="16.5" customHeight="1">
      <c r="A113" s="1749"/>
      <c r="B113" s="1749"/>
      <c r="C113">
        <v>4</v>
      </c>
      <c r="D113" t="str">
        <f t="shared" si="32"/>
        <v>V</v>
      </c>
      <c r="E113">
        <v>3.996</v>
      </c>
      <c r="F113" t="str">
        <f t="shared" si="33"/>
        <v>V</v>
      </c>
      <c r="G113">
        <v>3.9980000000000002</v>
      </c>
      <c r="H113" t="str">
        <f t="shared" si="34"/>
        <v>V</v>
      </c>
      <c r="I113" s="1749">
        <f t="shared" si="35"/>
        <v>-4.0000000000000036E-2</v>
      </c>
      <c r="J113" s="1749"/>
      <c r="K113" s="1749"/>
    </row>
    <row r="114" spans="1:11" ht="16.5" customHeight="1">
      <c r="A114" s="1749"/>
      <c r="B114" s="1749"/>
      <c r="C114">
        <v>3</v>
      </c>
      <c r="D114" t="str">
        <f t="shared" si="32"/>
        <v>V</v>
      </c>
      <c r="E114">
        <v>2.9969999999999999</v>
      </c>
      <c r="F114" t="str">
        <f t="shared" si="33"/>
        <v>V</v>
      </c>
      <c r="G114">
        <v>2.9990000000000001</v>
      </c>
      <c r="H114" t="str">
        <f t="shared" si="34"/>
        <v>V</v>
      </c>
      <c r="I114" s="1749">
        <f t="shared" si="35"/>
        <v>-3.0000000000001137E-2</v>
      </c>
      <c r="J114" s="1749"/>
      <c r="K114" s="1749"/>
    </row>
    <row r="115" spans="1:11" ht="16.5" customHeight="1">
      <c r="A115" s="1749"/>
      <c r="B115" s="1749"/>
      <c r="C115">
        <v>2</v>
      </c>
      <c r="D115" t="str">
        <f t="shared" si="32"/>
        <v>V</v>
      </c>
      <c r="E115">
        <v>1.9970000000000001</v>
      </c>
      <c r="F115" t="str">
        <f t="shared" si="33"/>
        <v>V</v>
      </c>
      <c r="G115">
        <v>2</v>
      </c>
      <c r="H115" t="str">
        <f t="shared" si="34"/>
        <v>V</v>
      </c>
      <c r="I115" s="1749">
        <f t="shared" si="35"/>
        <v>-2.999999999999892E-2</v>
      </c>
      <c r="J115" s="1749"/>
      <c r="K115" s="1749"/>
    </row>
    <row r="116" spans="1:11" ht="16.5" customHeight="1">
      <c r="A116" s="1749"/>
      <c r="B116" s="1749"/>
      <c r="C116">
        <v>1</v>
      </c>
      <c r="D116" t="str">
        <f t="shared" si="32"/>
        <v>V</v>
      </c>
      <c r="E116">
        <v>0.998</v>
      </c>
      <c r="F116" t="str">
        <f t="shared" si="33"/>
        <v>V</v>
      </c>
      <c r="G116">
        <v>1</v>
      </c>
      <c r="H116" t="str">
        <f t="shared" si="34"/>
        <v>V</v>
      </c>
      <c r="I116" s="1749">
        <f t="shared" si="35"/>
        <v>-2.0000000000000018E-2</v>
      </c>
      <c r="J116" s="1749"/>
      <c r="K116" s="1749"/>
    </row>
    <row r="117" spans="1:11" ht="30" customHeight="1">
      <c r="A117"/>
      <c r="B117"/>
      <c r="C117"/>
      <c r="D117"/>
      <c r="E117"/>
      <c r="F117"/>
      <c r="G117"/>
      <c r="H117"/>
      <c r="I117"/>
      <c r="J117"/>
    </row>
    <row r="118" spans="1:11" ht="19.5" customHeight="1">
      <c r="A118" s="1749" t="s">
        <v>4110</v>
      </c>
      <c r="B118" s="1749"/>
      <c r="C118" s="1749"/>
      <c r="D118" s="1749"/>
      <c r="E118" s="1749"/>
      <c r="F118" s="1749"/>
      <c r="G118" s="1749"/>
      <c r="H118" s="1749"/>
      <c r="I118" s="1749"/>
      <c r="J118" s="1749"/>
    </row>
    <row r="119" spans="1:11" ht="16.5" customHeight="1">
      <c r="A119" s="1749" t="s">
        <v>4096</v>
      </c>
      <c r="B119" s="1749"/>
      <c r="C119" s="1749" t="s">
        <v>4108</v>
      </c>
      <c r="D119" s="1749"/>
      <c r="E119" s="1749" t="s">
        <v>4114</v>
      </c>
      <c r="F119" s="1749"/>
      <c r="G119" s="1749"/>
      <c r="H119" s="1749"/>
      <c r="I119" s="1749" t="s">
        <v>4104</v>
      </c>
      <c r="J119" s="1749"/>
      <c r="K119" s="1749" t="s">
        <v>4101</v>
      </c>
    </row>
    <row r="120" spans="1:11" ht="16.5" customHeight="1">
      <c r="A120" s="1749"/>
      <c r="B120" s="1749"/>
      <c r="C120" s="1749"/>
      <c r="D120" s="1749"/>
      <c r="E120" s="1749" t="s">
        <v>4107</v>
      </c>
      <c r="F120" s="1749"/>
      <c r="G120" s="1749" t="s">
        <v>4105</v>
      </c>
      <c r="H120" s="1749"/>
      <c r="I120" s="1749"/>
      <c r="J120" s="1749"/>
      <c r="K120" s="1749"/>
    </row>
    <row r="121" spans="1:11" ht="16.5" customHeight="1">
      <c r="A121" s="1749">
        <v>10</v>
      </c>
      <c r="B121" s="1749" t="s">
        <v>4098</v>
      </c>
      <c r="C121">
        <v>10</v>
      </c>
      <c r="D121" t="str">
        <f t="shared" ref="D121:D130" si="36">B$7</f>
        <v>V</v>
      </c>
      <c r="E121">
        <v>9.9909999999999997</v>
      </c>
      <c r="F121" t="str">
        <f t="shared" ref="F121:F130" si="37">B$7</f>
        <v>V</v>
      </c>
      <c r="G121">
        <v>9.9939999999999998</v>
      </c>
      <c r="H121" t="str">
        <f>B$7</f>
        <v>V</v>
      </c>
      <c r="I121" s="1749">
        <f>IF(G121="/",(E121-C121)/10*100,IF(ABS(E121-C121)&gt;ABS(G121-C121),(E121-C121)/10*100,(G121-C121)/10*100))</f>
        <v>-9.0000000000003411E-2</v>
      </c>
      <c r="J121" s="1749"/>
      <c r="K121" s="1749">
        <f>2*(0.00000005^2+0.000003^2+0.000029^2)^0.5</f>
        <v>5.8309604697682525E-5</v>
      </c>
    </row>
    <row r="122" spans="1:11" ht="16.5" customHeight="1">
      <c r="A122" s="1749"/>
      <c r="B122" s="1749"/>
      <c r="C122">
        <v>9</v>
      </c>
      <c r="D122" t="str">
        <f t="shared" si="36"/>
        <v>V</v>
      </c>
      <c r="E122">
        <v>8.9920000000000009</v>
      </c>
      <c r="F122" t="str">
        <f t="shared" si="37"/>
        <v>V</v>
      </c>
      <c r="G122">
        <v>8.9949999999999992</v>
      </c>
      <c r="H122" t="str">
        <f t="shared" ref="H122:H130" si="38">B$7</f>
        <v>V</v>
      </c>
      <c r="I122" s="1749">
        <f t="shared" ref="I122:I130" si="39">IF(G122="/",(E122-C122)/10*100,IF(ABS(E122-C122)&gt;ABS(G122-C122),(E122-C122)/10*100,(G122-C122)/10*100))</f>
        <v>-7.9999999999991189E-2</v>
      </c>
      <c r="J122" s="1749"/>
      <c r="K122" s="1749"/>
    </row>
    <row r="123" spans="1:11" ht="16.5" customHeight="1">
      <c r="A123" s="1749"/>
      <c r="B123" s="1749"/>
      <c r="C123">
        <v>8</v>
      </c>
      <c r="D123" t="str">
        <f t="shared" si="36"/>
        <v>V</v>
      </c>
      <c r="E123">
        <v>7.9939999999999998</v>
      </c>
      <c r="F123" t="str">
        <f t="shared" si="37"/>
        <v>V</v>
      </c>
      <c r="G123">
        <v>7.9939999999999998</v>
      </c>
      <c r="H123" t="str">
        <f t="shared" si="38"/>
        <v>V</v>
      </c>
      <c r="I123" s="1749">
        <f t="shared" si="39"/>
        <v>-6.0000000000002274E-2</v>
      </c>
      <c r="J123" s="1749"/>
      <c r="K123" s="1749"/>
    </row>
    <row r="124" spans="1:11" ht="16.5" customHeight="1">
      <c r="A124" s="1749"/>
      <c r="B124" s="1749"/>
      <c r="C124">
        <v>7</v>
      </c>
      <c r="D124" t="str">
        <f t="shared" si="36"/>
        <v>V</v>
      </c>
      <c r="E124">
        <v>6.9950000000000001</v>
      </c>
      <c r="F124" t="str">
        <f t="shared" si="37"/>
        <v>V</v>
      </c>
      <c r="G124">
        <v>6.9960000000000004</v>
      </c>
      <c r="H124" t="str">
        <f t="shared" si="38"/>
        <v>V</v>
      </c>
      <c r="I124" s="1749">
        <f t="shared" si="39"/>
        <v>-4.9999999999998941E-2</v>
      </c>
      <c r="J124" s="1749"/>
      <c r="K124" s="1749"/>
    </row>
    <row r="125" spans="1:11" ht="16.5" customHeight="1">
      <c r="A125" s="1749"/>
      <c r="B125" s="1749"/>
      <c r="C125">
        <v>6</v>
      </c>
      <c r="D125" t="str">
        <f t="shared" si="36"/>
        <v>V</v>
      </c>
      <c r="E125">
        <v>5.9950000000000001</v>
      </c>
      <c r="F125" t="str">
        <f t="shared" si="37"/>
        <v>V</v>
      </c>
      <c r="G125">
        <v>5.9960000000000004</v>
      </c>
      <c r="H125" t="str">
        <f t="shared" si="38"/>
        <v>V</v>
      </c>
      <c r="I125" s="1749">
        <f t="shared" si="39"/>
        <v>-4.9999999999998941E-2</v>
      </c>
      <c r="J125" s="1749"/>
      <c r="K125" s="1749"/>
    </row>
    <row r="126" spans="1:11" ht="16.5" customHeight="1">
      <c r="A126" s="1749"/>
      <c r="B126" s="1749"/>
      <c r="C126">
        <v>5</v>
      </c>
      <c r="D126" t="str">
        <f t="shared" si="36"/>
        <v>V</v>
      </c>
      <c r="E126">
        <v>4.9960000000000004</v>
      </c>
      <c r="F126" t="str">
        <f t="shared" si="37"/>
        <v>V</v>
      </c>
      <c r="G126">
        <v>4.9969999999999999</v>
      </c>
      <c r="H126" t="str">
        <f t="shared" si="38"/>
        <v>V</v>
      </c>
      <c r="I126" s="1749">
        <f t="shared" si="39"/>
        <v>-3.9999999999995595E-2</v>
      </c>
      <c r="J126" s="1749"/>
      <c r="K126" s="1749"/>
    </row>
    <row r="127" spans="1:11" ht="16.5" customHeight="1">
      <c r="A127" s="1749"/>
      <c r="B127" s="1749"/>
      <c r="C127">
        <v>4</v>
      </c>
      <c r="D127" t="str">
        <f t="shared" si="36"/>
        <v>V</v>
      </c>
      <c r="E127">
        <v>3.9969999999999999</v>
      </c>
      <c r="F127" t="str">
        <f t="shared" si="37"/>
        <v>V</v>
      </c>
      <c r="G127">
        <v>3.9969999999999999</v>
      </c>
      <c r="H127" t="str">
        <f t="shared" si="38"/>
        <v>V</v>
      </c>
      <c r="I127" s="1749">
        <f t="shared" si="39"/>
        <v>-3.0000000000001137E-2</v>
      </c>
      <c r="J127" s="1749"/>
      <c r="K127" s="1749"/>
    </row>
    <row r="128" spans="1:11" ht="16.5" customHeight="1">
      <c r="A128" s="1749"/>
      <c r="B128" s="1749"/>
      <c r="C128">
        <v>3</v>
      </c>
      <c r="D128" t="str">
        <f t="shared" si="36"/>
        <v>V</v>
      </c>
      <c r="E128">
        <v>2.9969999999999999</v>
      </c>
      <c r="F128" t="str">
        <f t="shared" si="37"/>
        <v>V</v>
      </c>
      <c r="G128">
        <v>2.9980000000000002</v>
      </c>
      <c r="H128" t="str">
        <f t="shared" si="38"/>
        <v>V</v>
      </c>
      <c r="I128" s="1749">
        <f t="shared" si="39"/>
        <v>-3.0000000000001137E-2</v>
      </c>
      <c r="J128" s="1749"/>
      <c r="K128" s="1749"/>
    </row>
    <row r="129" spans="1:11" ht="16.5" customHeight="1">
      <c r="A129" s="1749"/>
      <c r="B129" s="1749"/>
      <c r="C129">
        <v>2</v>
      </c>
      <c r="D129" t="str">
        <f t="shared" si="36"/>
        <v>V</v>
      </c>
      <c r="E129">
        <v>1.998</v>
      </c>
      <c r="F129" t="str">
        <f t="shared" si="37"/>
        <v>V</v>
      </c>
      <c r="G129">
        <v>1.9990000000000001</v>
      </c>
      <c r="H129" t="str">
        <f t="shared" si="38"/>
        <v>V</v>
      </c>
      <c r="I129" s="1749">
        <f t="shared" si="39"/>
        <v>-2.0000000000000018E-2</v>
      </c>
      <c r="J129" s="1749"/>
      <c r="K129" s="1749"/>
    </row>
    <row r="130" spans="1:11" ht="16.5" customHeight="1">
      <c r="A130" s="1749"/>
      <c r="B130" s="1749"/>
      <c r="C130">
        <v>1</v>
      </c>
      <c r="D130" t="str">
        <f t="shared" si="36"/>
        <v>V</v>
      </c>
      <c r="E130">
        <v>0.999</v>
      </c>
      <c r="F130" t="str">
        <f t="shared" si="37"/>
        <v>V</v>
      </c>
      <c r="G130">
        <v>1</v>
      </c>
      <c r="H130" t="str">
        <f t="shared" si="38"/>
        <v>V</v>
      </c>
      <c r="I130" s="1749">
        <f t="shared" si="39"/>
        <v>-1.0000000000000009E-2</v>
      </c>
      <c r="J130" s="1749"/>
      <c r="K130" s="1749"/>
    </row>
    <row r="131" spans="1:11" ht="16.5" customHeight="1">
      <c r="A131" s="1749" t="s">
        <v>4088</v>
      </c>
      <c r="B131" s="1749"/>
      <c r="C131" s="1749" t="s">
        <v>4115</v>
      </c>
      <c r="D131" s="1749"/>
      <c r="E131" s="1749" t="s">
        <v>4116</v>
      </c>
      <c r="F131" s="1749"/>
      <c r="G131" s="1749"/>
      <c r="H131" s="1749"/>
      <c r="I131" s="1749" t="s">
        <v>4117</v>
      </c>
      <c r="J131" s="1749"/>
      <c r="K131" s="1749" t="s">
        <v>4092</v>
      </c>
    </row>
    <row r="132" spans="1:11" ht="16.5" customHeight="1">
      <c r="A132" s="1749"/>
      <c r="B132" s="1749"/>
      <c r="C132" s="1749"/>
      <c r="D132" s="1749"/>
      <c r="E132" s="1749" t="s">
        <v>4093</v>
      </c>
      <c r="F132" s="1749"/>
      <c r="G132" s="1749" t="s">
        <v>4094</v>
      </c>
      <c r="H132" s="1749"/>
      <c r="I132" s="1749"/>
      <c r="J132" s="1749"/>
      <c r="K132" s="1749"/>
    </row>
    <row r="133" spans="1:11" ht="16.5" customHeight="1">
      <c r="A133" s="1749">
        <v>10</v>
      </c>
      <c r="B133" s="1749" t="s">
        <v>4098</v>
      </c>
      <c r="C133">
        <v>10</v>
      </c>
      <c r="D133" t="str">
        <f t="shared" ref="D133:D142" si="40">B$7</f>
        <v>V</v>
      </c>
      <c r="E133">
        <v>9.9930000000000003</v>
      </c>
      <c r="F133" t="str">
        <f t="shared" ref="F133:F142" si="41">B$7</f>
        <v>V</v>
      </c>
      <c r="G133">
        <v>9.9949999999999992</v>
      </c>
      <c r="H133" t="str">
        <f>B$7</f>
        <v>V</v>
      </c>
      <c r="I133" s="1749">
        <f>IF(G133="/",(E133-C133)/10*100,IF(ABS(E133-C133)&gt;ABS(G133-C133),(E133-C133)/10*100,(G133-C133)/10*100))</f>
        <v>-6.9999999999996732E-2</v>
      </c>
      <c r="J133" s="1749"/>
      <c r="K133" s="1749">
        <f>2*(0.00000005^2+0.000003^2+0.000029^2)^0.5</f>
        <v>5.8309604697682525E-5</v>
      </c>
    </row>
    <row r="134" spans="1:11" ht="16.5" customHeight="1">
      <c r="A134" s="1749"/>
      <c r="B134" s="1749"/>
      <c r="C134">
        <v>9</v>
      </c>
      <c r="D134" t="str">
        <f t="shared" si="40"/>
        <v>V</v>
      </c>
      <c r="E134">
        <v>8.9930000000000003</v>
      </c>
      <c r="F134" t="str">
        <f t="shared" si="41"/>
        <v>V</v>
      </c>
      <c r="G134">
        <v>8.9949999999999992</v>
      </c>
      <c r="H134" t="str">
        <f t="shared" ref="H134:H142" si="42">B$7</f>
        <v>V</v>
      </c>
      <c r="I134" s="1749">
        <f t="shared" ref="I134:I141" si="43">IF(G134="/",(E134-C134)/10*100,IF(ABS(E134-C134)&gt;ABS(G134-C134),(E134-C134)/10*100,(G134-C134)/10*100))</f>
        <v>-6.9999999999996732E-2</v>
      </c>
      <c r="J134" s="1749"/>
      <c r="K134" s="1749"/>
    </row>
    <row r="135" spans="1:11" ht="16.5" customHeight="1">
      <c r="A135" s="1749"/>
      <c r="B135" s="1749"/>
      <c r="C135">
        <v>8</v>
      </c>
      <c r="D135" t="str">
        <f t="shared" si="40"/>
        <v>V</v>
      </c>
      <c r="E135">
        <v>7.9939999999999998</v>
      </c>
      <c r="F135" t="str">
        <f t="shared" si="41"/>
        <v>V</v>
      </c>
      <c r="G135">
        <v>7.9960000000000004</v>
      </c>
      <c r="H135" t="str">
        <f t="shared" si="42"/>
        <v>V</v>
      </c>
      <c r="I135" s="1749">
        <f t="shared" si="43"/>
        <v>-6.0000000000002274E-2</v>
      </c>
      <c r="J135" s="1749"/>
      <c r="K135" s="1749"/>
    </row>
    <row r="136" spans="1:11" ht="16.5" customHeight="1">
      <c r="A136" s="1749"/>
      <c r="B136" s="1749"/>
      <c r="C136">
        <v>7</v>
      </c>
      <c r="D136" t="str">
        <f t="shared" si="40"/>
        <v>V</v>
      </c>
      <c r="E136">
        <v>6.9950000000000001</v>
      </c>
      <c r="F136" t="str">
        <f t="shared" si="41"/>
        <v>V</v>
      </c>
      <c r="G136">
        <v>6.9950000000000001</v>
      </c>
      <c r="H136" t="str">
        <f t="shared" si="42"/>
        <v>V</v>
      </c>
      <c r="I136" s="1749">
        <f t="shared" si="43"/>
        <v>-4.9999999999998941E-2</v>
      </c>
      <c r="J136" s="1749"/>
      <c r="K136" s="1749"/>
    </row>
    <row r="137" spans="1:11" ht="16.5" customHeight="1">
      <c r="A137" s="1749"/>
      <c r="B137" s="1749"/>
      <c r="C137">
        <v>6</v>
      </c>
      <c r="D137" t="str">
        <f t="shared" si="40"/>
        <v>V</v>
      </c>
      <c r="E137">
        <v>5.9969999999999999</v>
      </c>
      <c r="F137" t="str">
        <f t="shared" si="41"/>
        <v>V</v>
      </c>
      <c r="G137">
        <v>5.9969999999999999</v>
      </c>
      <c r="H137" t="str">
        <f t="shared" si="42"/>
        <v>V</v>
      </c>
      <c r="I137" s="1749">
        <f t="shared" si="43"/>
        <v>-3.0000000000001137E-2</v>
      </c>
      <c r="J137" s="1749"/>
      <c r="K137" s="1749"/>
    </row>
    <row r="138" spans="1:11" ht="16.5" customHeight="1">
      <c r="A138" s="1749"/>
      <c r="B138" s="1749"/>
      <c r="C138">
        <v>5</v>
      </c>
      <c r="D138" t="str">
        <f t="shared" si="40"/>
        <v>V</v>
      </c>
      <c r="E138">
        <v>4.9960000000000004</v>
      </c>
      <c r="F138" t="str">
        <f t="shared" si="41"/>
        <v>V</v>
      </c>
      <c r="G138">
        <v>4.9969999999999999</v>
      </c>
      <c r="H138" t="str">
        <f t="shared" si="42"/>
        <v>V</v>
      </c>
      <c r="I138" s="1749">
        <f t="shared" si="43"/>
        <v>-3.9999999999995595E-2</v>
      </c>
      <c r="J138" s="1749"/>
      <c r="K138" s="1749"/>
    </row>
    <row r="139" spans="1:11" ht="16.5" customHeight="1">
      <c r="A139" s="1749"/>
      <c r="B139" s="1749"/>
      <c r="C139">
        <v>4</v>
      </c>
      <c r="D139" t="str">
        <f t="shared" si="40"/>
        <v>V</v>
      </c>
      <c r="E139">
        <v>3.9969999999999999</v>
      </c>
      <c r="F139" t="str">
        <f t="shared" si="41"/>
        <v>V</v>
      </c>
      <c r="G139">
        <v>3.9980000000000002</v>
      </c>
      <c r="H139" t="str">
        <f t="shared" si="42"/>
        <v>V</v>
      </c>
      <c r="I139" s="1749">
        <f t="shared" si="43"/>
        <v>-3.0000000000001137E-2</v>
      </c>
      <c r="J139" s="1749"/>
      <c r="K139" s="1749"/>
    </row>
    <row r="140" spans="1:11" ht="16.5" customHeight="1">
      <c r="A140" s="1749"/>
      <c r="B140" s="1749"/>
      <c r="C140">
        <v>3</v>
      </c>
      <c r="D140" t="str">
        <f t="shared" si="40"/>
        <v>V</v>
      </c>
      <c r="E140">
        <v>2.9969999999999999</v>
      </c>
      <c r="F140" t="str">
        <f t="shared" si="41"/>
        <v>V</v>
      </c>
      <c r="G140">
        <v>2.9980000000000002</v>
      </c>
      <c r="H140" t="str">
        <f t="shared" si="42"/>
        <v>V</v>
      </c>
      <c r="I140" s="1749">
        <f t="shared" si="43"/>
        <v>-3.0000000000001137E-2</v>
      </c>
      <c r="J140" s="1749"/>
      <c r="K140" s="1749"/>
    </row>
    <row r="141" spans="1:11" ht="16.5" customHeight="1">
      <c r="A141" s="1749"/>
      <c r="B141" s="1749"/>
      <c r="C141">
        <v>2</v>
      </c>
      <c r="D141" t="str">
        <f t="shared" si="40"/>
        <v>V</v>
      </c>
      <c r="E141">
        <v>1.998</v>
      </c>
      <c r="F141" t="str">
        <f t="shared" si="41"/>
        <v>V</v>
      </c>
      <c r="G141">
        <v>1.9990000000000001</v>
      </c>
      <c r="H141" t="str">
        <f t="shared" si="42"/>
        <v>V</v>
      </c>
      <c r="I141" s="1749">
        <f t="shared" si="43"/>
        <v>-2.0000000000000018E-2</v>
      </c>
      <c r="J141" s="1749"/>
      <c r="K141" s="1749"/>
    </row>
    <row r="142" spans="1:11" ht="16.5" customHeight="1">
      <c r="A142" s="1749"/>
      <c r="B142" s="1749"/>
      <c r="C142">
        <v>1</v>
      </c>
      <c r="D142" t="str">
        <f t="shared" si="40"/>
        <v>V</v>
      </c>
      <c r="E142">
        <v>0.999</v>
      </c>
      <c r="F142" t="str">
        <f t="shared" si="41"/>
        <v>V</v>
      </c>
      <c r="G142">
        <v>1</v>
      </c>
      <c r="H142" t="str">
        <f t="shared" si="42"/>
        <v>V</v>
      </c>
      <c r="I142" s="1749">
        <f>IF(G142="/",(E142-C142)/E142*100,IF(ABS(E142-C142)&gt;ABS(G142-C142),(E142-C142)/10*100,(G142-C142)/10*100))</f>
        <v>-1.0000000000000009E-2</v>
      </c>
      <c r="J142" s="1749"/>
      <c r="K142" s="1749"/>
    </row>
    <row r="143" spans="1:11" ht="16.5" customHeight="1">
      <c r="A143" s="1749" t="s">
        <v>4118</v>
      </c>
      <c r="B143" s="1749"/>
      <c r="C143" s="1749" t="s">
        <v>4089</v>
      </c>
      <c r="D143" s="1749"/>
      <c r="E143" s="1749" t="s">
        <v>4119</v>
      </c>
      <c r="F143" s="1749"/>
      <c r="G143" s="1749"/>
      <c r="H143" s="1749"/>
      <c r="I143" s="1749" t="s">
        <v>4117</v>
      </c>
      <c r="J143" s="1749"/>
      <c r="K143" s="1749" t="s">
        <v>4092</v>
      </c>
    </row>
    <row r="144" spans="1:11" ht="16.5" customHeight="1">
      <c r="A144" s="1749"/>
      <c r="B144" s="1749"/>
      <c r="C144" s="1749"/>
      <c r="D144" s="1749"/>
      <c r="E144" s="1749" t="s">
        <v>4120</v>
      </c>
      <c r="F144" s="1749"/>
      <c r="G144" s="1749" t="s">
        <v>4094</v>
      </c>
      <c r="H144" s="1749"/>
      <c r="I144" s="1749"/>
      <c r="J144" s="1749"/>
      <c r="K144" s="1749"/>
    </row>
    <row r="145" spans="1:11" ht="16.5" customHeight="1">
      <c r="A145" s="1749">
        <v>10</v>
      </c>
      <c r="B145" s="1749" t="s">
        <v>4121</v>
      </c>
      <c r="C145">
        <v>10</v>
      </c>
      <c r="D145" t="str">
        <f t="shared" ref="D145:D154" si="44">B$7</f>
        <v>V</v>
      </c>
      <c r="E145">
        <v>9.9920000000000009</v>
      </c>
      <c r="F145" t="str">
        <f t="shared" ref="F145:F154" si="45">B$7</f>
        <v>V</v>
      </c>
      <c r="G145">
        <v>9.9930000000000003</v>
      </c>
      <c r="H145" t="str">
        <f>B$7</f>
        <v>V</v>
      </c>
      <c r="I145" s="1749">
        <f>IF(G145="/",(E145-C145)/10*100,IF(ABS(E145-C145)&gt;ABS(G145-C145),(E145-C145)/10*100,(G145-C145)/108*100))</f>
        <v>-7.9999999999991189E-2</v>
      </c>
      <c r="J145" s="1749"/>
      <c r="K145" s="1749">
        <f>2*(0.00000005^2+0.000003^2+0.000029^2)^0.5</f>
        <v>5.8309604697682525E-5</v>
      </c>
    </row>
    <row r="146" spans="1:11" ht="16.5" customHeight="1">
      <c r="A146" s="1749"/>
      <c r="B146" s="1749"/>
      <c r="C146">
        <v>9</v>
      </c>
      <c r="D146" t="str">
        <f t="shared" si="44"/>
        <v>V</v>
      </c>
      <c r="E146">
        <v>8.9930000000000003</v>
      </c>
      <c r="F146" t="str">
        <f t="shared" si="45"/>
        <v>V</v>
      </c>
      <c r="G146">
        <v>8.9930000000000003</v>
      </c>
      <c r="H146" t="str">
        <f t="shared" ref="H146:H154" si="46">B$7</f>
        <v>V</v>
      </c>
      <c r="I146" s="1749">
        <f>IF(G146="/",(E146-C146)/10*100,IF(ABS(E146-C146)&gt;ABS(G146-C146),(E146-C146)/10*100,(G146-C146)/108*100))</f>
        <v>-6.4814814814811795E-3</v>
      </c>
      <c r="J146" s="1749"/>
      <c r="K146" s="1749"/>
    </row>
    <row r="147" spans="1:11" ht="16.5" customHeight="1">
      <c r="A147" s="1749"/>
      <c r="B147" s="1749"/>
      <c r="C147">
        <v>8</v>
      </c>
      <c r="D147" t="str">
        <f t="shared" si="44"/>
        <v>V</v>
      </c>
      <c r="E147">
        <v>7.9950000000000001</v>
      </c>
      <c r="F147" t="str">
        <f t="shared" si="45"/>
        <v>V</v>
      </c>
      <c r="G147">
        <v>7.9939999999999998</v>
      </c>
      <c r="H147" t="str">
        <f t="shared" si="46"/>
        <v>V</v>
      </c>
      <c r="I147" s="1749">
        <f>IF(G147="/",(E147-C147)/10*100,IF(ABS(E147-C147)&gt;ABS(G147-C147),(E147-C147)/10*100,(G147-C147)/108*100))</f>
        <v>-5.5555555555557657E-3</v>
      </c>
      <c r="J147" s="1749"/>
      <c r="K147" s="1749"/>
    </row>
    <row r="148" spans="1:11" ht="16.5" customHeight="1">
      <c r="A148" s="1749"/>
      <c r="B148" s="1749"/>
      <c r="C148">
        <v>7</v>
      </c>
      <c r="D148" t="str">
        <f t="shared" si="44"/>
        <v>V</v>
      </c>
      <c r="E148">
        <v>6.9960000000000004</v>
      </c>
      <c r="F148" t="str">
        <f t="shared" si="45"/>
        <v>V</v>
      </c>
      <c r="G148">
        <v>6.9960000000000004</v>
      </c>
      <c r="H148" t="str">
        <f t="shared" si="46"/>
        <v>V</v>
      </c>
      <c r="I148" s="1749">
        <f>IF(G148="/",(E148-C148)/10*100,IF(ABS(E148-C148)&gt;ABS(G148-C148),(E148-C148)/10*100,(G148-C148)/10*100))</f>
        <v>-3.9999999999995595E-2</v>
      </c>
      <c r="J148" s="1749"/>
      <c r="K148" s="1749"/>
    </row>
    <row r="149" spans="1:11" ht="16.5" customHeight="1">
      <c r="A149" s="1749"/>
      <c r="B149" s="1749"/>
      <c r="C149">
        <v>6</v>
      </c>
      <c r="D149" t="str">
        <f t="shared" si="44"/>
        <v>V</v>
      </c>
      <c r="E149">
        <v>5.9969999999999999</v>
      </c>
      <c r="F149" t="str">
        <f t="shared" si="45"/>
        <v>V</v>
      </c>
      <c r="G149">
        <v>5.9950000000000001</v>
      </c>
      <c r="H149" t="str">
        <f t="shared" si="46"/>
        <v>V</v>
      </c>
      <c r="I149" s="1749">
        <f>IF(G149="/",(E149-C149)/10*100,IF(ABS(E149-C149)&gt;ABS(G149-C149),(E149-C149)/10*100,(G149-C149)/10*100))</f>
        <v>-4.9999999999998941E-2</v>
      </c>
      <c r="J149" s="1749"/>
      <c r="K149" s="1749"/>
    </row>
    <row r="150" spans="1:11" ht="16.5" customHeight="1">
      <c r="A150" s="1749"/>
      <c r="B150" s="1749"/>
      <c r="C150">
        <v>5</v>
      </c>
      <c r="D150" t="str">
        <f t="shared" si="44"/>
        <v>V</v>
      </c>
      <c r="E150">
        <v>4.9969999999999999</v>
      </c>
      <c r="F150" t="str">
        <f t="shared" si="45"/>
        <v>V</v>
      </c>
      <c r="G150">
        <v>4.9950000000000001</v>
      </c>
      <c r="H150" t="str">
        <f t="shared" si="46"/>
        <v>V</v>
      </c>
      <c r="I150" s="1749">
        <f>IF(G150="/",(E150-C150)/10*100,IF(ABS(E150-C150)&gt;ABS(G150-C150),(E150-C150)/10*100,(G150-C150)/108*100))</f>
        <v>-4.6296296296295314E-3</v>
      </c>
      <c r="J150" s="1749"/>
      <c r="K150" s="1749"/>
    </row>
    <row r="151" spans="1:11" ht="16.5" customHeight="1">
      <c r="A151" s="1749"/>
      <c r="B151" s="1749"/>
      <c r="C151">
        <v>4</v>
      </c>
      <c r="D151" t="str">
        <f t="shared" si="44"/>
        <v>V</v>
      </c>
      <c r="E151">
        <v>3.9980000000000002</v>
      </c>
      <c r="F151" t="str">
        <f t="shared" si="45"/>
        <v>V</v>
      </c>
      <c r="G151">
        <v>3.996</v>
      </c>
      <c r="H151" t="str">
        <f t="shared" si="46"/>
        <v>V</v>
      </c>
      <c r="I151" s="1749">
        <f>IF(G151="/",(E151-C151)/10*100,IF(ABS(E151-C151)&gt;ABS(G151-C151),(E151-C151)/10*100,(G151-C151)/10*100))</f>
        <v>-4.0000000000000036E-2</v>
      </c>
      <c r="J151" s="1749"/>
      <c r="K151" s="1749"/>
    </row>
    <row r="152" spans="1:11" ht="16.5" customHeight="1">
      <c r="A152" s="1749"/>
      <c r="B152" s="1749"/>
      <c r="C152">
        <v>3</v>
      </c>
      <c r="D152" t="str">
        <f t="shared" si="44"/>
        <v>V</v>
      </c>
      <c r="E152">
        <v>2.9980000000000002</v>
      </c>
      <c r="F152" t="str">
        <f t="shared" si="45"/>
        <v>V</v>
      </c>
      <c r="G152">
        <v>2.9969999999999999</v>
      </c>
      <c r="H152" t="str">
        <f t="shared" si="46"/>
        <v>V</v>
      </c>
      <c r="I152" s="1749">
        <f>IF(G152="/",(E152-C152)/10*100,IF(ABS(E152-C152)&gt;ABS(G152-C152),(E152-C152)/10*100,(G152-C152)/10*100))</f>
        <v>-3.0000000000001137E-2</v>
      </c>
      <c r="J152" s="1749"/>
      <c r="K152" s="1749"/>
    </row>
    <row r="153" spans="1:11" ht="16.5" customHeight="1">
      <c r="A153" s="1749"/>
      <c r="B153" s="1749"/>
      <c r="C153">
        <v>2</v>
      </c>
      <c r="D153" t="str">
        <f t="shared" si="44"/>
        <v>V</v>
      </c>
      <c r="E153">
        <v>1.9990000000000001</v>
      </c>
      <c r="F153" t="str">
        <f t="shared" si="45"/>
        <v>V</v>
      </c>
      <c r="G153">
        <v>1.9990000000000001</v>
      </c>
      <c r="H153" t="str">
        <f t="shared" si="46"/>
        <v>V</v>
      </c>
      <c r="I153" s="1749">
        <f>IF(G153="/",(E153-C153)/10*100,IF(ABS(E153-C153)&gt;ABS(G153-C153),(E153-C153)/10*100,(G153-C153)/10*100))</f>
        <v>-9.9999999999988987E-3</v>
      </c>
      <c r="J153" s="1749"/>
      <c r="K153" s="1749"/>
    </row>
    <row r="154" spans="1:11" ht="16.5" customHeight="1">
      <c r="A154" s="1749"/>
      <c r="B154" s="1749"/>
      <c r="C154">
        <v>1</v>
      </c>
      <c r="D154" t="str">
        <f t="shared" si="44"/>
        <v>V</v>
      </c>
      <c r="E154">
        <v>1</v>
      </c>
      <c r="F154" t="str">
        <f t="shared" si="45"/>
        <v>V</v>
      </c>
      <c r="G154">
        <v>0.999</v>
      </c>
      <c r="H154" t="str">
        <f t="shared" si="46"/>
        <v>V</v>
      </c>
      <c r="I154" s="1749">
        <f>IF(G154="/",(E154-C154)/10*100,IF(ABS(E154-C154)&gt;ABS(G154-C154),(E154-C154)/10*100,(G154-C154)/10*100))</f>
        <v>-1.0000000000000009E-2</v>
      </c>
      <c r="J154" s="1749"/>
      <c r="K154" s="1749"/>
    </row>
    <row r="155" spans="1:11" ht="30" customHeight="1">
      <c r="A155"/>
      <c r="B155"/>
      <c r="C155"/>
      <c r="D155"/>
      <c r="E155"/>
      <c r="F155"/>
      <c r="G155"/>
      <c r="H155"/>
      <c r="I155"/>
      <c r="J155"/>
    </row>
    <row r="156" spans="1:11" ht="19.5" customHeight="1">
      <c r="A156" s="1749" t="s">
        <v>4102</v>
      </c>
      <c r="B156" s="1749"/>
      <c r="C156" s="1749"/>
      <c r="D156" s="1749"/>
      <c r="E156" s="1749"/>
      <c r="F156" s="1749"/>
      <c r="G156" s="1749"/>
      <c r="H156" s="1749"/>
      <c r="I156" s="1749"/>
      <c r="J156" s="1749"/>
    </row>
    <row r="157" spans="1:11" ht="16.5" customHeight="1">
      <c r="A157" s="1749" t="s">
        <v>4088</v>
      </c>
      <c r="B157" s="1749"/>
      <c r="C157" s="1749" t="s">
        <v>4089</v>
      </c>
      <c r="D157" s="1749"/>
      <c r="E157" s="1749" t="s">
        <v>4122</v>
      </c>
      <c r="F157" s="1749"/>
      <c r="G157" s="1749"/>
      <c r="H157" s="1749"/>
      <c r="I157" s="1749" t="s">
        <v>4091</v>
      </c>
      <c r="J157" s="1749"/>
      <c r="K157" s="1749" t="s">
        <v>4092</v>
      </c>
    </row>
    <row r="158" spans="1:11" ht="16.5" customHeight="1">
      <c r="A158" s="1749"/>
      <c r="B158" s="1749"/>
      <c r="C158" s="1749"/>
      <c r="D158" s="1749"/>
      <c r="E158" s="1749" t="s">
        <v>4093</v>
      </c>
      <c r="F158" s="1749"/>
      <c r="G158" s="1749" t="s">
        <v>4094</v>
      </c>
      <c r="H158" s="1749"/>
      <c r="I158" s="1749"/>
      <c r="J158" s="1749"/>
      <c r="K158" s="1749"/>
    </row>
    <row r="159" spans="1:11" ht="16.5" customHeight="1">
      <c r="A159" s="1749">
        <v>10</v>
      </c>
      <c r="B159" s="1749" t="s">
        <v>4121</v>
      </c>
      <c r="C159">
        <v>10</v>
      </c>
      <c r="D159" t="str">
        <f t="shared" ref="D159:D168" si="47">B$7</f>
        <v>V</v>
      </c>
      <c r="E159">
        <v>9.9939999999999998</v>
      </c>
      <c r="F159" t="str">
        <f t="shared" ref="F159:F168" si="48">B$7</f>
        <v>V</v>
      </c>
      <c r="G159">
        <v>9.9949999999999992</v>
      </c>
      <c r="H159" t="str">
        <f>B$7</f>
        <v>V</v>
      </c>
      <c r="I159" s="1749">
        <f>IF(G159="/",(E159-C159)/E159*100,IF(ABS(E159-C159)&gt;ABS(G159-C159),(E159-C159)/E159*100,(G159-C159)/G159*100))</f>
        <v>-6.0036021612970059E-2</v>
      </c>
      <c r="J159" s="1749"/>
      <c r="K159" s="1749">
        <f>2*(0.00000005^2+0.000003^2+0.000029^2)^0.5</f>
        <v>5.8309604697682525E-5</v>
      </c>
    </row>
    <row r="160" spans="1:11" ht="16.5" customHeight="1">
      <c r="A160" s="1749"/>
      <c r="B160" s="1749"/>
      <c r="C160">
        <v>9</v>
      </c>
      <c r="D160" t="str">
        <f t="shared" si="47"/>
        <v>V</v>
      </c>
      <c r="E160">
        <v>8.9949999999999992</v>
      </c>
      <c r="F160" t="str">
        <f t="shared" si="48"/>
        <v>V</v>
      </c>
      <c r="G160">
        <v>8.9949999999999992</v>
      </c>
      <c r="H160" t="str">
        <f t="shared" ref="H160:H168" si="49">B$7</f>
        <v>V</v>
      </c>
      <c r="I160" s="1749">
        <f>IF(G160="/",(E160-C160)/E160*100,IF(ABS(E160-C160)&gt;ABS(G160-C160),(E160-C160)/E160*100,(G160-C160)/G160*100))</f>
        <v>-5.5586436909402799E-2</v>
      </c>
      <c r="J160" s="1749"/>
      <c r="K160" s="1749"/>
    </row>
    <row r="161" spans="1:11" ht="16.5" customHeight="1">
      <c r="A161" s="1749"/>
      <c r="B161" s="1749"/>
      <c r="C161">
        <v>8</v>
      </c>
      <c r="D161" t="str">
        <f t="shared" si="47"/>
        <v>V</v>
      </c>
      <c r="E161">
        <v>7.9960000000000004</v>
      </c>
      <c r="F161" t="str">
        <f t="shared" si="48"/>
        <v>V</v>
      </c>
      <c r="G161">
        <v>7.9960000000000004</v>
      </c>
      <c r="H161" t="str">
        <f t="shared" si="49"/>
        <v>V</v>
      </c>
      <c r="I161" s="1749">
        <f>IF(G161="/",(E161-C161)/E161*100,IF(ABS(E161-C161)&gt;ABS(G161-C161),(E161-C161)/E161*100,(G161-C161)/G161*100))</f>
        <v>-5.0025012506247614E-2</v>
      </c>
      <c r="J161" s="1749"/>
      <c r="K161" s="1749"/>
    </row>
    <row r="162" spans="1:11" ht="16.5" customHeight="1">
      <c r="A162" s="1749"/>
      <c r="B162" s="1749"/>
      <c r="C162">
        <v>7</v>
      </c>
      <c r="D162" t="str">
        <f t="shared" si="47"/>
        <v>V</v>
      </c>
      <c r="E162">
        <v>6.9960000000000004</v>
      </c>
      <c r="F162" t="str">
        <f t="shared" si="48"/>
        <v>V</v>
      </c>
      <c r="G162">
        <v>6.9969999999999999</v>
      </c>
      <c r="H162" t="str">
        <f t="shared" si="49"/>
        <v>V</v>
      </c>
      <c r="I162" s="1749">
        <f t="shared" ref="I162:I168" si="50">IF(G162="/",(E162-C162)/E162*100,IF(ABS(E162-C162)&gt;ABS(G162-C162),(E162-C162)/10*100,(G162-C162)/10*100))</f>
        <v>-3.9999999999995595E-2</v>
      </c>
      <c r="J162" s="1749"/>
      <c r="K162" s="1749"/>
    </row>
    <row r="163" spans="1:11" ht="16.5" customHeight="1">
      <c r="A163" s="1749"/>
      <c r="B163" s="1749"/>
      <c r="C163">
        <v>6</v>
      </c>
      <c r="D163" t="str">
        <f t="shared" si="47"/>
        <v>V</v>
      </c>
      <c r="E163">
        <v>5.9969999999999999</v>
      </c>
      <c r="F163" t="str">
        <f t="shared" si="48"/>
        <v>V</v>
      </c>
      <c r="G163">
        <v>5.9960000000000004</v>
      </c>
      <c r="H163" t="str">
        <f t="shared" si="49"/>
        <v>V</v>
      </c>
      <c r="I163" s="1749">
        <f t="shared" si="50"/>
        <v>-3.9999999999995595E-2</v>
      </c>
      <c r="J163" s="1749"/>
      <c r="K163" s="1749"/>
    </row>
    <row r="164" spans="1:11" ht="16.5" customHeight="1">
      <c r="A164" s="1749"/>
      <c r="B164" s="1749"/>
      <c r="C164">
        <v>5</v>
      </c>
      <c r="D164" t="str">
        <f t="shared" si="47"/>
        <v>V</v>
      </c>
      <c r="E164">
        <v>4.9969999999999999</v>
      </c>
      <c r="F164" t="str">
        <f t="shared" si="48"/>
        <v>V</v>
      </c>
      <c r="G164">
        <v>4.9969999999999999</v>
      </c>
      <c r="H164" t="str">
        <f t="shared" si="49"/>
        <v>V</v>
      </c>
      <c r="I164" s="1749">
        <f t="shared" si="50"/>
        <v>-3.0000000000001137E-2</v>
      </c>
      <c r="J164" s="1749"/>
      <c r="K164" s="1749"/>
    </row>
    <row r="165" spans="1:11" ht="16.5" customHeight="1">
      <c r="A165" s="1749"/>
      <c r="B165" s="1749"/>
      <c r="C165">
        <v>4</v>
      </c>
      <c r="D165" t="str">
        <f t="shared" si="47"/>
        <v>V</v>
      </c>
      <c r="E165">
        <v>3.9980000000000002</v>
      </c>
      <c r="F165" t="str">
        <f t="shared" si="48"/>
        <v>V</v>
      </c>
      <c r="G165">
        <v>3.9980000000000002</v>
      </c>
      <c r="H165" t="str">
        <f t="shared" si="49"/>
        <v>V</v>
      </c>
      <c r="I165" s="1749">
        <f t="shared" si="50"/>
        <v>-1.9999999999997797E-2</v>
      </c>
      <c r="J165" s="1749"/>
      <c r="K165" s="1749"/>
    </row>
    <row r="166" spans="1:11" ht="16.5" customHeight="1">
      <c r="A166" s="1749"/>
      <c r="B166" s="1749"/>
      <c r="C166">
        <v>3</v>
      </c>
      <c r="D166" t="str">
        <f t="shared" si="47"/>
        <v>V</v>
      </c>
      <c r="E166">
        <v>2.9980000000000002</v>
      </c>
      <c r="F166" t="str">
        <f t="shared" si="48"/>
        <v>V</v>
      </c>
      <c r="G166">
        <v>2.9980000000000002</v>
      </c>
      <c r="H166" t="str">
        <f t="shared" si="49"/>
        <v>V</v>
      </c>
      <c r="I166" s="1749">
        <f t="shared" si="50"/>
        <v>-1.9999999999997797E-2</v>
      </c>
      <c r="J166" s="1749"/>
      <c r="K166" s="1749"/>
    </row>
    <row r="167" spans="1:11" ht="16.5" customHeight="1">
      <c r="A167" s="1749"/>
      <c r="B167" s="1749"/>
      <c r="C167">
        <v>2</v>
      </c>
      <c r="D167" t="str">
        <f t="shared" si="47"/>
        <v>V</v>
      </c>
      <c r="E167">
        <v>1.9990000000000001</v>
      </c>
      <c r="F167" t="str">
        <f t="shared" si="48"/>
        <v>V</v>
      </c>
      <c r="G167">
        <v>1.998</v>
      </c>
      <c r="H167" t="str">
        <f t="shared" si="49"/>
        <v>V</v>
      </c>
      <c r="I167" s="1749">
        <f t="shared" si="50"/>
        <v>-2.0000000000000018E-2</v>
      </c>
      <c r="J167" s="1749"/>
      <c r="K167" s="1749"/>
    </row>
    <row r="168" spans="1:11" ht="16.5" customHeight="1">
      <c r="A168" s="1749"/>
      <c r="B168" s="1749"/>
      <c r="C168">
        <v>1</v>
      </c>
      <c r="D168" t="str">
        <f t="shared" si="47"/>
        <v>V</v>
      </c>
      <c r="E168">
        <v>0.999</v>
      </c>
      <c r="F168" t="str">
        <f t="shared" si="48"/>
        <v>V</v>
      </c>
      <c r="G168">
        <v>0.999</v>
      </c>
      <c r="H168" t="str">
        <f t="shared" si="49"/>
        <v>V</v>
      </c>
      <c r="I168" s="1749">
        <f t="shared" si="50"/>
        <v>-1.0000000000000009E-2</v>
      </c>
      <c r="J168" s="1749"/>
      <c r="K168" s="1749"/>
    </row>
    <row r="169" spans="1:11" ht="16.5" customHeight="1">
      <c r="A169" s="1749" t="s">
        <v>4088</v>
      </c>
      <c r="B169" s="1749"/>
      <c r="C169" s="1749" t="s">
        <v>4089</v>
      </c>
      <c r="D169" s="1749"/>
      <c r="E169" s="1749" t="s">
        <v>4123</v>
      </c>
      <c r="F169" s="1749"/>
      <c r="G169" s="1749"/>
      <c r="H169" s="1749"/>
      <c r="I169" s="1749" t="s">
        <v>4104</v>
      </c>
      <c r="J169" s="1749"/>
      <c r="K169" s="1749" t="s">
        <v>4092</v>
      </c>
    </row>
    <row r="170" spans="1:11" ht="16.5" customHeight="1">
      <c r="A170" s="1749"/>
      <c r="B170" s="1749"/>
      <c r="C170" s="1749"/>
      <c r="D170" s="1749"/>
      <c r="E170" s="1749" t="s">
        <v>4093</v>
      </c>
      <c r="F170" s="1749"/>
      <c r="G170" s="1749" t="s">
        <v>4105</v>
      </c>
      <c r="H170" s="1749"/>
      <c r="I170" s="1749"/>
      <c r="J170" s="1749"/>
      <c r="K170" s="1749"/>
    </row>
    <row r="171" spans="1:11" ht="16.5" customHeight="1">
      <c r="A171" s="1749">
        <v>10</v>
      </c>
      <c r="B171" s="1749" t="s">
        <v>4095</v>
      </c>
      <c r="C171">
        <v>10</v>
      </c>
      <c r="D171" t="str">
        <f t="shared" ref="D171:D180" si="51">B$7</f>
        <v>V</v>
      </c>
      <c r="E171">
        <v>9.9920000000000009</v>
      </c>
      <c r="F171" t="str">
        <f t="shared" ref="F171:F180" si="52">B$7</f>
        <v>V</v>
      </c>
      <c r="G171">
        <v>9.9949999999999992</v>
      </c>
      <c r="H171" t="str">
        <f>B$7</f>
        <v>V</v>
      </c>
      <c r="I171" s="1749">
        <f>IF(G171="/",(E171-C171)/E171*100,IF(ABS(E171-C171)&gt;ABS(G171-C171),(E171-C171)/10*100,(G171-C171)/10*100))</f>
        <v>-7.9999999999991189E-2</v>
      </c>
      <c r="J171" s="1749"/>
      <c r="K171" s="1749">
        <f>2*(0.00000005^2+0.000003^2+0.000029^2)^0.5</f>
        <v>5.8309604697682525E-5</v>
      </c>
    </row>
    <row r="172" spans="1:11" ht="16.5" customHeight="1">
      <c r="A172" s="1749"/>
      <c r="B172" s="1749"/>
      <c r="C172">
        <v>9</v>
      </c>
      <c r="D172" t="str">
        <f t="shared" si="51"/>
        <v>V</v>
      </c>
      <c r="E172">
        <v>8.9930000000000003</v>
      </c>
      <c r="F172" t="str">
        <f t="shared" si="52"/>
        <v>V</v>
      </c>
      <c r="G172">
        <v>8.9960000000000004</v>
      </c>
      <c r="H172" t="str">
        <f t="shared" ref="H172:H180" si="53">B$7</f>
        <v>V</v>
      </c>
      <c r="I172" s="1749">
        <f t="shared" ref="I172:I180" si="54">IF(G172="/",(E172-C172)/E172*100,IF(ABS(E172-C172)&gt;ABS(G172-C172),(E172-C172)/10*100,(G172-C172)/10*100))</f>
        <v>-6.9999999999996732E-2</v>
      </c>
      <c r="J172" s="1749"/>
      <c r="K172" s="1749"/>
    </row>
    <row r="173" spans="1:11" ht="16.5" customHeight="1">
      <c r="A173" s="1749"/>
      <c r="B173" s="1749"/>
      <c r="C173">
        <v>8</v>
      </c>
      <c r="D173" t="str">
        <f t="shared" si="51"/>
        <v>V</v>
      </c>
      <c r="E173">
        <v>7.9930000000000003</v>
      </c>
      <c r="F173" t="str">
        <f t="shared" si="52"/>
        <v>V</v>
      </c>
      <c r="G173">
        <v>7.9960000000000004</v>
      </c>
      <c r="H173" t="str">
        <f t="shared" si="53"/>
        <v>V</v>
      </c>
      <c r="I173" s="1749">
        <f t="shared" si="54"/>
        <v>-6.9999999999996732E-2</v>
      </c>
      <c r="J173" s="1749"/>
      <c r="K173" s="1749"/>
    </row>
    <row r="174" spans="1:11" ht="16.5" customHeight="1">
      <c r="A174" s="1749"/>
      <c r="B174" s="1749"/>
      <c r="C174">
        <v>7</v>
      </c>
      <c r="D174" t="str">
        <f t="shared" si="51"/>
        <v>V</v>
      </c>
      <c r="E174">
        <v>6.9939999999999998</v>
      </c>
      <c r="F174" t="str">
        <f t="shared" si="52"/>
        <v>V</v>
      </c>
      <c r="G174">
        <v>6.9969999999999999</v>
      </c>
      <c r="H174" t="str">
        <f t="shared" si="53"/>
        <v>V</v>
      </c>
      <c r="I174" s="1749">
        <f t="shared" si="54"/>
        <v>-6.0000000000002274E-2</v>
      </c>
      <c r="J174" s="1749"/>
      <c r="K174" s="1749"/>
    </row>
    <row r="175" spans="1:11" ht="16.5" customHeight="1">
      <c r="A175" s="1749"/>
      <c r="B175" s="1749"/>
      <c r="C175">
        <v>6</v>
      </c>
      <c r="D175" t="str">
        <f t="shared" si="51"/>
        <v>V</v>
      </c>
      <c r="E175">
        <v>5.9939999999999998</v>
      </c>
      <c r="F175" t="str">
        <f t="shared" si="52"/>
        <v>V</v>
      </c>
      <c r="G175">
        <v>5.9969999999999999</v>
      </c>
      <c r="H175" t="str">
        <f t="shared" si="53"/>
        <v>V</v>
      </c>
      <c r="I175" s="1749">
        <f t="shared" si="54"/>
        <v>-6.0000000000002274E-2</v>
      </c>
      <c r="J175" s="1749"/>
      <c r="K175" s="1749"/>
    </row>
    <row r="176" spans="1:11" ht="16.5" customHeight="1">
      <c r="A176" s="1749"/>
      <c r="B176" s="1749"/>
      <c r="C176">
        <v>5</v>
      </c>
      <c r="D176" t="str">
        <f t="shared" si="51"/>
        <v>V</v>
      </c>
      <c r="E176">
        <v>4.9960000000000004</v>
      </c>
      <c r="F176" t="str">
        <f t="shared" si="52"/>
        <v>V</v>
      </c>
      <c r="G176">
        <v>4.9980000000000002</v>
      </c>
      <c r="H176" t="str">
        <f t="shared" si="53"/>
        <v>V</v>
      </c>
      <c r="I176" s="1749">
        <f t="shared" si="54"/>
        <v>-3.9999999999995595E-2</v>
      </c>
      <c r="J176" s="1749"/>
      <c r="K176" s="1749"/>
    </row>
    <row r="177" spans="1:11" ht="16.5" customHeight="1">
      <c r="A177" s="1749"/>
      <c r="B177" s="1749"/>
      <c r="C177">
        <v>4</v>
      </c>
      <c r="D177" t="str">
        <f t="shared" si="51"/>
        <v>V</v>
      </c>
      <c r="E177">
        <v>3.9969999999999999</v>
      </c>
      <c r="F177" t="str">
        <f t="shared" si="52"/>
        <v>V</v>
      </c>
      <c r="G177">
        <v>3.9990000000000001</v>
      </c>
      <c r="H177" t="str">
        <f t="shared" si="53"/>
        <v>V</v>
      </c>
      <c r="I177" s="1749">
        <f t="shared" si="54"/>
        <v>-3.0000000000001137E-2</v>
      </c>
      <c r="J177" s="1749"/>
      <c r="K177" s="1749"/>
    </row>
    <row r="178" spans="1:11" ht="16.5" customHeight="1">
      <c r="A178" s="1749"/>
      <c r="B178" s="1749"/>
      <c r="C178">
        <v>3</v>
      </c>
      <c r="D178" t="str">
        <f t="shared" si="51"/>
        <v>V</v>
      </c>
      <c r="E178">
        <v>2.9969999999999999</v>
      </c>
      <c r="F178" t="str">
        <f t="shared" si="52"/>
        <v>V</v>
      </c>
      <c r="G178">
        <v>2.9980000000000002</v>
      </c>
      <c r="H178" t="str">
        <f t="shared" si="53"/>
        <v>V</v>
      </c>
      <c r="I178" s="1749">
        <f t="shared" si="54"/>
        <v>-3.0000000000001137E-2</v>
      </c>
      <c r="J178" s="1749"/>
      <c r="K178" s="1749"/>
    </row>
    <row r="179" spans="1:11" ht="16.5" customHeight="1">
      <c r="A179" s="1749"/>
      <c r="B179" s="1749"/>
      <c r="C179">
        <v>2</v>
      </c>
      <c r="D179" t="str">
        <f t="shared" si="51"/>
        <v>V</v>
      </c>
      <c r="E179">
        <v>1.998</v>
      </c>
      <c r="F179" t="str">
        <f t="shared" si="52"/>
        <v>V</v>
      </c>
      <c r="G179">
        <v>1.9990000000000001</v>
      </c>
      <c r="H179" t="str">
        <f t="shared" si="53"/>
        <v>V</v>
      </c>
      <c r="I179" s="1749">
        <f t="shared" si="54"/>
        <v>-2.0000000000000018E-2</v>
      </c>
      <c r="J179" s="1749"/>
      <c r="K179" s="1749"/>
    </row>
    <row r="180" spans="1:11" ht="16.5" customHeight="1">
      <c r="A180" s="1749"/>
      <c r="B180" s="1749"/>
      <c r="C180">
        <v>1</v>
      </c>
      <c r="D180" t="str">
        <f t="shared" si="51"/>
        <v>V</v>
      </c>
      <c r="E180">
        <v>0.999</v>
      </c>
      <c r="F180" t="str">
        <f t="shared" si="52"/>
        <v>V</v>
      </c>
      <c r="G180">
        <v>0.999</v>
      </c>
      <c r="H180" t="str">
        <f t="shared" si="53"/>
        <v>V</v>
      </c>
      <c r="I180" s="1749">
        <f t="shared" si="54"/>
        <v>-1.0000000000000009E-2</v>
      </c>
      <c r="J180" s="1749"/>
      <c r="K180" s="1749"/>
    </row>
    <row r="181" spans="1:11" ht="16.5" customHeight="1">
      <c r="A181" s="1749" t="s">
        <v>4118</v>
      </c>
      <c r="B181" s="1749"/>
      <c r="C181" s="1749" t="s">
        <v>4089</v>
      </c>
      <c r="D181" s="1749"/>
      <c r="E181" s="1749" t="s">
        <v>4124</v>
      </c>
      <c r="F181" s="1749"/>
      <c r="G181" s="1749"/>
      <c r="H181" s="1749"/>
      <c r="I181" s="1749" t="s">
        <v>4091</v>
      </c>
      <c r="J181" s="1749"/>
      <c r="K181" s="1749" t="s">
        <v>4101</v>
      </c>
    </row>
    <row r="182" spans="1:11" ht="16.5" customHeight="1">
      <c r="A182" s="1749"/>
      <c r="B182" s="1749"/>
      <c r="C182" s="1749"/>
      <c r="D182" s="1749"/>
      <c r="E182" s="1749" t="s">
        <v>4107</v>
      </c>
      <c r="F182" s="1749"/>
      <c r="G182" s="1749" t="s">
        <v>4125</v>
      </c>
      <c r="H182" s="1749"/>
      <c r="I182" s="1749"/>
      <c r="J182" s="1749"/>
      <c r="K182" s="1749"/>
    </row>
    <row r="183" spans="1:11" ht="16.5" customHeight="1">
      <c r="A183" s="1749">
        <v>10</v>
      </c>
      <c r="B183" s="1749" t="s">
        <v>4098</v>
      </c>
      <c r="C183">
        <v>10</v>
      </c>
      <c r="D183" t="str">
        <f t="shared" ref="D183:D192" si="55">B$7</f>
        <v>V</v>
      </c>
      <c r="E183">
        <v>9.9939999999999998</v>
      </c>
      <c r="F183" t="str">
        <f t="shared" ref="F183:F192" si="56">B$7</f>
        <v>V</v>
      </c>
      <c r="G183">
        <v>9.9949999999999992</v>
      </c>
      <c r="H183" t="str">
        <f>B$7</f>
        <v>V</v>
      </c>
      <c r="I183" s="1749">
        <f>IF(G183="/",(E183-C183)/E183*100,IF(ABS(E183-C183)&gt;ABS(G183-C183),(E183-C183)/10*100,(G183-C183)/10*100))</f>
        <v>-6.0000000000002274E-2</v>
      </c>
      <c r="J183" s="1749"/>
      <c r="K183" s="1749">
        <f>2*(0.00000005^2+0.000003^2+0.000029^2)^0.5</f>
        <v>5.8309604697682525E-5</v>
      </c>
    </row>
    <row r="184" spans="1:11" ht="16.5" customHeight="1">
      <c r="A184" s="1749"/>
      <c r="B184" s="1749"/>
      <c r="C184">
        <v>9</v>
      </c>
      <c r="D184" t="str">
        <f t="shared" si="55"/>
        <v>V</v>
      </c>
      <c r="E184">
        <v>8.9949999999999992</v>
      </c>
      <c r="F184" t="str">
        <f t="shared" si="56"/>
        <v>V</v>
      </c>
      <c r="G184">
        <v>8.9949999999999992</v>
      </c>
      <c r="H184" t="str">
        <f t="shared" ref="H184:H192" si="57">B$7</f>
        <v>V</v>
      </c>
      <c r="I184" s="1749">
        <f t="shared" ref="I184:I192" si="58">IF(G184="/",(E184-C184)/E184*100,IF(ABS(E184-C184)&gt;ABS(G184-C184),(E184-C184)/10*100,(G184-C184)/10*100))</f>
        <v>-5.0000000000007816E-2</v>
      </c>
      <c r="J184" s="1749"/>
      <c r="K184" s="1749"/>
    </row>
    <row r="185" spans="1:11" ht="16.5" customHeight="1">
      <c r="A185" s="1749"/>
      <c r="B185" s="1749"/>
      <c r="C185">
        <v>8</v>
      </c>
      <c r="D185" t="str">
        <f t="shared" si="55"/>
        <v>V</v>
      </c>
      <c r="E185">
        <v>7.9950000000000001</v>
      </c>
      <c r="F185" t="str">
        <f t="shared" si="56"/>
        <v>V</v>
      </c>
      <c r="G185">
        <v>7.9960000000000004</v>
      </c>
      <c r="H185" t="str">
        <f t="shared" si="57"/>
        <v>V</v>
      </c>
      <c r="I185" s="1749">
        <f t="shared" si="58"/>
        <v>-4.9999999999998941E-2</v>
      </c>
      <c r="J185" s="1749"/>
      <c r="K185" s="1749"/>
    </row>
    <row r="186" spans="1:11" ht="16.5" customHeight="1">
      <c r="A186" s="1749"/>
      <c r="B186" s="1749"/>
      <c r="C186">
        <v>7</v>
      </c>
      <c r="D186" t="str">
        <f t="shared" si="55"/>
        <v>V</v>
      </c>
      <c r="E186">
        <v>6.9960000000000004</v>
      </c>
      <c r="F186" t="str">
        <f t="shared" si="56"/>
        <v>V</v>
      </c>
      <c r="G186">
        <v>6.9960000000000004</v>
      </c>
      <c r="H186" t="str">
        <f t="shared" si="57"/>
        <v>V</v>
      </c>
      <c r="I186" s="1749">
        <f t="shared" si="58"/>
        <v>-3.9999999999995595E-2</v>
      </c>
      <c r="J186" s="1749"/>
      <c r="K186" s="1749"/>
    </row>
    <row r="187" spans="1:11" ht="16.5" customHeight="1">
      <c r="A187" s="1749"/>
      <c r="B187" s="1749"/>
      <c r="C187">
        <v>6</v>
      </c>
      <c r="D187" t="str">
        <f t="shared" si="55"/>
        <v>V</v>
      </c>
      <c r="E187">
        <v>5.9960000000000004</v>
      </c>
      <c r="F187" t="str">
        <f t="shared" si="56"/>
        <v>V</v>
      </c>
      <c r="G187">
        <v>5.9960000000000004</v>
      </c>
      <c r="H187" t="str">
        <f t="shared" si="57"/>
        <v>V</v>
      </c>
      <c r="I187" s="1749">
        <f t="shared" si="58"/>
        <v>-3.9999999999995595E-2</v>
      </c>
      <c r="J187" s="1749"/>
      <c r="K187" s="1749"/>
    </row>
    <row r="188" spans="1:11" ht="16.5" customHeight="1">
      <c r="A188" s="1749"/>
      <c r="B188" s="1749"/>
      <c r="C188">
        <v>5</v>
      </c>
      <c r="D188" t="str">
        <f t="shared" si="55"/>
        <v>V</v>
      </c>
      <c r="E188">
        <v>4.9969999999999999</v>
      </c>
      <c r="F188" t="str">
        <f t="shared" si="56"/>
        <v>V</v>
      </c>
      <c r="G188">
        <v>4.9960000000000004</v>
      </c>
      <c r="H188" t="str">
        <f t="shared" si="57"/>
        <v>V</v>
      </c>
      <c r="I188" s="1749">
        <f t="shared" si="58"/>
        <v>-3.9999999999995595E-2</v>
      </c>
      <c r="J188" s="1749"/>
      <c r="K188" s="1749"/>
    </row>
    <row r="189" spans="1:11" ht="16.5" customHeight="1">
      <c r="A189" s="1749"/>
      <c r="B189" s="1749"/>
      <c r="C189">
        <v>4</v>
      </c>
      <c r="D189" t="str">
        <f t="shared" si="55"/>
        <v>V</v>
      </c>
      <c r="E189">
        <v>3.9980000000000002</v>
      </c>
      <c r="F189" t="str">
        <f t="shared" si="56"/>
        <v>V</v>
      </c>
      <c r="G189">
        <v>3.9969999999999999</v>
      </c>
      <c r="H189" t="str">
        <f t="shared" si="57"/>
        <v>V</v>
      </c>
      <c r="I189" s="1749">
        <f t="shared" si="58"/>
        <v>-3.0000000000001137E-2</v>
      </c>
      <c r="J189" s="1749"/>
      <c r="K189" s="1749"/>
    </row>
    <row r="190" spans="1:11" ht="16.5" customHeight="1">
      <c r="A190" s="1749"/>
      <c r="B190" s="1749"/>
      <c r="C190">
        <v>3</v>
      </c>
      <c r="D190" t="str">
        <f t="shared" si="55"/>
        <v>V</v>
      </c>
      <c r="E190">
        <v>2.9980000000000002</v>
      </c>
      <c r="F190" t="str">
        <f t="shared" si="56"/>
        <v>V</v>
      </c>
      <c r="G190">
        <v>2.9980000000000002</v>
      </c>
      <c r="H190" t="str">
        <f t="shared" si="57"/>
        <v>V</v>
      </c>
      <c r="I190" s="1749">
        <f t="shared" si="58"/>
        <v>-1.9999999999997797E-2</v>
      </c>
      <c r="J190" s="1749"/>
      <c r="K190" s="1749"/>
    </row>
    <row r="191" spans="1:11" ht="16.5" customHeight="1">
      <c r="A191" s="1749"/>
      <c r="B191" s="1749"/>
      <c r="C191">
        <v>2</v>
      </c>
      <c r="D191" t="str">
        <f t="shared" si="55"/>
        <v>V</v>
      </c>
      <c r="E191">
        <v>1.9990000000000001</v>
      </c>
      <c r="F191" t="str">
        <f t="shared" si="56"/>
        <v>V</v>
      </c>
      <c r="G191">
        <v>1.9990000000000001</v>
      </c>
      <c r="H191" t="str">
        <f t="shared" si="57"/>
        <v>V</v>
      </c>
      <c r="I191" s="1749">
        <f t="shared" si="58"/>
        <v>-9.9999999999988987E-3</v>
      </c>
      <c r="J191" s="1749"/>
      <c r="K191" s="1749"/>
    </row>
    <row r="192" spans="1:11" ht="16.5" customHeight="1">
      <c r="A192" s="1749"/>
      <c r="B192" s="1749"/>
      <c r="C192">
        <v>1</v>
      </c>
      <c r="D192" t="str">
        <f t="shared" si="55"/>
        <v>V</v>
      </c>
      <c r="E192">
        <v>0.999</v>
      </c>
      <c r="F192" t="str">
        <f t="shared" si="56"/>
        <v>V</v>
      </c>
      <c r="G192">
        <v>0.999</v>
      </c>
      <c r="H192" t="str">
        <f t="shared" si="57"/>
        <v>V</v>
      </c>
      <c r="I192" s="1749">
        <f t="shared" si="58"/>
        <v>-1.0000000000000009E-2</v>
      </c>
      <c r="J192" s="1749"/>
      <c r="K192" s="1749"/>
    </row>
    <row r="193" spans="1:11" ht="30" customHeight="1">
      <c r="A193"/>
      <c r="B193"/>
      <c r="C193"/>
      <c r="D193"/>
      <c r="E193"/>
      <c r="F193"/>
      <c r="G193"/>
      <c r="H193"/>
      <c r="I193"/>
      <c r="J193"/>
    </row>
    <row r="194" spans="1:11" ht="19.5" customHeight="1">
      <c r="A194" s="1749" t="s">
        <v>4126</v>
      </c>
      <c r="B194" s="1749"/>
      <c r="C194" s="1749"/>
      <c r="D194" s="1749"/>
      <c r="E194" s="1749"/>
      <c r="F194" s="1749"/>
      <c r="G194" s="1749"/>
      <c r="H194" s="1749"/>
      <c r="I194" s="1749"/>
      <c r="J194" s="1749"/>
    </row>
    <row r="195" spans="1:11" ht="16.5" customHeight="1">
      <c r="A195" s="1749" t="s">
        <v>4096</v>
      </c>
      <c r="B195" s="1749"/>
      <c r="C195" s="1749" t="s">
        <v>4108</v>
      </c>
      <c r="D195" s="1749"/>
      <c r="E195" s="1749" t="s">
        <v>4127</v>
      </c>
      <c r="F195" s="1749"/>
      <c r="G195" s="1749"/>
      <c r="H195" s="1749"/>
      <c r="I195" s="1749" t="s">
        <v>4091</v>
      </c>
      <c r="J195" s="1749"/>
      <c r="K195" s="1749" t="s">
        <v>4101</v>
      </c>
    </row>
    <row r="196" spans="1:11" ht="16.5" customHeight="1">
      <c r="A196" s="1749"/>
      <c r="B196" s="1749"/>
      <c r="C196" s="1749"/>
      <c r="D196" s="1749"/>
      <c r="E196" s="1749" t="s">
        <v>4093</v>
      </c>
      <c r="F196" s="1749"/>
      <c r="G196" s="1749" t="s">
        <v>4125</v>
      </c>
      <c r="H196" s="1749"/>
      <c r="I196" s="1749"/>
      <c r="J196" s="1749"/>
      <c r="K196" s="1749"/>
    </row>
    <row r="197" spans="1:11" ht="16.5" customHeight="1">
      <c r="A197" s="1749">
        <v>10</v>
      </c>
      <c r="B197" s="1749" t="s">
        <v>4121</v>
      </c>
      <c r="C197">
        <v>10</v>
      </c>
      <c r="D197" t="str">
        <f t="shared" ref="D197:D206" si="59">B$7</f>
        <v>V</v>
      </c>
      <c r="E197">
        <v>9.9939999999999998</v>
      </c>
      <c r="F197" t="str">
        <f t="shared" ref="F197:F206" si="60">B$7</f>
        <v>V</v>
      </c>
      <c r="G197">
        <v>9.9939999999999998</v>
      </c>
      <c r="H197" t="str">
        <f>B$7</f>
        <v>V</v>
      </c>
      <c r="I197" s="1749">
        <f>IF(G197="/",(E197-C197)/E197*100,IF(ABS(E197-C197)&gt;ABS(G197-C197),(E197-C197)/10*100,(G197-C197)/10*100))</f>
        <v>-6.0000000000002274E-2</v>
      </c>
      <c r="J197" s="1749"/>
      <c r="K197" s="1749">
        <f>2*(0.00000005^2+0.000003^2+0.000029^2)^0.5</f>
        <v>5.8309604697682525E-5</v>
      </c>
    </row>
    <row r="198" spans="1:11" ht="16.5" customHeight="1">
      <c r="A198" s="1749"/>
      <c r="B198" s="1749"/>
      <c r="C198">
        <v>9</v>
      </c>
      <c r="D198" t="str">
        <f t="shared" si="59"/>
        <v>V</v>
      </c>
      <c r="E198">
        <v>8.9949999999999992</v>
      </c>
      <c r="F198" t="str">
        <f t="shared" si="60"/>
        <v>V</v>
      </c>
      <c r="G198">
        <v>8.9949999999999992</v>
      </c>
      <c r="H198" t="str">
        <f t="shared" ref="H198:H206" si="61">B$7</f>
        <v>V</v>
      </c>
      <c r="I198" s="1749">
        <f t="shared" ref="I198:I206" si="62">IF(G198="/",(E198-C198)/E198*100,IF(ABS(E198-C198)&gt;ABS(G198-C198),(E198-C198)/10*100,(G198-C198)/10*100))</f>
        <v>-5.0000000000007816E-2</v>
      </c>
      <c r="J198" s="1749"/>
      <c r="K198" s="1749"/>
    </row>
    <row r="199" spans="1:11" ht="16.5" customHeight="1">
      <c r="A199" s="1749"/>
      <c r="B199" s="1749"/>
      <c r="C199">
        <v>8</v>
      </c>
      <c r="D199" t="str">
        <f t="shared" si="59"/>
        <v>V</v>
      </c>
      <c r="E199">
        <v>7.9950000000000001</v>
      </c>
      <c r="F199" t="str">
        <f t="shared" si="60"/>
        <v>V</v>
      </c>
      <c r="G199">
        <v>7.9950000000000001</v>
      </c>
      <c r="H199" t="str">
        <f t="shared" si="61"/>
        <v>V</v>
      </c>
      <c r="I199" s="1749">
        <f t="shared" si="62"/>
        <v>-4.9999999999998941E-2</v>
      </c>
      <c r="J199" s="1749"/>
      <c r="K199" s="1749"/>
    </row>
    <row r="200" spans="1:11" ht="16.5" customHeight="1">
      <c r="A200" s="1749"/>
      <c r="B200" s="1749"/>
      <c r="C200">
        <v>7</v>
      </c>
      <c r="D200" t="str">
        <f t="shared" si="59"/>
        <v>V</v>
      </c>
      <c r="E200">
        <v>6.9960000000000004</v>
      </c>
      <c r="F200" t="str">
        <f t="shared" si="60"/>
        <v>V</v>
      </c>
      <c r="G200">
        <v>6.9950000000000001</v>
      </c>
      <c r="H200" t="str">
        <f t="shared" si="61"/>
        <v>V</v>
      </c>
      <c r="I200" s="1749">
        <f t="shared" si="62"/>
        <v>-4.9999999999998941E-2</v>
      </c>
      <c r="J200" s="1749"/>
      <c r="K200" s="1749"/>
    </row>
    <row r="201" spans="1:11" ht="16.5" customHeight="1">
      <c r="A201" s="1749"/>
      <c r="B201" s="1749"/>
      <c r="C201">
        <v>6</v>
      </c>
      <c r="D201" t="str">
        <f t="shared" si="59"/>
        <v>V</v>
      </c>
      <c r="E201">
        <v>5.9969999999999999</v>
      </c>
      <c r="F201" t="str">
        <f t="shared" si="60"/>
        <v>V</v>
      </c>
      <c r="G201">
        <v>5.9960000000000004</v>
      </c>
      <c r="H201" t="str">
        <f t="shared" si="61"/>
        <v>V</v>
      </c>
      <c r="I201" s="1749">
        <f t="shared" si="62"/>
        <v>-3.9999999999995595E-2</v>
      </c>
      <c r="J201" s="1749"/>
      <c r="K201" s="1749"/>
    </row>
    <row r="202" spans="1:11" ht="16.5" customHeight="1">
      <c r="A202" s="1749"/>
      <c r="B202" s="1749"/>
      <c r="C202">
        <v>5</v>
      </c>
      <c r="D202" t="str">
        <f t="shared" si="59"/>
        <v>V</v>
      </c>
      <c r="E202">
        <v>4.9969999999999999</v>
      </c>
      <c r="F202" t="str">
        <f t="shared" si="60"/>
        <v>V</v>
      </c>
      <c r="G202">
        <v>4.9960000000000004</v>
      </c>
      <c r="H202" t="str">
        <f t="shared" si="61"/>
        <v>V</v>
      </c>
      <c r="I202" s="1749">
        <f t="shared" si="62"/>
        <v>-3.9999999999995595E-2</v>
      </c>
      <c r="J202" s="1749"/>
      <c r="K202" s="1749"/>
    </row>
    <row r="203" spans="1:11" ht="16.5" customHeight="1">
      <c r="A203" s="1749"/>
      <c r="B203" s="1749"/>
      <c r="C203">
        <v>4</v>
      </c>
      <c r="D203" t="str">
        <f t="shared" si="59"/>
        <v>V</v>
      </c>
      <c r="E203">
        <v>3.9980000000000002</v>
      </c>
      <c r="F203" t="str">
        <f t="shared" si="60"/>
        <v>V</v>
      </c>
      <c r="G203">
        <v>3.9969999999999999</v>
      </c>
      <c r="H203" t="str">
        <f t="shared" si="61"/>
        <v>V</v>
      </c>
      <c r="I203" s="1749">
        <f t="shared" si="62"/>
        <v>-3.0000000000001137E-2</v>
      </c>
      <c r="J203" s="1749"/>
      <c r="K203" s="1749"/>
    </row>
    <row r="204" spans="1:11" ht="16.5" customHeight="1">
      <c r="A204" s="1749"/>
      <c r="B204" s="1749"/>
      <c r="C204">
        <v>3</v>
      </c>
      <c r="D204" t="str">
        <f t="shared" si="59"/>
        <v>V</v>
      </c>
      <c r="E204">
        <v>2.9980000000000002</v>
      </c>
      <c r="F204" t="str">
        <f t="shared" si="60"/>
        <v>V</v>
      </c>
      <c r="G204">
        <v>2.9980000000000002</v>
      </c>
      <c r="H204" t="str">
        <f t="shared" si="61"/>
        <v>V</v>
      </c>
      <c r="I204" s="1749">
        <f t="shared" si="62"/>
        <v>-1.9999999999997797E-2</v>
      </c>
      <c r="J204" s="1749"/>
      <c r="K204" s="1749"/>
    </row>
    <row r="205" spans="1:11">
      <c r="A205" s="1749"/>
      <c r="B205" s="1749"/>
      <c r="C205">
        <v>2</v>
      </c>
      <c r="D205" t="str">
        <f t="shared" si="59"/>
        <v>V</v>
      </c>
      <c r="E205">
        <v>1.9990000000000001</v>
      </c>
      <c r="F205" t="str">
        <f t="shared" si="60"/>
        <v>V</v>
      </c>
      <c r="G205">
        <v>1.9990000000000001</v>
      </c>
      <c r="H205" t="str">
        <f t="shared" si="61"/>
        <v>V</v>
      </c>
      <c r="I205" s="1749">
        <f t="shared" si="62"/>
        <v>-9.9999999999988987E-3</v>
      </c>
      <c r="J205" s="1749"/>
      <c r="K205" s="1749"/>
    </row>
    <row r="206" spans="1:11">
      <c r="A206" s="1749"/>
      <c r="B206" s="1749"/>
      <c r="C206">
        <v>1</v>
      </c>
      <c r="D206" t="str">
        <f t="shared" si="59"/>
        <v>V</v>
      </c>
      <c r="E206">
        <v>0.999</v>
      </c>
      <c r="F206" t="str">
        <f t="shared" si="60"/>
        <v>V</v>
      </c>
      <c r="G206">
        <v>0.999</v>
      </c>
      <c r="H206" t="str">
        <f t="shared" si="61"/>
        <v>V</v>
      </c>
      <c r="I206" s="1749">
        <f t="shared" si="62"/>
        <v>-1.0000000000000009E-2</v>
      </c>
      <c r="J206" s="1749"/>
      <c r="K206" s="1749"/>
    </row>
    <row r="207" spans="1:11" hidden="1">
      <c r="A207"/>
      <c r="B207"/>
      <c r="C207"/>
      <c r="D207"/>
      <c r="E207"/>
      <c r="F207"/>
      <c r="G207"/>
      <c r="H207"/>
      <c r="I207"/>
      <c r="J207"/>
    </row>
    <row r="208" spans="1:11" ht="42" hidden="1" customHeight="1">
      <c r="A208" s="1749" t="s">
        <v>4128</v>
      </c>
      <c r="B208" s="1749"/>
      <c r="C208" s="1749"/>
      <c r="D208" s="1749"/>
      <c r="E208" s="1749"/>
      <c r="F208" s="1749"/>
      <c r="G208" s="1749"/>
      <c r="H208" s="1749"/>
      <c r="I208" s="1749"/>
      <c r="J208" s="1749"/>
    </row>
    <row r="209" spans="1:10" ht="32.25" customHeight="1">
      <c r="A209" s="1749" t="s">
        <v>4129</v>
      </c>
      <c r="B209" s="1749"/>
      <c r="C209" s="1749"/>
      <c r="D209" s="1749"/>
      <c r="E209" s="1749"/>
      <c r="F209" s="1749"/>
      <c r="G209" s="1749"/>
      <c r="H209" s="1749"/>
      <c r="I209" s="1749"/>
      <c r="J209" s="1749"/>
    </row>
    <row r="210" spans="1:10" ht="33.75" customHeight="1">
      <c r="A210" s="1749"/>
      <c r="B210" s="1749"/>
      <c r="C210" s="1749"/>
      <c r="D210" s="1749"/>
      <c r="E210" s="1749"/>
      <c r="F210" s="1749"/>
      <c r="G210" s="1749"/>
      <c r="H210" s="1749"/>
      <c r="I210" s="1749"/>
      <c r="J210" s="1749"/>
    </row>
  </sheetData>
  <mergeCells count="329">
    <mergeCell ref="A208:J208"/>
    <mergeCell ref="A209:J209"/>
    <mergeCell ref="A210:J210"/>
    <mergeCell ref="A197:A206"/>
    <mergeCell ref="B197:B206"/>
    <mergeCell ref="I197:J197"/>
    <mergeCell ref="A194:J194"/>
    <mergeCell ref="A195:B196"/>
    <mergeCell ref="C195:D196"/>
    <mergeCell ref="E195:H195"/>
    <mergeCell ref="I195:J196"/>
    <mergeCell ref="K195:K196"/>
    <mergeCell ref="E196:F196"/>
    <mergeCell ref="G196:H196"/>
    <mergeCell ref="K197:K206"/>
    <mergeCell ref="I198:J198"/>
    <mergeCell ref="I199:J199"/>
    <mergeCell ref="I200:J200"/>
    <mergeCell ref="I201:J201"/>
    <mergeCell ref="I202:J202"/>
    <mergeCell ref="I203:J203"/>
    <mergeCell ref="I204:J204"/>
    <mergeCell ref="I205:J205"/>
    <mergeCell ref="I206:J206"/>
    <mergeCell ref="A183:A192"/>
    <mergeCell ref="B183:B192"/>
    <mergeCell ref="I183:J183"/>
    <mergeCell ref="K183:K192"/>
    <mergeCell ref="I184:J184"/>
    <mergeCell ref="I185:J185"/>
    <mergeCell ref="I186:J186"/>
    <mergeCell ref="I187:J187"/>
    <mergeCell ref="I188:J188"/>
    <mergeCell ref="I189:J189"/>
    <mergeCell ref="I190:J190"/>
    <mergeCell ref="I191:J191"/>
    <mergeCell ref="I192:J192"/>
    <mergeCell ref="A181:B182"/>
    <mergeCell ref="C181:D182"/>
    <mergeCell ref="E181:H181"/>
    <mergeCell ref="I181:J182"/>
    <mergeCell ref="A171:A180"/>
    <mergeCell ref="B171:B180"/>
    <mergeCell ref="I171:J171"/>
    <mergeCell ref="K181:K182"/>
    <mergeCell ref="E182:F182"/>
    <mergeCell ref="G182:H182"/>
    <mergeCell ref="A169:B170"/>
    <mergeCell ref="C169:D170"/>
    <mergeCell ref="E169:H169"/>
    <mergeCell ref="I169:J170"/>
    <mergeCell ref="K169:K170"/>
    <mergeCell ref="E170:F170"/>
    <mergeCell ref="G170:H170"/>
    <mergeCell ref="K171:K180"/>
    <mergeCell ref="I172:J172"/>
    <mergeCell ref="I173:J173"/>
    <mergeCell ref="I174:J174"/>
    <mergeCell ref="I175:J175"/>
    <mergeCell ref="I176:J176"/>
    <mergeCell ref="I177:J177"/>
    <mergeCell ref="I178:J178"/>
    <mergeCell ref="I179:J179"/>
    <mergeCell ref="I180:J180"/>
    <mergeCell ref="A159:A168"/>
    <mergeCell ref="B159:B168"/>
    <mergeCell ref="I159:J159"/>
    <mergeCell ref="K159:K168"/>
    <mergeCell ref="I160:J160"/>
    <mergeCell ref="I161:J161"/>
    <mergeCell ref="I162:J162"/>
    <mergeCell ref="I163:J163"/>
    <mergeCell ref="I164:J164"/>
    <mergeCell ref="I165:J165"/>
    <mergeCell ref="I166:J166"/>
    <mergeCell ref="I167:J167"/>
    <mergeCell ref="I168:J168"/>
    <mergeCell ref="A156:J156"/>
    <mergeCell ref="A157:B158"/>
    <mergeCell ref="C157:D158"/>
    <mergeCell ref="E157:H157"/>
    <mergeCell ref="I157:J158"/>
    <mergeCell ref="A145:A154"/>
    <mergeCell ref="B145:B154"/>
    <mergeCell ref="I145:J145"/>
    <mergeCell ref="K157:K158"/>
    <mergeCell ref="E158:F158"/>
    <mergeCell ref="G158:H158"/>
    <mergeCell ref="A143:B144"/>
    <mergeCell ref="C143:D144"/>
    <mergeCell ref="E143:H143"/>
    <mergeCell ref="I143:J144"/>
    <mergeCell ref="K143:K144"/>
    <mergeCell ref="E144:F144"/>
    <mergeCell ref="G144:H144"/>
    <mergeCell ref="K145:K154"/>
    <mergeCell ref="I146:J146"/>
    <mergeCell ref="I147:J147"/>
    <mergeCell ref="I148:J148"/>
    <mergeCell ref="I149:J149"/>
    <mergeCell ref="I150:J150"/>
    <mergeCell ref="I151:J151"/>
    <mergeCell ref="I152:J152"/>
    <mergeCell ref="I153:J153"/>
    <mergeCell ref="I154:J154"/>
    <mergeCell ref="A133:A142"/>
    <mergeCell ref="B133:B142"/>
    <mergeCell ref="I133:J133"/>
    <mergeCell ref="K133:K142"/>
    <mergeCell ref="I134:J134"/>
    <mergeCell ref="I135:J135"/>
    <mergeCell ref="I136:J136"/>
    <mergeCell ref="I137:J137"/>
    <mergeCell ref="I138:J138"/>
    <mergeCell ref="I139:J139"/>
    <mergeCell ref="I140:J140"/>
    <mergeCell ref="I141:J141"/>
    <mergeCell ref="I142:J142"/>
    <mergeCell ref="A131:B132"/>
    <mergeCell ref="C131:D132"/>
    <mergeCell ref="E131:H131"/>
    <mergeCell ref="I131:J132"/>
    <mergeCell ref="A121:A130"/>
    <mergeCell ref="B121:B130"/>
    <mergeCell ref="I121:J121"/>
    <mergeCell ref="K131:K132"/>
    <mergeCell ref="E132:F132"/>
    <mergeCell ref="G132:H132"/>
    <mergeCell ref="A118:J118"/>
    <mergeCell ref="A119:B120"/>
    <mergeCell ref="C119:D120"/>
    <mergeCell ref="E119:H119"/>
    <mergeCell ref="I119:J120"/>
    <mergeCell ref="K119:K120"/>
    <mergeCell ref="E120:F120"/>
    <mergeCell ref="G120:H120"/>
    <mergeCell ref="K121:K130"/>
    <mergeCell ref="I122:J122"/>
    <mergeCell ref="I123:J123"/>
    <mergeCell ref="I124:J124"/>
    <mergeCell ref="I125:J125"/>
    <mergeCell ref="I126:J126"/>
    <mergeCell ref="I127:J127"/>
    <mergeCell ref="I128:J128"/>
    <mergeCell ref="I129:J129"/>
    <mergeCell ref="I130:J130"/>
    <mergeCell ref="A107:A116"/>
    <mergeCell ref="B107:B116"/>
    <mergeCell ref="I107:J107"/>
    <mergeCell ref="K107:K116"/>
    <mergeCell ref="I108:J108"/>
    <mergeCell ref="I109:J109"/>
    <mergeCell ref="I110:J110"/>
    <mergeCell ref="I111:J111"/>
    <mergeCell ref="I112:J112"/>
    <mergeCell ref="I113:J113"/>
    <mergeCell ref="I114:J114"/>
    <mergeCell ref="I115:J115"/>
    <mergeCell ref="I116:J116"/>
    <mergeCell ref="A105:B106"/>
    <mergeCell ref="C105:D106"/>
    <mergeCell ref="E105:H105"/>
    <mergeCell ref="I105:J106"/>
    <mergeCell ref="A95:A104"/>
    <mergeCell ref="B95:B104"/>
    <mergeCell ref="I95:J95"/>
    <mergeCell ref="K105:K106"/>
    <mergeCell ref="E106:F106"/>
    <mergeCell ref="G106:H106"/>
    <mergeCell ref="A93:B94"/>
    <mergeCell ref="C93:D94"/>
    <mergeCell ref="E93:H93"/>
    <mergeCell ref="I93:J94"/>
    <mergeCell ref="K93:K94"/>
    <mergeCell ref="E94:F94"/>
    <mergeCell ref="G94:H94"/>
    <mergeCell ref="K95:K104"/>
    <mergeCell ref="I96:J96"/>
    <mergeCell ref="I97:J97"/>
    <mergeCell ref="I98:J98"/>
    <mergeCell ref="I99:J99"/>
    <mergeCell ref="I100:J100"/>
    <mergeCell ref="I101:J101"/>
    <mergeCell ref="I102:J102"/>
    <mergeCell ref="I103:J103"/>
    <mergeCell ref="I104:J104"/>
    <mergeCell ref="A83:A92"/>
    <mergeCell ref="B83:B92"/>
    <mergeCell ref="I83:J83"/>
    <mergeCell ref="K83:K92"/>
    <mergeCell ref="I84:J84"/>
    <mergeCell ref="I85:J85"/>
    <mergeCell ref="I86:J86"/>
    <mergeCell ref="I87:J87"/>
    <mergeCell ref="I88:J88"/>
    <mergeCell ref="I89:J89"/>
    <mergeCell ref="I90:J90"/>
    <mergeCell ref="I91:J91"/>
    <mergeCell ref="I92:J92"/>
    <mergeCell ref="A80:J80"/>
    <mergeCell ref="A81:B82"/>
    <mergeCell ref="C81:D82"/>
    <mergeCell ref="E81:H81"/>
    <mergeCell ref="I81:J82"/>
    <mergeCell ref="A69:A78"/>
    <mergeCell ref="B69:B78"/>
    <mergeCell ref="I69:J69"/>
    <mergeCell ref="K81:K82"/>
    <mergeCell ref="E82:F82"/>
    <mergeCell ref="G82:H82"/>
    <mergeCell ref="A67:B68"/>
    <mergeCell ref="C67:D68"/>
    <mergeCell ref="E67:H67"/>
    <mergeCell ref="I67:J68"/>
    <mergeCell ref="K67:K68"/>
    <mergeCell ref="E68:F68"/>
    <mergeCell ref="G68:H68"/>
    <mergeCell ref="K69:K78"/>
    <mergeCell ref="I70:J70"/>
    <mergeCell ref="I71:J71"/>
    <mergeCell ref="I72:J72"/>
    <mergeCell ref="I73:J73"/>
    <mergeCell ref="I74:J74"/>
    <mergeCell ref="I75:J75"/>
    <mergeCell ref="I76:J76"/>
    <mergeCell ref="I77:J77"/>
    <mergeCell ref="I78:J78"/>
    <mergeCell ref="A57:A66"/>
    <mergeCell ref="B57:B66"/>
    <mergeCell ref="I57:J57"/>
    <mergeCell ref="K57:K66"/>
    <mergeCell ref="I58:J58"/>
    <mergeCell ref="I59:J59"/>
    <mergeCell ref="I60:J60"/>
    <mergeCell ref="I61:J61"/>
    <mergeCell ref="I62:J62"/>
    <mergeCell ref="I63:J63"/>
    <mergeCell ref="I64:J64"/>
    <mergeCell ref="I65:J65"/>
    <mergeCell ref="I66:J66"/>
    <mergeCell ref="A55:B56"/>
    <mergeCell ref="C55:D56"/>
    <mergeCell ref="E55:H55"/>
    <mergeCell ref="I55:J56"/>
    <mergeCell ref="A45:A54"/>
    <mergeCell ref="B45:B54"/>
    <mergeCell ref="I45:J45"/>
    <mergeCell ref="K55:K56"/>
    <mergeCell ref="E56:F56"/>
    <mergeCell ref="G56:H56"/>
    <mergeCell ref="A42:J42"/>
    <mergeCell ref="A43:B44"/>
    <mergeCell ref="C43:D44"/>
    <mergeCell ref="E43:H43"/>
    <mergeCell ref="I43:J44"/>
    <mergeCell ref="K43:K44"/>
    <mergeCell ref="E44:F44"/>
    <mergeCell ref="G44:H44"/>
    <mergeCell ref="K45:K54"/>
    <mergeCell ref="I46:J46"/>
    <mergeCell ref="I47:J47"/>
    <mergeCell ref="I48:J48"/>
    <mergeCell ref="I49:J49"/>
    <mergeCell ref="I50:J50"/>
    <mergeCell ref="I51:J51"/>
    <mergeCell ref="I52:J52"/>
    <mergeCell ref="I53:J53"/>
    <mergeCell ref="I54:J54"/>
    <mergeCell ref="A29:B30"/>
    <mergeCell ref="C29:D30"/>
    <mergeCell ref="E29:H29"/>
    <mergeCell ref="I29:J30"/>
    <mergeCell ref="A19:A28"/>
    <mergeCell ref="K29:K30"/>
    <mergeCell ref="E30:F30"/>
    <mergeCell ref="G30:H30"/>
    <mergeCell ref="A31:A40"/>
    <mergeCell ref="B31:B40"/>
    <mergeCell ref="I31:J31"/>
    <mergeCell ref="K31:K40"/>
    <mergeCell ref="I32:J32"/>
    <mergeCell ref="I33:J33"/>
    <mergeCell ref="I34:J34"/>
    <mergeCell ref="I35:J35"/>
    <mergeCell ref="I36:J36"/>
    <mergeCell ref="I37:J37"/>
    <mergeCell ref="I38:J38"/>
    <mergeCell ref="I39:J39"/>
    <mergeCell ref="I40:J40"/>
    <mergeCell ref="I21:J21"/>
    <mergeCell ref="I22:J22"/>
    <mergeCell ref="I23:J23"/>
    <mergeCell ref="B19:B28"/>
    <mergeCell ref="I19:J19"/>
    <mergeCell ref="I20:J20"/>
    <mergeCell ref="A17:B18"/>
    <mergeCell ref="I24:J24"/>
    <mergeCell ref="I25:J25"/>
    <mergeCell ref="I26:J26"/>
    <mergeCell ref="I27:J27"/>
    <mergeCell ref="I28:J28"/>
    <mergeCell ref="C17:D18"/>
    <mergeCell ref="E17:H17"/>
    <mergeCell ref="I17:J18"/>
    <mergeCell ref="E18:F18"/>
    <mergeCell ref="G18:H18"/>
    <mergeCell ref="A1:F1"/>
    <mergeCell ref="A3:J3"/>
    <mergeCell ref="J4:K4"/>
    <mergeCell ref="A5:B6"/>
    <mergeCell ref="C5:D6"/>
    <mergeCell ref="A7:A16"/>
    <mergeCell ref="B7:B16"/>
    <mergeCell ref="E5:H5"/>
    <mergeCell ref="I5:J6"/>
    <mergeCell ref="K5:K6"/>
    <mergeCell ref="E6:F6"/>
    <mergeCell ref="G6:H6"/>
    <mergeCell ref="K7:K16"/>
    <mergeCell ref="I8:J8"/>
    <mergeCell ref="I9:J9"/>
    <mergeCell ref="I10:J10"/>
    <mergeCell ref="I11:J11"/>
    <mergeCell ref="I7:J7"/>
    <mergeCell ref="I12:J12"/>
    <mergeCell ref="I13:J13"/>
    <mergeCell ref="I14:J14"/>
    <mergeCell ref="I15:J15"/>
    <mergeCell ref="I16:J16"/>
  </mergeCells>
  <phoneticPr fontId="216" type="noConversion"/>
  <pageMargins left="0.55118110236220474" right="0" top="0.47244094488188981" bottom="0.23622047244094491" header="0.51181102362204722" footer="0.19685039370078741"/>
  <pageSetup paperSize="9" scale="99" orientation="portrait" r:id="rId1"/>
  <headerFooter alignWithMargins="0">
    <oddHeader xml:space="preserve">&amp;L&amp;8                                                                                              第&amp;P页     共&amp;N页      </oddHeader>
    <oddFooter>&amp;L&amp;9DC-仪表-11（1）</oddFooter>
  </headerFooter>
  <rowBreaks count="5" manualBreakCount="5">
    <brk id="41" max="10" man="1"/>
    <brk id="79" max="10" man="1"/>
    <brk id="117" max="10" man="1"/>
    <brk id="155" max="10" man="1"/>
    <brk id="193" max="10" man="1"/>
  </rowBreaks>
</worksheet>
</file>

<file path=xl/worksheets/sheet28.xml><?xml version="1.0" encoding="utf-8"?>
<worksheet xmlns="http://schemas.openxmlformats.org/spreadsheetml/2006/main" xmlns:r="http://schemas.openxmlformats.org/officeDocument/2006/relationships">
  <dimension ref="A1:K17"/>
  <sheetViews>
    <sheetView workbookViewId="0"/>
  </sheetViews>
  <sheetFormatPr defaultRowHeight="14.25"/>
  <sheetData>
    <row r="1" spans="1:11">
      <c r="A1" t="s">
        <v>4338</v>
      </c>
      <c r="B1" t="s">
        <v>4339</v>
      </c>
    </row>
    <row r="2" spans="1:11">
      <c r="A2" s="2298" t="s">
        <v>4340</v>
      </c>
      <c r="B2" s="1749"/>
      <c r="C2" s="1749" t="s">
        <v>4341</v>
      </c>
      <c r="D2" s="1749"/>
      <c r="E2" s="1749"/>
      <c r="F2" s="1749" t="s">
        <v>4331</v>
      </c>
      <c r="G2" s="1749"/>
      <c r="H2" s="1749"/>
      <c r="I2" s="1749" t="s">
        <v>4342</v>
      </c>
      <c r="J2" s="1749"/>
      <c r="K2" s="1749"/>
    </row>
    <row r="3" spans="1:11">
      <c r="A3" s="1749">
        <v>10</v>
      </c>
      <c r="B3" s="1749"/>
      <c r="C3" s="1749">
        <f>A3</f>
        <v>10</v>
      </c>
      <c r="D3" s="1749"/>
      <c r="E3" s="1749"/>
      <c r="F3" s="1749">
        <v>9.9981000000000009</v>
      </c>
      <c r="G3" s="1749"/>
      <c r="H3" s="1749"/>
      <c r="I3" s="1749">
        <f>(F3-C3)/A3*100</f>
        <v>-1.8999999999991246E-2</v>
      </c>
      <c r="J3" s="1749"/>
      <c r="K3" s="1749"/>
    </row>
    <row r="4" spans="1:11">
      <c r="A4" s="1749"/>
      <c r="B4" s="1749"/>
      <c r="C4" s="1749">
        <f>A3*0.9</f>
        <v>9</v>
      </c>
      <c r="D4" s="1749"/>
      <c r="E4" s="1749"/>
      <c r="F4" s="1749">
        <v>8.9982000000000006</v>
      </c>
      <c r="G4" s="1749"/>
      <c r="H4" s="1749"/>
      <c r="I4" s="1749">
        <f>(F4-C4)/A3*100</f>
        <v>-1.7999999999993577E-2</v>
      </c>
      <c r="J4" s="1749"/>
      <c r="K4" s="1749"/>
    </row>
    <row r="5" spans="1:11">
      <c r="A5" s="1749"/>
      <c r="B5" s="1749"/>
      <c r="C5" s="1749">
        <f>A3*0.8</f>
        <v>8</v>
      </c>
      <c r="D5" s="1749"/>
      <c r="E5" s="1749"/>
      <c r="F5" s="1749">
        <v>7.9980000000000002</v>
      </c>
      <c r="G5" s="1749"/>
      <c r="H5" s="1749"/>
      <c r="I5" s="1749">
        <f>(F5-C5)/A3*100</f>
        <v>-1.9999999999997797E-2</v>
      </c>
      <c r="J5" s="1749"/>
      <c r="K5" s="1749"/>
    </row>
    <row r="6" spans="1:11">
      <c r="A6" s="1749"/>
      <c r="B6" s="1749"/>
      <c r="C6" s="1749">
        <f>A3*0.7</f>
        <v>7</v>
      </c>
      <c r="D6" s="1749"/>
      <c r="E6" s="1749"/>
      <c r="F6" s="1749">
        <v>6.9981999999999998</v>
      </c>
      <c r="G6" s="1749"/>
      <c r="H6" s="1749"/>
      <c r="I6" s="1749">
        <f>(F6-C6)/A3*100</f>
        <v>-1.8000000000002458E-2</v>
      </c>
      <c r="J6" s="1749"/>
      <c r="K6" s="1749"/>
    </row>
    <row r="7" spans="1:11">
      <c r="A7" s="1749"/>
      <c r="B7" s="1749"/>
      <c r="C7" s="1749">
        <f>A3*0.6</f>
        <v>6</v>
      </c>
      <c r="D7" s="1749"/>
      <c r="E7" s="1749"/>
      <c r="F7" s="1749">
        <v>5.9984000000000002</v>
      </c>
      <c r="G7" s="1749"/>
      <c r="H7" s="1749"/>
      <c r="I7" s="1749">
        <f>(F7-C7)/A3*100</f>
        <v>-1.5999999999998238E-2</v>
      </c>
      <c r="J7" s="1749"/>
      <c r="K7" s="1749"/>
    </row>
    <row r="8" spans="1:11">
      <c r="A8" s="1749"/>
      <c r="B8" s="1749"/>
      <c r="C8" s="1749">
        <f>A3*0.5</f>
        <v>5</v>
      </c>
      <c r="D8" s="1749"/>
      <c r="E8" s="1749"/>
      <c r="F8" s="1749">
        <v>4.9985999999999997</v>
      </c>
      <c r="G8" s="1749"/>
      <c r="H8" s="1749"/>
      <c r="I8" s="1749">
        <f>(F8-C8)/A3*100</f>
        <v>-1.4000000000002899E-2</v>
      </c>
      <c r="J8" s="1749"/>
      <c r="K8" s="1749"/>
    </row>
    <row r="9" spans="1:11">
      <c r="A9" s="1749"/>
      <c r="B9" s="1749"/>
      <c r="C9" s="1749">
        <f>A3*0.4</f>
        <v>4</v>
      </c>
      <c r="D9" s="1749"/>
      <c r="E9" s="1749"/>
      <c r="F9" s="1749">
        <v>3.9988999999999999</v>
      </c>
      <c r="G9" s="1749"/>
      <c r="H9" s="1749"/>
      <c r="I9" s="1749">
        <f>(F9-C9)/A3*100</f>
        <v>-1.1000000000001009E-2</v>
      </c>
      <c r="J9" s="1749"/>
      <c r="K9" s="1749"/>
    </row>
    <row r="10" spans="1:11">
      <c r="A10" s="1749"/>
      <c r="B10" s="1749"/>
      <c r="C10" s="1749">
        <f>A3*0.3</f>
        <v>3</v>
      </c>
      <c r="D10" s="1749"/>
      <c r="E10" s="1749"/>
      <c r="F10" s="1749">
        <v>2.9992000000000001</v>
      </c>
      <c r="G10" s="1749"/>
      <c r="H10" s="1749"/>
      <c r="I10" s="1749">
        <f>(F10-C10)/A3*100</f>
        <v>-7.9999999999991189E-3</v>
      </c>
      <c r="J10" s="1749"/>
      <c r="K10" s="1749"/>
    </row>
    <row r="11" spans="1:11">
      <c r="A11" s="1749"/>
      <c r="B11" s="1749"/>
      <c r="C11" s="1749">
        <f>A3*0.2</f>
        <v>2</v>
      </c>
      <c r="D11" s="1749"/>
      <c r="E11" s="1749"/>
      <c r="F11" s="1749">
        <v>1.9995000000000001</v>
      </c>
      <c r="G11" s="1749"/>
      <c r="H11" s="1749"/>
      <c r="I11" s="1749">
        <f>(F11-C11)/A3*100</f>
        <v>-4.9999999999994493E-3</v>
      </c>
      <c r="J11" s="1749"/>
      <c r="K11" s="1749"/>
    </row>
    <row r="12" spans="1:11">
      <c r="A12" s="1749"/>
      <c r="B12" s="1749"/>
      <c r="C12" s="1749">
        <f>A3*0.1</f>
        <v>1</v>
      </c>
      <c r="D12" s="1749"/>
      <c r="E12" s="1749"/>
      <c r="F12" s="1749">
        <v>0.99970000000000003</v>
      </c>
      <c r="G12" s="1749"/>
      <c r="H12" s="1749"/>
      <c r="I12" s="1749">
        <f>(F12-C12)/A3*100</f>
        <v>-2.9999999999996696E-3</v>
      </c>
      <c r="J12" s="1749"/>
      <c r="K12" s="1749"/>
    </row>
    <row r="13" spans="1:11">
      <c r="A13" s="1749">
        <v>1</v>
      </c>
      <c r="B13" s="1749"/>
      <c r="C13" s="1749">
        <f>A13</f>
        <v>1</v>
      </c>
      <c r="D13" s="1749"/>
      <c r="E13" s="1749"/>
      <c r="F13" s="1749">
        <v>0.99988999999999995</v>
      </c>
      <c r="G13" s="1749"/>
      <c r="H13" s="1749"/>
      <c r="I13" s="1749">
        <f>(F13-C13)/A13*100</f>
        <v>-1.100000000000545E-2</v>
      </c>
      <c r="J13" s="1749"/>
      <c r="K13" s="1749"/>
    </row>
    <row r="14" spans="1:11">
      <c r="A14" s="1749"/>
      <c r="B14" s="1749"/>
      <c r="C14" s="1749">
        <f>A13*0.6</f>
        <v>0.6</v>
      </c>
      <c r="D14" s="1749"/>
      <c r="E14" s="1749"/>
      <c r="F14" s="1749">
        <v>0.59984000000000004</v>
      </c>
      <c r="G14" s="1749"/>
      <c r="H14" s="1749"/>
      <c r="I14" s="1749">
        <f>(F14-C14)/A13*100</f>
        <v>-1.5999999999993797E-2</v>
      </c>
      <c r="J14" s="1749"/>
      <c r="K14" s="1749"/>
    </row>
    <row r="15" spans="1:11">
      <c r="A15" s="1749"/>
      <c r="B15" s="1749"/>
      <c r="C15" s="1749">
        <f>A13*0.1</f>
        <v>0.1</v>
      </c>
      <c r="D15" s="1749"/>
      <c r="E15" s="1749"/>
      <c r="F15" s="1749">
        <v>9.9959999999999993E-2</v>
      </c>
      <c r="G15" s="1749"/>
      <c r="H15" s="1749"/>
      <c r="I15" s="1749">
        <f>(F15-C15)/A13*100</f>
        <v>-4.0000000000012248E-3</v>
      </c>
      <c r="J15" s="1749"/>
      <c r="K15" s="1749"/>
    </row>
    <row r="16" spans="1:11">
      <c r="A16" t="s">
        <v>4343</v>
      </c>
    </row>
    <row r="17" spans="1:2">
      <c r="A17" t="s">
        <v>4334</v>
      </c>
      <c r="B17" t="s">
        <v>4344</v>
      </c>
    </row>
  </sheetData>
  <mergeCells count="45">
    <mergeCell ref="A2:B2"/>
    <mergeCell ref="C2:E2"/>
    <mergeCell ref="F2:H2"/>
    <mergeCell ref="I2:K2"/>
    <mergeCell ref="A3:B12"/>
    <mergeCell ref="C3:E3"/>
    <mergeCell ref="F3:H3"/>
    <mergeCell ref="I3:K3"/>
    <mergeCell ref="C4:E4"/>
    <mergeCell ref="F4:H4"/>
    <mergeCell ref="I4:K4"/>
    <mergeCell ref="C5:E5"/>
    <mergeCell ref="F5:H5"/>
    <mergeCell ref="I5:K5"/>
    <mergeCell ref="C6:E6"/>
    <mergeCell ref="F6:H6"/>
    <mergeCell ref="I6:K6"/>
    <mergeCell ref="C7:E7"/>
    <mergeCell ref="F7:H7"/>
    <mergeCell ref="I7:K7"/>
    <mergeCell ref="C8:E8"/>
    <mergeCell ref="F8:H8"/>
    <mergeCell ref="I8:K8"/>
    <mergeCell ref="C9:E9"/>
    <mergeCell ref="F9:H9"/>
    <mergeCell ref="I9:K9"/>
    <mergeCell ref="C10:E10"/>
    <mergeCell ref="F10:H10"/>
    <mergeCell ref="I10:K10"/>
    <mergeCell ref="C11:E11"/>
    <mergeCell ref="F11:H11"/>
    <mergeCell ref="I11:K11"/>
    <mergeCell ref="C12:E12"/>
    <mergeCell ref="F12:H12"/>
    <mergeCell ref="I12:K12"/>
    <mergeCell ref="A13:B15"/>
    <mergeCell ref="C13:E13"/>
    <mergeCell ref="F13:H13"/>
    <mergeCell ref="I13:K13"/>
    <mergeCell ref="C14:E14"/>
    <mergeCell ref="F14:H14"/>
    <mergeCell ref="I14:K14"/>
    <mergeCell ref="C15:E15"/>
    <mergeCell ref="F15:H15"/>
    <mergeCell ref="I15:K15"/>
  </mergeCells>
  <phoneticPr fontId="224" type="noConversion"/>
  <conditionalFormatting sqref="I3:K15">
    <cfRule type="cellIs" dxfId="96" priority="1" stopIfTrue="1" operator="lessThan">
      <formula>-0.02</formula>
    </cfRule>
    <cfRule type="cellIs" dxfId="95" priority="2" stopIfTrue="1" operator="greaterThan">
      <formula>0.02</formula>
    </cfRule>
  </conditionalFormatting>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O121"/>
  <sheetViews>
    <sheetView view="pageBreakPreview" zoomScaleNormal="100" zoomScaleSheetLayoutView="100" workbookViewId="0"/>
  </sheetViews>
  <sheetFormatPr defaultRowHeight="19.5" customHeight="1"/>
  <cols>
    <col min="1" max="1" width="4.875" style="1636" customWidth="1"/>
    <col min="2" max="2" width="4" style="1636" customWidth="1"/>
    <col min="3" max="5" width="9.125" style="1636" customWidth="1"/>
    <col min="6" max="6" width="9.25" style="1636" customWidth="1"/>
    <col min="7" max="7" width="9.625" style="1636" customWidth="1"/>
    <col min="8" max="8" width="9.125" style="1636" customWidth="1"/>
    <col min="9" max="9" width="8.625" style="1636" customWidth="1"/>
    <col min="10" max="11" width="8.75" style="1636" customWidth="1"/>
    <col min="12" max="12" width="10.375" style="1636" customWidth="1"/>
    <col min="13" max="14" width="9.5" style="1636" bestFit="1" customWidth="1"/>
    <col min="15" max="16384" width="9" style="1636"/>
  </cols>
  <sheetData>
    <row r="1" spans="1:15" ht="15" customHeight="1">
      <c r="A1" t="str">
        <f>'[9]原始记录 封皮'!A1</f>
        <v>原始记录编号：DC/数表原始-002-2016</v>
      </c>
      <c r="B1"/>
      <c r="C1"/>
      <c r="D1"/>
      <c r="E1"/>
      <c r="F1"/>
      <c r="G1"/>
      <c r="H1"/>
      <c r="I1"/>
      <c r="J1"/>
      <c r="K1"/>
      <c r="L1"/>
      <c r="M1" s="1636" t="s">
        <v>4132</v>
      </c>
    </row>
    <row r="3" spans="1:15" ht="21" customHeight="1">
      <c r="A3" s="1749" t="s">
        <v>4133</v>
      </c>
      <c r="B3" s="1749"/>
      <c r="C3" s="1749"/>
      <c r="D3" s="1749"/>
      <c r="E3" s="1749"/>
      <c r="F3" s="1749"/>
      <c r="G3" s="1749"/>
      <c r="H3" s="1749"/>
      <c r="I3" s="1749"/>
      <c r="J3" s="1749"/>
      <c r="K3" s="1749"/>
    </row>
    <row r="4" spans="1:15" ht="19.5" customHeight="1">
      <c r="A4" t="s">
        <v>4134</v>
      </c>
      <c r="B4"/>
      <c r="C4"/>
      <c r="D4"/>
      <c r="E4"/>
      <c r="F4"/>
      <c r="G4"/>
      <c r="H4"/>
      <c r="I4"/>
      <c r="J4"/>
      <c r="K4"/>
      <c r="L4"/>
      <c r="M4"/>
      <c r="N4"/>
    </row>
    <row r="5" spans="1:15" ht="18.95" customHeight="1">
      <c r="A5" s="1749" t="s">
        <v>4135</v>
      </c>
      <c r="B5" s="1749"/>
      <c r="C5" s="1749" t="s">
        <v>4136</v>
      </c>
      <c r="D5" s="1749"/>
      <c r="E5" s="1749"/>
      <c r="F5" s="1749" t="s">
        <v>4137</v>
      </c>
      <c r="G5" s="1749"/>
      <c r="H5" s="1749"/>
      <c r="I5" s="1749" t="s">
        <v>4138</v>
      </c>
      <c r="J5" s="1749"/>
      <c r="K5" s="1749"/>
      <c r="L5" s="1749" t="s">
        <v>4139</v>
      </c>
      <c r="M5" t="s">
        <v>4140</v>
      </c>
      <c r="N5"/>
      <c r="O5"/>
    </row>
    <row r="6" spans="1:15" ht="18.95" customHeight="1">
      <c r="A6" s="1749"/>
      <c r="B6" s="1749"/>
      <c r="C6" t="s">
        <v>4141</v>
      </c>
      <c r="D6" t="s">
        <v>4142</v>
      </c>
      <c r="E6" t="s">
        <v>4143</v>
      </c>
      <c r="F6" t="s">
        <v>4141</v>
      </c>
      <c r="G6" t="s">
        <v>4142</v>
      </c>
      <c r="H6" t="s">
        <v>4144</v>
      </c>
      <c r="I6" t="s">
        <v>4145</v>
      </c>
      <c r="J6" t="s">
        <v>4146</v>
      </c>
      <c r="K6" t="s">
        <v>4147</v>
      </c>
      <c r="L6" s="1749"/>
      <c r="M6"/>
      <c r="N6"/>
      <c r="O6"/>
    </row>
    <row r="7" spans="1:15" ht="18.95" customHeight="1">
      <c r="A7" s="1749">
        <v>800</v>
      </c>
      <c r="B7" s="1749"/>
      <c r="C7">
        <v>799.96</v>
      </c>
      <c r="D7">
        <v>799.73</v>
      </c>
      <c r="E7">
        <v>799.97</v>
      </c>
      <c r="F7">
        <v>800</v>
      </c>
      <c r="G7">
        <v>800</v>
      </c>
      <c r="H7">
        <v>800</v>
      </c>
      <c r="I7">
        <f t="shared" ref="I7:K16" si="0">(C7-F7)/F7*100</f>
        <v>-4.9999999999954525E-3</v>
      </c>
      <c r="J7">
        <f t="shared" si="0"/>
        <v>-3.3749999999997726E-2</v>
      </c>
      <c r="K7">
        <f t="shared" si="0"/>
        <v>-3.7499999999965894E-3</v>
      </c>
      <c r="L7" s="1749">
        <f>2*(0.00000005^2+0.000003^2+0.00029^2)^0.5</f>
        <v>5.8003104227273908E-4</v>
      </c>
      <c r="M7"/>
      <c r="N7"/>
    </row>
    <row r="8" spans="1:15" ht="18.95" customHeight="1">
      <c r="A8" s="1749"/>
      <c r="B8" s="1749"/>
      <c r="C8">
        <v>720.01</v>
      </c>
      <c r="D8">
        <v>719.73</v>
      </c>
      <c r="E8">
        <v>720</v>
      </c>
      <c r="F8">
        <v>720</v>
      </c>
      <c r="G8">
        <v>720</v>
      </c>
      <c r="H8">
        <v>720</v>
      </c>
      <c r="I8">
        <f t="shared" si="0"/>
        <v>1.3888888888876256E-3</v>
      </c>
      <c r="J8">
        <f t="shared" si="0"/>
        <v>-3.7499999999997473E-2</v>
      </c>
      <c r="K8">
        <f t="shared" si="0"/>
        <v>0</v>
      </c>
      <c r="L8" s="1749"/>
      <c r="M8"/>
      <c r="N8"/>
    </row>
    <row r="9" spans="1:15" ht="18.95" customHeight="1">
      <c r="A9" s="1749"/>
      <c r="B9" s="1749"/>
      <c r="C9">
        <v>639.96</v>
      </c>
      <c r="D9">
        <v>639.72</v>
      </c>
      <c r="E9">
        <v>639.97</v>
      </c>
      <c r="F9">
        <v>640</v>
      </c>
      <c r="G9">
        <v>640</v>
      </c>
      <c r="H9">
        <v>640</v>
      </c>
      <c r="I9">
        <f t="shared" si="0"/>
        <v>-6.2499999999943165E-3</v>
      </c>
      <c r="J9">
        <f t="shared" si="0"/>
        <v>-4.3749999999995737E-2</v>
      </c>
      <c r="K9">
        <f t="shared" si="0"/>
        <v>-4.6874999999957367E-3</v>
      </c>
      <c r="L9" s="1749"/>
      <c r="M9"/>
      <c r="N9"/>
    </row>
    <row r="10" spans="1:15" ht="18.95" customHeight="1">
      <c r="A10" s="1749"/>
      <c r="B10" s="1749"/>
      <c r="C10">
        <v>559.92999999999995</v>
      </c>
      <c r="D10">
        <v>559.73</v>
      </c>
      <c r="E10">
        <v>559.94000000000005</v>
      </c>
      <c r="F10">
        <v>560</v>
      </c>
      <c r="G10">
        <v>560</v>
      </c>
      <c r="H10">
        <v>560</v>
      </c>
      <c r="I10">
        <f t="shared" si="0"/>
        <v>-1.2500000000008931E-2</v>
      </c>
      <c r="J10">
        <f t="shared" si="0"/>
        <v>-4.8214285714282469E-2</v>
      </c>
      <c r="K10">
        <f t="shared" si="0"/>
        <v>-1.0714285714275969E-2</v>
      </c>
      <c r="L10" s="1749"/>
      <c r="M10"/>
      <c r="N10"/>
    </row>
    <row r="11" spans="1:15" ht="18.95" customHeight="1">
      <c r="A11" s="1749"/>
      <c r="B11" s="1749"/>
      <c r="C11">
        <v>479.92</v>
      </c>
      <c r="D11">
        <v>479.74</v>
      </c>
      <c r="E11">
        <v>479.94</v>
      </c>
      <c r="F11">
        <v>480</v>
      </c>
      <c r="G11">
        <v>480</v>
      </c>
      <c r="H11">
        <v>480</v>
      </c>
      <c r="I11">
        <f t="shared" si="0"/>
        <v>-1.666666666666335E-2</v>
      </c>
      <c r="J11">
        <f t="shared" si="0"/>
        <v>-5.4166666666664767E-2</v>
      </c>
      <c r="K11">
        <f t="shared" si="0"/>
        <v>-1.2500000000000474E-2</v>
      </c>
      <c r="L11" s="1749"/>
      <c r="M11"/>
      <c r="N11"/>
    </row>
    <row r="12" spans="1:15" ht="18.95" customHeight="1">
      <c r="A12" s="1749"/>
      <c r="B12" s="1749"/>
      <c r="C12">
        <v>399.92</v>
      </c>
      <c r="D12">
        <v>399.76</v>
      </c>
      <c r="E12">
        <v>399.94</v>
      </c>
      <c r="F12">
        <v>400</v>
      </c>
      <c r="G12">
        <v>400</v>
      </c>
      <c r="H12">
        <v>400</v>
      </c>
      <c r="I12">
        <f t="shared" si="0"/>
        <v>-1.9999999999996021E-2</v>
      </c>
      <c r="J12">
        <f t="shared" si="0"/>
        <v>-6.0000000000002274E-2</v>
      </c>
      <c r="K12">
        <f t="shared" si="0"/>
        <v>-1.5000000000000568E-2</v>
      </c>
      <c r="L12" s="1749"/>
      <c r="M12"/>
      <c r="N12"/>
    </row>
    <row r="13" spans="1:15" ht="18.95" customHeight="1">
      <c r="A13" s="1749"/>
      <c r="B13" s="1749"/>
      <c r="C13">
        <v>319.92</v>
      </c>
      <c r="D13">
        <v>319.77999999999997</v>
      </c>
      <c r="E13">
        <v>319.93</v>
      </c>
      <c r="F13">
        <v>320</v>
      </c>
      <c r="G13">
        <v>320</v>
      </c>
      <c r="H13">
        <v>320</v>
      </c>
      <c r="I13">
        <f t="shared" si="0"/>
        <v>-2.4999999999995023E-2</v>
      </c>
      <c r="J13">
        <f t="shared" si="0"/>
        <v>-6.8750000000008527E-2</v>
      </c>
      <c r="K13">
        <f t="shared" si="0"/>
        <v>-2.1874999999997868E-2</v>
      </c>
      <c r="L13" s="1749"/>
      <c r="M13"/>
      <c r="N13"/>
    </row>
    <row r="14" spans="1:15" ht="18.95" customHeight="1">
      <c r="A14" s="1749"/>
      <c r="B14" s="1749"/>
      <c r="C14">
        <v>239.93</v>
      </c>
      <c r="D14">
        <v>239.81</v>
      </c>
      <c r="E14">
        <v>239.94</v>
      </c>
      <c r="F14">
        <v>240</v>
      </c>
      <c r="G14">
        <v>240</v>
      </c>
      <c r="H14">
        <v>240</v>
      </c>
      <c r="I14">
        <f t="shared" si="0"/>
        <v>-2.9166666666663822E-2</v>
      </c>
      <c r="J14">
        <f t="shared" si="0"/>
        <v>-7.9166666666665719E-2</v>
      </c>
      <c r="K14">
        <f t="shared" si="0"/>
        <v>-2.5000000000000949E-2</v>
      </c>
      <c r="L14" s="1749"/>
      <c r="M14"/>
      <c r="N14"/>
    </row>
    <row r="15" spans="1:15" ht="18.95" customHeight="1">
      <c r="A15" s="1749"/>
      <c r="B15" s="1749"/>
      <c r="C15">
        <v>159.94</v>
      </c>
      <c r="D15">
        <v>159.82</v>
      </c>
      <c r="E15">
        <v>159.94</v>
      </c>
      <c r="F15">
        <v>160</v>
      </c>
      <c r="G15">
        <v>160</v>
      </c>
      <c r="H15">
        <v>160</v>
      </c>
      <c r="I15">
        <f t="shared" si="0"/>
        <v>-3.7500000000001421E-2</v>
      </c>
      <c r="J15">
        <f t="shared" si="0"/>
        <v>-0.11250000000000426</v>
      </c>
      <c r="K15">
        <f t="shared" si="0"/>
        <v>-3.7500000000001421E-2</v>
      </c>
      <c r="L15" s="1749"/>
      <c r="M15"/>
      <c r="N15"/>
    </row>
    <row r="16" spans="1:15" ht="18.95" customHeight="1">
      <c r="A16" s="1749"/>
      <c r="B16" s="1749"/>
      <c r="C16">
        <v>79.94</v>
      </c>
      <c r="D16">
        <v>79.83</v>
      </c>
      <c r="E16">
        <v>79.930000000000007</v>
      </c>
      <c r="F16">
        <v>80</v>
      </c>
      <c r="G16">
        <v>80</v>
      </c>
      <c r="H16">
        <v>80</v>
      </c>
      <c r="I16">
        <f t="shared" si="0"/>
        <v>-7.5000000000002842E-2</v>
      </c>
      <c r="J16">
        <f t="shared" si="0"/>
        <v>-0.21250000000000213</v>
      </c>
      <c r="K16">
        <f t="shared" si="0"/>
        <v>-8.7499999999991473E-2</v>
      </c>
      <c r="L16" s="1749"/>
      <c r="M16"/>
      <c r="N16"/>
    </row>
    <row r="17" spans="1:14" ht="18.95" customHeight="1">
      <c r="A17" s="1749" t="s">
        <v>4148</v>
      </c>
      <c r="B17" s="1749"/>
      <c r="C17" s="1749" t="s">
        <v>4136</v>
      </c>
      <c r="D17" s="1749"/>
      <c r="E17" s="1749"/>
      <c r="F17" s="1749" t="s">
        <v>4149</v>
      </c>
      <c r="G17" s="1749"/>
      <c r="H17" s="1749"/>
      <c r="I17" s="1749" t="s">
        <v>4138</v>
      </c>
      <c r="J17" s="1749"/>
      <c r="K17" s="1749"/>
      <c r="L17" s="1749" t="s">
        <v>4139</v>
      </c>
      <c r="M17"/>
      <c r="N17"/>
    </row>
    <row r="18" spans="1:14" ht="18.95" customHeight="1">
      <c r="A18" s="1749"/>
      <c r="B18" s="1749"/>
      <c r="C18" t="s">
        <v>4150</v>
      </c>
      <c r="D18" t="s">
        <v>4151</v>
      </c>
      <c r="E18" t="s">
        <v>4152</v>
      </c>
      <c r="F18" t="s">
        <v>4150</v>
      </c>
      <c r="G18" t="s">
        <v>4153</v>
      </c>
      <c r="H18" t="s">
        <v>4154</v>
      </c>
      <c r="I18" t="s">
        <v>4155</v>
      </c>
      <c r="J18" t="s">
        <v>4156</v>
      </c>
      <c r="K18" t="s">
        <v>4157</v>
      </c>
      <c r="L18" s="1749"/>
    </row>
    <row r="19" spans="1:14" ht="18.95" customHeight="1">
      <c r="A19" s="1749">
        <v>50</v>
      </c>
      <c r="B19" s="1749"/>
      <c r="C19">
        <v>49.981999999999999</v>
      </c>
      <c r="D19">
        <v>50</v>
      </c>
      <c r="E19">
        <v>49.996000000000002</v>
      </c>
      <c r="F19">
        <v>50</v>
      </c>
      <c r="G19">
        <v>50</v>
      </c>
      <c r="H19">
        <v>50</v>
      </c>
      <c r="I19">
        <f>(C19-F19)/F19*100</f>
        <v>-3.6000000000001364E-2</v>
      </c>
      <c r="J19">
        <f>(D19-G19)/G19*100</f>
        <v>0</v>
      </c>
      <c r="K19">
        <f>(E19-H19)/H19*100</f>
        <v>-7.9999999999955662E-3</v>
      </c>
      <c r="L19" s="1749">
        <f>2*(0.00000005^2+0.000003^2+0.000029^2)^0.5</f>
        <v>5.8309604697682525E-5</v>
      </c>
      <c r="M19"/>
      <c r="N19"/>
    </row>
    <row r="20" spans="1:14" ht="18.95" customHeight="1">
      <c r="A20" s="1749"/>
      <c r="B20" s="1749"/>
      <c r="C20">
        <v>44.981999999999999</v>
      </c>
      <c r="D20">
        <v>45.003999999999998</v>
      </c>
      <c r="E20">
        <v>44.996000000000002</v>
      </c>
      <c r="F20">
        <v>45</v>
      </c>
      <c r="G20">
        <v>45</v>
      </c>
      <c r="H20">
        <v>45</v>
      </c>
      <c r="I20">
        <f t="shared" ref="I20:K28" si="1">(C20-F20)/F20*100</f>
        <v>-4.0000000000001514E-2</v>
      </c>
      <c r="J20">
        <f t="shared" si="1"/>
        <v>8.8888888888839623E-3</v>
      </c>
      <c r="K20">
        <f t="shared" si="1"/>
        <v>-8.8888888888839623E-3</v>
      </c>
      <c r="L20" s="1749"/>
      <c r="M20"/>
      <c r="N20"/>
    </row>
    <row r="21" spans="1:14" ht="18.95" customHeight="1">
      <c r="A21" s="1749"/>
      <c r="B21" s="1749"/>
      <c r="C21">
        <v>39.981999999999999</v>
      </c>
      <c r="D21">
        <v>40.003999999999998</v>
      </c>
      <c r="E21">
        <v>39.996000000000002</v>
      </c>
      <c r="F21">
        <v>40</v>
      </c>
      <c r="G21">
        <v>40</v>
      </c>
      <c r="H21">
        <v>40</v>
      </c>
      <c r="I21">
        <f t="shared" si="1"/>
        <v>-4.5000000000001705E-2</v>
      </c>
      <c r="J21">
        <f t="shared" si="1"/>
        <v>9.9999999999944578E-3</v>
      </c>
      <c r="K21">
        <f t="shared" si="1"/>
        <v>-9.9999999999944578E-3</v>
      </c>
      <c r="L21" s="1749"/>
      <c r="M21"/>
      <c r="N21"/>
    </row>
    <row r="22" spans="1:14" ht="18.95" customHeight="1">
      <c r="A22" s="1749"/>
      <c r="B22" s="1749"/>
      <c r="C22">
        <v>34.981999999999999</v>
      </c>
      <c r="D22">
        <v>35.005000000000003</v>
      </c>
      <c r="E22">
        <v>34.994999999999997</v>
      </c>
      <c r="F22">
        <v>35</v>
      </c>
      <c r="G22">
        <v>35</v>
      </c>
      <c r="H22">
        <v>35</v>
      </c>
      <c r="I22">
        <f t="shared" si="1"/>
        <v>-5.1428571428573384E-2</v>
      </c>
      <c r="J22">
        <f t="shared" si="1"/>
        <v>1.4285714285721594E-2</v>
      </c>
      <c r="K22">
        <f t="shared" si="1"/>
        <v>-1.4285714285721594E-2</v>
      </c>
      <c r="L22" s="1749"/>
      <c r="M22"/>
      <c r="N22"/>
    </row>
    <row r="23" spans="1:14" ht="18.95" customHeight="1">
      <c r="A23" s="1749"/>
      <c r="B23" s="1749"/>
      <c r="C23">
        <v>29.981000000000002</v>
      </c>
      <c r="D23">
        <v>30.004999999999999</v>
      </c>
      <c r="E23">
        <v>29.995000000000001</v>
      </c>
      <c r="F23">
        <v>30</v>
      </c>
      <c r="G23">
        <v>30</v>
      </c>
      <c r="H23">
        <v>30</v>
      </c>
      <c r="I23">
        <f t="shared" si="1"/>
        <v>-6.3333333333327843E-2</v>
      </c>
      <c r="J23">
        <f t="shared" si="1"/>
        <v>1.666666666666335E-2</v>
      </c>
      <c r="K23">
        <f t="shared" si="1"/>
        <v>-1.666666666666335E-2</v>
      </c>
      <c r="L23" s="1749"/>
      <c r="M23"/>
      <c r="N23"/>
    </row>
    <row r="24" spans="1:14" ht="18.95" customHeight="1">
      <c r="A24" s="1749"/>
      <c r="B24" s="1749"/>
      <c r="C24">
        <v>24.98</v>
      </c>
      <c r="D24">
        <v>25.004999999999999</v>
      </c>
      <c r="E24">
        <v>24.994</v>
      </c>
      <c r="F24">
        <v>25</v>
      </c>
      <c r="G24">
        <v>25</v>
      </c>
      <c r="H24">
        <v>25</v>
      </c>
      <c r="I24">
        <f t="shared" si="1"/>
        <v>-7.9999999999998295E-2</v>
      </c>
      <c r="J24">
        <f t="shared" si="1"/>
        <v>1.9999999999996021E-2</v>
      </c>
      <c r="K24">
        <f t="shared" si="1"/>
        <v>-2.4000000000000909E-2</v>
      </c>
      <c r="L24" s="1749"/>
      <c r="M24"/>
      <c r="N24"/>
    </row>
    <row r="25" spans="1:14" ht="18.95" customHeight="1">
      <c r="A25" s="1749"/>
      <c r="B25" s="1749"/>
      <c r="C25">
        <v>19.981000000000002</v>
      </c>
      <c r="D25">
        <v>20.006</v>
      </c>
      <c r="E25">
        <v>19.994</v>
      </c>
      <c r="F25">
        <v>20</v>
      </c>
      <c r="G25">
        <v>20</v>
      </c>
      <c r="H25">
        <v>20</v>
      </c>
      <c r="I25">
        <f t="shared" si="1"/>
        <v>-9.4999999999991758E-2</v>
      </c>
      <c r="J25">
        <f t="shared" si="1"/>
        <v>3.0000000000001137E-2</v>
      </c>
      <c r="K25">
        <f t="shared" si="1"/>
        <v>-3.0000000000001137E-2</v>
      </c>
      <c r="L25" s="1749"/>
      <c r="M25"/>
      <c r="N25"/>
    </row>
    <row r="26" spans="1:14" ht="18.95" customHeight="1">
      <c r="A26" s="1749"/>
      <c r="B26" s="1749"/>
      <c r="C26">
        <v>14.98</v>
      </c>
      <c r="D26">
        <v>15.007</v>
      </c>
      <c r="E26">
        <v>14.993</v>
      </c>
      <c r="F26">
        <v>15</v>
      </c>
      <c r="G26">
        <v>15</v>
      </c>
      <c r="H26">
        <v>15</v>
      </c>
      <c r="I26">
        <f t="shared" si="1"/>
        <v>-0.1333333333333305</v>
      </c>
      <c r="J26">
        <f t="shared" si="1"/>
        <v>4.666666666666449E-2</v>
      </c>
      <c r="K26">
        <f t="shared" si="1"/>
        <v>-4.666666666666449E-2</v>
      </c>
      <c r="L26" s="1749"/>
      <c r="M26"/>
      <c r="N26"/>
    </row>
    <row r="27" spans="1:14" ht="18.95" customHeight="1">
      <c r="A27" s="1749"/>
      <c r="B27" s="1749"/>
      <c r="C27">
        <v>9.98</v>
      </c>
      <c r="D27">
        <v>10.007999999999999</v>
      </c>
      <c r="E27">
        <v>9.9939999999999998</v>
      </c>
      <c r="F27">
        <v>10</v>
      </c>
      <c r="G27">
        <v>10</v>
      </c>
      <c r="H27">
        <v>10</v>
      </c>
      <c r="I27">
        <f t="shared" si="1"/>
        <v>-0.19999999999999576</v>
      </c>
      <c r="J27">
        <f t="shared" si="1"/>
        <v>7.9999999999991189E-2</v>
      </c>
      <c r="K27">
        <f t="shared" si="1"/>
        <v>-6.0000000000002274E-2</v>
      </c>
      <c r="L27" s="1749"/>
      <c r="M27"/>
      <c r="N27"/>
    </row>
    <row r="28" spans="1:14" ht="18.95" customHeight="1">
      <c r="A28" s="1749"/>
      <c r="B28" s="1749"/>
      <c r="C28">
        <v>4.9790000000000001</v>
      </c>
      <c r="D28">
        <v>5.0090000000000003</v>
      </c>
      <c r="E28">
        <v>4.9930000000000003</v>
      </c>
      <c r="F28">
        <v>5</v>
      </c>
      <c r="G28">
        <v>5</v>
      </c>
      <c r="H28">
        <v>5</v>
      </c>
      <c r="I28">
        <f t="shared" si="1"/>
        <v>-0.41999999999999815</v>
      </c>
      <c r="J28">
        <f t="shared" si="1"/>
        <v>0.18000000000000682</v>
      </c>
      <c r="K28">
        <f t="shared" si="1"/>
        <v>-0.13999999999999346</v>
      </c>
      <c r="L28" s="1749"/>
      <c r="M28"/>
      <c r="N28"/>
    </row>
    <row r="29" spans="1:14" ht="29.25" customHeight="1">
      <c r="A29" s="1749"/>
      <c r="B29" s="1749"/>
      <c r="C29" t="s">
        <v>4158</v>
      </c>
      <c r="D29" t="s">
        <v>4159</v>
      </c>
      <c r="E29" t="s">
        <v>4160</v>
      </c>
      <c r="F29" t="s">
        <v>4158</v>
      </c>
      <c r="G29" t="s">
        <v>4161</v>
      </c>
      <c r="H29" t="s">
        <v>4162</v>
      </c>
      <c r="I29" t="s">
        <v>4163</v>
      </c>
      <c r="J29" t="s">
        <v>4164</v>
      </c>
      <c r="K29" t="s">
        <v>4165</v>
      </c>
      <c r="L29" t="s">
        <v>4166</v>
      </c>
    </row>
    <row r="30" spans="1:14" ht="18.95" customHeight="1">
      <c r="A30" s="1749"/>
      <c r="B30" s="1749"/>
      <c r="C30">
        <v>50.008000000000003</v>
      </c>
      <c r="D30">
        <v>50.012999999999998</v>
      </c>
      <c r="E30" t="s">
        <v>4160</v>
      </c>
      <c r="F30">
        <v>50</v>
      </c>
      <c r="G30">
        <v>50</v>
      </c>
      <c r="H30" t="s">
        <v>4160</v>
      </c>
      <c r="I30">
        <f>(C30-F30)/F30*100</f>
        <v>1.6000000000005343E-2</v>
      </c>
      <c r="J30">
        <f>(D30-G30)/G30*100</f>
        <v>2.5999999999996245E-2</v>
      </c>
      <c r="K30" t="s">
        <v>4165</v>
      </c>
      <c r="L30" s="1749">
        <f>2*(0.00000005^2+0.000003^2+0.000029^2)^0.5</f>
        <v>5.8309604697682525E-5</v>
      </c>
      <c r="M30"/>
      <c r="N30"/>
    </row>
    <row r="31" spans="1:14" ht="18.95" customHeight="1">
      <c r="A31" s="1749"/>
      <c r="B31" s="1749"/>
      <c r="C31">
        <v>45.008000000000003</v>
      </c>
      <c r="D31">
        <v>45.012</v>
      </c>
      <c r="E31" t="s">
        <v>4160</v>
      </c>
      <c r="F31">
        <v>45</v>
      </c>
      <c r="G31">
        <v>45</v>
      </c>
      <c r="H31" t="s">
        <v>4160</v>
      </c>
      <c r="I31">
        <f t="shared" ref="I31:J39" si="2">(C31-F31)/F31*100</f>
        <v>1.7777777777783714E-2</v>
      </c>
      <c r="J31">
        <f t="shared" si="2"/>
        <v>2.6666666666667678E-2</v>
      </c>
      <c r="K31" t="s">
        <v>4160</v>
      </c>
      <c r="L31" s="1749"/>
      <c r="M31"/>
      <c r="N31"/>
    </row>
    <row r="32" spans="1:14" ht="18.95" customHeight="1">
      <c r="A32" s="1749"/>
      <c r="B32" s="1749"/>
      <c r="C32">
        <v>40.006</v>
      </c>
      <c r="D32">
        <v>40.01</v>
      </c>
      <c r="E32" t="s">
        <v>4165</v>
      </c>
      <c r="F32">
        <v>40</v>
      </c>
      <c r="G32">
        <v>40</v>
      </c>
      <c r="H32" t="s">
        <v>4165</v>
      </c>
      <c r="I32">
        <f t="shared" si="2"/>
        <v>1.5000000000000568E-2</v>
      </c>
      <c r="J32">
        <f t="shared" si="2"/>
        <v>2.4999999999995023E-2</v>
      </c>
      <c r="K32" t="s">
        <v>4160</v>
      </c>
      <c r="L32" s="1749"/>
      <c r="M32"/>
      <c r="N32"/>
    </row>
    <row r="33" spans="1:14" ht="18.95" customHeight="1">
      <c r="A33" s="1749"/>
      <c r="B33" s="1749"/>
      <c r="C33">
        <v>35.005000000000003</v>
      </c>
      <c r="D33">
        <v>35.009</v>
      </c>
      <c r="E33" t="s">
        <v>4160</v>
      </c>
      <c r="F33">
        <v>35</v>
      </c>
      <c r="G33">
        <v>35</v>
      </c>
      <c r="H33" t="s">
        <v>4167</v>
      </c>
      <c r="I33">
        <f t="shared" si="2"/>
        <v>1.4285714285721594E-2</v>
      </c>
      <c r="J33">
        <f t="shared" si="2"/>
        <v>2.5714285714286692E-2</v>
      </c>
      <c r="K33" t="s">
        <v>4168</v>
      </c>
      <c r="L33" s="1749"/>
      <c r="M33"/>
      <c r="N33"/>
    </row>
    <row r="34" spans="1:14" ht="18.95" customHeight="1">
      <c r="A34" s="1749"/>
      <c r="B34" s="1749"/>
      <c r="C34">
        <v>30.004000000000001</v>
      </c>
      <c r="D34">
        <v>30.007000000000001</v>
      </c>
      <c r="E34" t="s">
        <v>4168</v>
      </c>
      <c r="F34">
        <v>30</v>
      </c>
      <c r="G34">
        <v>30</v>
      </c>
      <c r="H34" t="s">
        <v>4160</v>
      </c>
      <c r="I34">
        <f t="shared" si="2"/>
        <v>1.3333333333337787E-2</v>
      </c>
      <c r="J34">
        <f t="shared" si="2"/>
        <v>2.3333333333338167E-2</v>
      </c>
      <c r="K34" t="s">
        <v>4160</v>
      </c>
      <c r="L34" s="1749"/>
      <c r="M34"/>
      <c r="N34"/>
    </row>
    <row r="35" spans="1:14" ht="18.95" customHeight="1">
      <c r="A35" s="1749"/>
      <c r="B35" s="1749"/>
      <c r="C35">
        <v>25.001999999999999</v>
      </c>
      <c r="D35">
        <v>25.004999999999999</v>
      </c>
      <c r="E35" t="s">
        <v>4160</v>
      </c>
      <c r="F35">
        <v>25</v>
      </c>
      <c r="G35">
        <v>25</v>
      </c>
      <c r="H35" t="s">
        <v>4168</v>
      </c>
      <c r="I35">
        <f t="shared" si="2"/>
        <v>7.9999999999955662E-3</v>
      </c>
      <c r="J35">
        <f t="shared" si="2"/>
        <v>1.9999999999996021E-2</v>
      </c>
      <c r="K35" t="s">
        <v>4168</v>
      </c>
      <c r="L35" s="1749"/>
      <c r="M35"/>
      <c r="N35"/>
    </row>
    <row r="36" spans="1:14" ht="18.95" customHeight="1">
      <c r="A36" s="1749"/>
      <c r="B36" s="1749"/>
      <c r="C36">
        <v>20.001000000000001</v>
      </c>
      <c r="D36">
        <v>20.004000000000001</v>
      </c>
      <c r="E36" t="s">
        <v>4160</v>
      </c>
      <c r="F36">
        <v>20</v>
      </c>
      <c r="G36">
        <v>20</v>
      </c>
      <c r="H36" t="s">
        <v>4168</v>
      </c>
      <c r="I36">
        <f t="shared" si="2"/>
        <v>5.0000000000061107E-3</v>
      </c>
      <c r="J36">
        <f t="shared" si="2"/>
        <v>2.0000000000006679E-2</v>
      </c>
      <c r="K36" t="s">
        <v>4160</v>
      </c>
      <c r="L36" s="1749"/>
      <c r="M36"/>
      <c r="N36"/>
    </row>
    <row r="37" spans="1:14" ht="18.95" customHeight="1">
      <c r="A37" s="1749"/>
      <c r="B37" s="1749"/>
      <c r="C37">
        <v>15.000999999999999</v>
      </c>
      <c r="D37">
        <v>15.002000000000001</v>
      </c>
      <c r="E37" t="s">
        <v>4160</v>
      </c>
      <c r="F37">
        <v>15</v>
      </c>
      <c r="G37">
        <v>15</v>
      </c>
      <c r="H37" t="s">
        <v>4160</v>
      </c>
      <c r="I37">
        <f t="shared" si="2"/>
        <v>6.6666666666629713E-3</v>
      </c>
      <c r="J37">
        <f t="shared" si="2"/>
        <v>1.3333333333337787E-2</v>
      </c>
      <c r="K37" t="s">
        <v>4168</v>
      </c>
      <c r="L37" s="1749"/>
      <c r="M37"/>
      <c r="N37"/>
    </row>
    <row r="38" spans="1:14" ht="18.95" customHeight="1">
      <c r="A38" s="1749"/>
      <c r="B38" s="1749"/>
      <c r="C38">
        <v>10</v>
      </c>
      <c r="D38">
        <v>10.000999999999999</v>
      </c>
      <c r="E38" t="s">
        <v>4160</v>
      </c>
      <c r="F38">
        <v>10</v>
      </c>
      <c r="G38">
        <v>10</v>
      </c>
      <c r="H38" t="s">
        <v>4160</v>
      </c>
      <c r="I38">
        <f t="shared" si="2"/>
        <v>0</v>
      </c>
      <c r="J38">
        <f t="shared" si="2"/>
        <v>9.9999999999944578E-3</v>
      </c>
      <c r="K38" t="s">
        <v>4165</v>
      </c>
      <c r="L38" s="1749"/>
      <c r="M38"/>
      <c r="N38"/>
    </row>
    <row r="39" spans="1:14" ht="18.95" customHeight="1">
      <c r="A39" s="1749"/>
      <c r="B39" s="1749"/>
      <c r="C39">
        <v>4.9989999999999997</v>
      </c>
      <c r="D39">
        <v>5</v>
      </c>
      <c r="E39" t="s">
        <v>4160</v>
      </c>
      <c r="F39">
        <v>5</v>
      </c>
      <c r="G39">
        <v>5</v>
      </c>
      <c r="H39" t="s">
        <v>4160</v>
      </c>
      <c r="I39">
        <f t="shared" si="2"/>
        <v>-2.0000000000006679E-2</v>
      </c>
      <c r="J39">
        <f t="shared" si="2"/>
        <v>0</v>
      </c>
      <c r="K39" t="s">
        <v>4168</v>
      </c>
      <c r="L39" s="1749"/>
      <c r="M39"/>
      <c r="N39"/>
    </row>
    <row r="40" spans="1:14" ht="18.95" hidden="1" customHeight="1">
      <c r="A40" s="1749" t="s">
        <v>4135</v>
      </c>
      <c r="B40" s="1749"/>
      <c r="C40" s="1749" t="s">
        <v>4136</v>
      </c>
      <c r="D40" s="1749"/>
      <c r="E40" s="1749"/>
      <c r="F40" s="1749" t="s">
        <v>4169</v>
      </c>
      <c r="G40" s="1749"/>
      <c r="H40" s="1749"/>
      <c r="I40" s="1749" t="s">
        <v>4138</v>
      </c>
      <c r="J40" s="1749"/>
      <c r="K40" s="1749"/>
      <c r="L40"/>
    </row>
    <row r="41" spans="1:14" ht="18.95" hidden="1" customHeight="1">
      <c r="A41" s="1749"/>
      <c r="B41" s="1749"/>
      <c r="C41" t="s">
        <v>4170</v>
      </c>
      <c r="D41" t="s">
        <v>4171</v>
      </c>
      <c r="E41" t="s">
        <v>4172</v>
      </c>
      <c r="F41" t="s">
        <v>4155</v>
      </c>
      <c r="G41" t="s">
        <v>4171</v>
      </c>
      <c r="H41" t="s">
        <v>4172</v>
      </c>
      <c r="I41" t="s">
        <v>4173</v>
      </c>
      <c r="J41" t="s">
        <v>4171</v>
      </c>
      <c r="K41" t="s">
        <v>4174</v>
      </c>
      <c r="L41"/>
    </row>
    <row r="42" spans="1:14" ht="18.95" hidden="1" customHeight="1">
      <c r="A42" s="1749" t="s">
        <v>4175</v>
      </c>
      <c r="B42" s="1749"/>
      <c r="C42">
        <v>9.9983000000000004</v>
      </c>
      <c r="D42">
        <v>10.000999999999999</v>
      </c>
      <c r="E42">
        <v>10.0002</v>
      </c>
      <c r="F42">
        <v>10</v>
      </c>
      <c r="G42">
        <v>10</v>
      </c>
      <c r="H42">
        <v>10</v>
      </c>
      <c r="I42">
        <f t="shared" ref="I42:K51" si="3">(C42-F42)/F42*100</f>
        <v>-1.6999999999995907E-2</v>
      </c>
      <c r="J42">
        <f t="shared" si="3"/>
        <v>9.9999999999944578E-3</v>
      </c>
      <c r="K42">
        <f t="shared" si="3"/>
        <v>1.9999999999953388E-3</v>
      </c>
      <c r="L42"/>
      <c r="M42"/>
      <c r="N42"/>
    </row>
    <row r="43" spans="1:14" ht="18.95" hidden="1" customHeight="1">
      <c r="A43" s="1749"/>
      <c r="B43" s="1749"/>
      <c r="C43">
        <v>8.9985999999999997</v>
      </c>
      <c r="D43">
        <v>9.0035000000000007</v>
      </c>
      <c r="E43">
        <v>9.0044000000000004</v>
      </c>
      <c r="F43">
        <v>9</v>
      </c>
      <c r="G43">
        <v>9</v>
      </c>
      <c r="H43">
        <v>9</v>
      </c>
      <c r="I43">
        <f t="shared" si="3"/>
        <v>-1.5555555555558776E-2</v>
      </c>
      <c r="J43">
        <f t="shared" si="3"/>
        <v>3.8888888888896946E-2</v>
      </c>
      <c r="K43">
        <f t="shared" si="3"/>
        <v>4.8888888888893374E-2</v>
      </c>
      <c r="L43"/>
      <c r="M43"/>
      <c r="N43"/>
    </row>
    <row r="44" spans="1:14" ht="18.95" hidden="1" customHeight="1">
      <c r="A44" s="1749"/>
      <c r="B44" s="1749"/>
      <c r="C44">
        <v>7.9987000000000004</v>
      </c>
      <c r="D44">
        <v>8.0038</v>
      </c>
      <c r="E44">
        <v>8.0031999999999996</v>
      </c>
      <c r="F44">
        <v>8</v>
      </c>
      <c r="G44">
        <v>8</v>
      </c>
      <c r="H44">
        <v>8</v>
      </c>
      <c r="I44">
        <f t="shared" si="3"/>
        <v>-1.6249999999995435E-2</v>
      </c>
      <c r="J44">
        <f t="shared" si="3"/>
        <v>4.750000000000032E-2</v>
      </c>
      <c r="K44">
        <f t="shared" si="3"/>
        <v>3.9999999999995595E-2</v>
      </c>
      <c r="L44"/>
      <c r="M44"/>
      <c r="N44"/>
    </row>
    <row r="45" spans="1:14" ht="18.95" hidden="1" customHeight="1">
      <c r="A45" s="1749"/>
      <c r="B45" s="1749"/>
      <c r="C45">
        <v>6.9989999999999997</v>
      </c>
      <c r="D45">
        <v>7.0030000000000001</v>
      </c>
      <c r="E45">
        <v>7.0016999999999996</v>
      </c>
      <c r="F45">
        <v>7</v>
      </c>
      <c r="G45">
        <v>7</v>
      </c>
      <c r="H45">
        <v>7</v>
      </c>
      <c r="I45">
        <f t="shared" si="3"/>
        <v>-1.4285714285719057E-2</v>
      </c>
      <c r="J45">
        <f t="shared" si="3"/>
        <v>4.2857142857144481E-2</v>
      </c>
      <c r="K45">
        <f t="shared" si="3"/>
        <v>2.4285714285708439E-2</v>
      </c>
      <c r="L45"/>
      <c r="M45"/>
      <c r="N45"/>
    </row>
    <row r="46" spans="1:14" ht="18.95" hidden="1" customHeight="1">
      <c r="A46" s="1749"/>
      <c r="B46" s="1749"/>
      <c r="C46">
        <v>5.9992000000000001</v>
      </c>
      <c r="D46">
        <v>6.0025000000000004</v>
      </c>
      <c r="E46">
        <v>6.0025000000000004</v>
      </c>
      <c r="F46">
        <v>6</v>
      </c>
      <c r="G46">
        <v>6</v>
      </c>
      <c r="H46">
        <v>6</v>
      </c>
      <c r="I46">
        <f t="shared" si="3"/>
        <v>-1.3333333333331865E-2</v>
      </c>
      <c r="J46">
        <f t="shared" si="3"/>
        <v>4.166666666667318E-2</v>
      </c>
      <c r="K46">
        <f t="shared" si="3"/>
        <v>4.166666666667318E-2</v>
      </c>
      <c r="L46"/>
      <c r="M46"/>
      <c r="N46"/>
    </row>
    <row r="47" spans="1:14" ht="18.95" hidden="1" customHeight="1">
      <c r="A47" s="1749"/>
      <c r="B47" s="1749"/>
      <c r="C47">
        <v>4.9981999999999998</v>
      </c>
      <c r="D47">
        <v>5.0014000000000003</v>
      </c>
      <c r="E47">
        <v>5.0014000000000003</v>
      </c>
      <c r="F47">
        <v>5</v>
      </c>
      <c r="G47">
        <v>5</v>
      </c>
      <c r="H47">
        <v>5</v>
      </c>
      <c r="I47">
        <f t="shared" si="3"/>
        <v>-3.6000000000004917E-2</v>
      </c>
      <c r="J47">
        <f t="shared" si="3"/>
        <v>2.8000000000005798E-2</v>
      </c>
      <c r="K47">
        <f t="shared" si="3"/>
        <v>2.8000000000005798E-2</v>
      </c>
      <c r="L47"/>
      <c r="M47"/>
      <c r="N47"/>
    </row>
    <row r="48" spans="1:14" ht="18.95" hidden="1" customHeight="1">
      <c r="A48" s="1749"/>
      <c r="B48" s="1749"/>
      <c r="C48">
        <v>3.9979</v>
      </c>
      <c r="D48">
        <v>4.0007999999999999</v>
      </c>
      <c r="E48">
        <v>4.0011000000000001</v>
      </c>
      <c r="F48">
        <v>4</v>
      </c>
      <c r="G48">
        <v>4</v>
      </c>
      <c r="H48">
        <v>4</v>
      </c>
      <c r="I48">
        <f t="shared" si="3"/>
        <v>-5.2499999999999769E-2</v>
      </c>
      <c r="J48">
        <f t="shared" si="3"/>
        <v>1.9999999999997797E-2</v>
      </c>
      <c r="K48">
        <f t="shared" si="3"/>
        <v>2.7500000000002522E-2</v>
      </c>
      <c r="L48"/>
      <c r="M48"/>
      <c r="N48"/>
    </row>
    <row r="49" spans="1:14" ht="18.95" hidden="1" customHeight="1">
      <c r="A49" s="1749"/>
      <c r="B49" s="1749"/>
      <c r="C49">
        <v>2.9977999999999998</v>
      </c>
      <c r="D49">
        <v>3.0009999999999999</v>
      </c>
      <c r="E49">
        <v>3.0005000000000002</v>
      </c>
      <c r="F49">
        <v>3</v>
      </c>
      <c r="G49">
        <v>3</v>
      </c>
      <c r="H49">
        <v>3</v>
      </c>
      <c r="I49">
        <f t="shared" si="3"/>
        <v>-7.3333333333340051E-2</v>
      </c>
      <c r="J49">
        <f t="shared" si="3"/>
        <v>3.3333333333329662E-2</v>
      </c>
      <c r="K49">
        <f t="shared" si="3"/>
        <v>1.6666666666672235E-2</v>
      </c>
      <c r="L49"/>
      <c r="M49"/>
      <c r="N49"/>
    </row>
    <row r="50" spans="1:14" ht="18.95" hidden="1" customHeight="1">
      <c r="A50" s="1749"/>
      <c r="B50" s="1749"/>
      <c r="C50">
        <v>1.9987999999999999</v>
      </c>
      <c r="D50">
        <v>2.0005000000000002</v>
      </c>
      <c r="E50">
        <v>2.0009999999999999</v>
      </c>
      <c r="F50">
        <v>2</v>
      </c>
      <c r="G50">
        <v>2</v>
      </c>
      <c r="H50">
        <v>2</v>
      </c>
      <c r="I50">
        <f t="shared" si="3"/>
        <v>-6.0000000000004494E-2</v>
      </c>
      <c r="J50">
        <f t="shared" si="3"/>
        <v>2.5000000000008349E-2</v>
      </c>
      <c r="K50">
        <f t="shared" si="3"/>
        <v>4.9999999999994493E-2</v>
      </c>
      <c r="L50"/>
      <c r="M50"/>
      <c r="N50"/>
    </row>
    <row r="51" spans="1:14" ht="18.95" hidden="1" customHeight="1">
      <c r="A51" s="1749"/>
      <c r="B51" s="1749"/>
      <c r="C51">
        <v>0.99919999999999998</v>
      </c>
      <c r="D51">
        <v>1.0004999999999999</v>
      </c>
      <c r="E51">
        <v>0.99990000000000001</v>
      </c>
      <c r="F51">
        <v>1</v>
      </c>
      <c r="G51">
        <v>1</v>
      </c>
      <c r="H51">
        <v>1</v>
      </c>
      <c r="I51">
        <f t="shared" si="3"/>
        <v>-8.0000000000002292E-2</v>
      </c>
      <c r="J51">
        <f t="shared" si="3"/>
        <v>4.9999999999994493E-2</v>
      </c>
      <c r="K51">
        <f t="shared" si="3"/>
        <v>-9.9999999999988987E-3</v>
      </c>
      <c r="L51"/>
      <c r="M51"/>
      <c r="N51"/>
    </row>
    <row r="52" spans="1:14" ht="18.95" hidden="1" customHeight="1">
      <c r="A52" s="1749"/>
      <c r="B52" s="1749"/>
      <c r="C52" t="s">
        <v>4176</v>
      </c>
      <c r="D52" t="s">
        <v>4177</v>
      </c>
      <c r="E52" t="s">
        <v>4178</v>
      </c>
      <c r="F52" t="s">
        <v>4179</v>
      </c>
      <c r="G52" t="s">
        <v>4180</v>
      </c>
      <c r="H52" t="s">
        <v>4181</v>
      </c>
      <c r="I52" t="s">
        <v>4179</v>
      </c>
      <c r="J52" t="s">
        <v>4177</v>
      </c>
      <c r="K52" t="s">
        <v>4182</v>
      </c>
      <c r="L52"/>
    </row>
    <row r="53" spans="1:14" ht="18.95" hidden="1" customHeight="1">
      <c r="A53" s="1749"/>
      <c r="B53" s="1749"/>
      <c r="C53">
        <v>9.9994999999999994</v>
      </c>
      <c r="D53">
        <v>10</v>
      </c>
      <c r="E53">
        <v>10.000299999999999</v>
      </c>
      <c r="F53">
        <v>10</v>
      </c>
      <c r="G53">
        <v>10</v>
      </c>
      <c r="H53">
        <v>10</v>
      </c>
      <c r="I53">
        <f>(C53-F53)/F53*100</f>
        <v>-5.0000000000061107E-3</v>
      </c>
      <c r="J53">
        <f>(D53-G53)/G53*100</f>
        <v>0</v>
      </c>
      <c r="K53">
        <f>(E53-H53)/H53*100</f>
        <v>2.9999999999930083E-3</v>
      </c>
      <c r="L53"/>
      <c r="M53"/>
      <c r="N53"/>
    </row>
    <row r="54" spans="1:14" ht="18.95" hidden="1" customHeight="1">
      <c r="A54" s="1749"/>
      <c r="B54" s="1749"/>
      <c r="C54">
        <v>8.9987999999999992</v>
      </c>
      <c r="D54">
        <v>9.0032999999999994</v>
      </c>
      <c r="E54">
        <v>9.0004000000000008</v>
      </c>
      <c r="F54">
        <v>9</v>
      </c>
      <c r="G54">
        <v>9</v>
      </c>
      <c r="H54">
        <v>9</v>
      </c>
      <c r="I54">
        <f t="shared" ref="I54:K62" si="4">(C54-F54)/F54*100</f>
        <v>-1.3333333333341734E-2</v>
      </c>
      <c r="J54">
        <f t="shared" si="4"/>
        <v>3.6666666666660165E-2</v>
      </c>
      <c r="K54">
        <f t="shared" si="4"/>
        <v>4.4444444444538241E-3</v>
      </c>
      <c r="L54"/>
      <c r="M54"/>
      <c r="N54"/>
    </row>
    <row r="55" spans="1:14" ht="18.95" hidden="1" customHeight="1">
      <c r="A55" s="1749"/>
      <c r="B55" s="1749"/>
      <c r="C55">
        <v>7.9988999999999999</v>
      </c>
      <c r="D55">
        <v>8.0035000000000007</v>
      </c>
      <c r="E55">
        <v>8.0006000000000004</v>
      </c>
      <c r="F55">
        <v>8</v>
      </c>
      <c r="G55">
        <v>8</v>
      </c>
      <c r="H55">
        <v>8</v>
      </c>
      <c r="I55">
        <f t="shared" si="4"/>
        <v>-1.3750000000001261E-2</v>
      </c>
      <c r="J55">
        <f t="shared" si="4"/>
        <v>4.3750000000009059E-2</v>
      </c>
      <c r="K55">
        <f t="shared" si="4"/>
        <v>7.5000000000047251E-3</v>
      </c>
      <c r="L55"/>
      <c r="M55"/>
      <c r="N55"/>
    </row>
    <row r="56" spans="1:14" ht="18.95" hidden="1" customHeight="1">
      <c r="A56" s="1749"/>
      <c r="B56" s="1749"/>
      <c r="C56">
        <v>6.9984999999999999</v>
      </c>
      <c r="D56">
        <v>7.0033000000000003</v>
      </c>
      <c r="E56">
        <v>7.0007999999999999</v>
      </c>
      <c r="F56">
        <v>7</v>
      </c>
      <c r="G56">
        <v>7</v>
      </c>
      <c r="H56">
        <v>7</v>
      </c>
      <c r="I56">
        <f t="shared" si="4"/>
        <v>-2.1428571428572241E-2</v>
      </c>
      <c r="J56">
        <f t="shared" si="4"/>
        <v>4.7142857142861469E-2</v>
      </c>
      <c r="K56">
        <f t="shared" si="4"/>
        <v>1.1428571428570169E-2</v>
      </c>
      <c r="L56"/>
      <c r="M56"/>
      <c r="N56"/>
    </row>
    <row r="57" spans="1:14" ht="18.95" hidden="1" customHeight="1">
      <c r="A57" s="1749"/>
      <c r="B57" s="1749"/>
      <c r="C57">
        <v>5.9980000000000002</v>
      </c>
      <c r="D57">
        <v>6.0023999999999997</v>
      </c>
      <c r="E57">
        <v>5.9996999999999998</v>
      </c>
      <c r="F57">
        <v>6</v>
      </c>
      <c r="G57">
        <v>6</v>
      </c>
      <c r="H57">
        <v>6</v>
      </c>
      <c r="I57">
        <f t="shared" si="4"/>
        <v>-3.3333333333329662E-2</v>
      </c>
      <c r="J57">
        <f t="shared" si="4"/>
        <v>3.9999999999995595E-2</v>
      </c>
      <c r="K57">
        <f t="shared" si="4"/>
        <v>-5.0000000000031495E-3</v>
      </c>
      <c r="L57"/>
      <c r="M57"/>
      <c r="N57"/>
    </row>
    <row r="58" spans="1:14" ht="18.95" hidden="1" customHeight="1">
      <c r="A58" s="1749"/>
      <c r="B58" s="1749"/>
      <c r="C58">
        <v>4.9981</v>
      </c>
      <c r="D58">
        <v>5.0019999999999998</v>
      </c>
      <c r="E58">
        <v>4.9996</v>
      </c>
      <c r="F58">
        <v>5</v>
      </c>
      <c r="G58">
        <v>5</v>
      </c>
      <c r="H58">
        <v>5</v>
      </c>
      <c r="I58">
        <f t="shared" si="4"/>
        <v>-3.8000000000000256E-2</v>
      </c>
      <c r="J58">
        <f t="shared" si="4"/>
        <v>3.9999999999995595E-2</v>
      </c>
      <c r="K58">
        <f t="shared" si="4"/>
        <v>-7.9999999999991189E-3</v>
      </c>
      <c r="L58"/>
      <c r="M58"/>
      <c r="N58"/>
    </row>
    <row r="59" spans="1:14" ht="18.95" hidden="1" customHeight="1">
      <c r="A59" s="1749"/>
      <c r="B59" s="1749"/>
      <c r="C59">
        <v>3.9979</v>
      </c>
      <c r="D59">
        <v>4.0011999999999999</v>
      </c>
      <c r="E59">
        <v>3.9994999999999998</v>
      </c>
      <c r="F59">
        <v>4</v>
      </c>
      <c r="G59">
        <v>4</v>
      </c>
      <c r="H59">
        <v>4</v>
      </c>
      <c r="I59">
        <f t="shared" si="4"/>
        <v>-5.2499999999999769E-2</v>
      </c>
      <c r="J59">
        <f t="shared" si="4"/>
        <v>2.9999999999996696E-2</v>
      </c>
      <c r="K59">
        <f t="shared" si="4"/>
        <v>-1.2500000000004174E-2</v>
      </c>
      <c r="L59"/>
      <c r="M59"/>
      <c r="N59"/>
    </row>
    <row r="60" spans="1:14" ht="18.95" hidden="1" customHeight="1">
      <c r="A60" s="1749"/>
      <c r="B60" s="1749"/>
      <c r="C60">
        <v>2.9977999999999998</v>
      </c>
      <c r="D60">
        <v>3.0011999999999999</v>
      </c>
      <c r="E60">
        <v>2.9990999999999999</v>
      </c>
      <c r="F60">
        <v>3</v>
      </c>
      <c r="G60">
        <v>3</v>
      </c>
      <c r="H60">
        <v>3</v>
      </c>
      <c r="I60">
        <f t="shared" si="4"/>
        <v>-7.3333333333340051E-2</v>
      </c>
      <c r="J60">
        <f t="shared" si="4"/>
        <v>3.9999999999995595E-2</v>
      </c>
      <c r="K60">
        <f t="shared" si="4"/>
        <v>-3.0000000000004096E-2</v>
      </c>
      <c r="L60"/>
      <c r="M60"/>
      <c r="N60"/>
    </row>
    <row r="61" spans="1:14" ht="18.95" hidden="1" customHeight="1">
      <c r="A61" s="1749"/>
      <c r="B61" s="1749"/>
      <c r="C61">
        <v>1.9982</v>
      </c>
      <c r="D61">
        <v>2</v>
      </c>
      <c r="E61">
        <v>1.9995000000000001</v>
      </c>
      <c r="F61">
        <v>2</v>
      </c>
      <c r="G61">
        <v>2</v>
      </c>
      <c r="H61">
        <v>2</v>
      </c>
      <c r="I61">
        <f t="shared" si="4"/>
        <v>-9.000000000000119E-2</v>
      </c>
      <c r="J61">
        <f t="shared" si="4"/>
        <v>0</v>
      </c>
      <c r="K61">
        <f t="shared" si="4"/>
        <v>-2.4999999999997247E-2</v>
      </c>
      <c r="L61"/>
      <c r="M61"/>
      <c r="N61"/>
    </row>
    <row r="62" spans="1:14" ht="18.95" hidden="1" customHeight="1">
      <c r="A62" s="1749"/>
      <c r="B62" s="1749"/>
      <c r="C62">
        <v>0.99760000000000004</v>
      </c>
      <c r="D62">
        <v>1.0006999999999999</v>
      </c>
      <c r="E62">
        <v>0.99929999999999997</v>
      </c>
      <c r="F62">
        <v>1</v>
      </c>
      <c r="G62">
        <v>1</v>
      </c>
      <c r="H62">
        <v>1</v>
      </c>
      <c r="I62">
        <f t="shared" si="4"/>
        <v>-0.23999999999999577</v>
      </c>
      <c r="J62">
        <f t="shared" si="4"/>
        <v>6.9999999999992291E-2</v>
      </c>
      <c r="K62">
        <f t="shared" si="4"/>
        <v>-7.0000000000003393E-2</v>
      </c>
      <c r="L62"/>
      <c r="M62"/>
      <c r="N62"/>
    </row>
    <row r="63" spans="1:14" ht="19.5" hidden="1" customHeight="1">
      <c r="A63" s="1749"/>
      <c r="B63" s="1749"/>
      <c r="C63" t="s">
        <v>4183</v>
      </c>
      <c r="D63" t="s">
        <v>4184</v>
      </c>
      <c r="E63" t="s">
        <v>4160</v>
      </c>
      <c r="F63" t="s">
        <v>4185</v>
      </c>
      <c r="G63" t="s">
        <v>4186</v>
      </c>
      <c r="H63" t="s">
        <v>4168</v>
      </c>
      <c r="I63" t="s">
        <v>4183</v>
      </c>
      <c r="J63" t="s">
        <v>4184</v>
      </c>
      <c r="K63" t="s">
        <v>4168</v>
      </c>
      <c r="L63"/>
    </row>
    <row r="64" spans="1:14" ht="19.5" hidden="1" customHeight="1">
      <c r="A64" s="1749"/>
      <c r="B64" s="1749"/>
      <c r="C64">
        <v>10.000500000000001</v>
      </c>
      <c r="D64">
        <v>10.000299999999999</v>
      </c>
      <c r="E64" t="s">
        <v>4167</v>
      </c>
      <c r="F64">
        <v>10</v>
      </c>
      <c r="G64">
        <v>10</v>
      </c>
      <c r="H64" t="s">
        <v>4168</v>
      </c>
      <c r="I64">
        <f>(C64-F64)/F64*100</f>
        <v>5.0000000000061107E-3</v>
      </c>
      <c r="J64">
        <f>(D64-G64)/G64*100</f>
        <v>2.9999999999930083E-3</v>
      </c>
      <c r="K64" t="s">
        <v>4168</v>
      </c>
      <c r="L64"/>
      <c r="M64"/>
      <c r="N64"/>
    </row>
    <row r="65" spans="1:14" ht="19.5" hidden="1" customHeight="1">
      <c r="A65" s="1749"/>
      <c r="B65" s="1749"/>
      <c r="C65">
        <v>9.0015000000000001</v>
      </c>
      <c r="D65">
        <v>9.0022000000000002</v>
      </c>
      <c r="E65" t="s">
        <v>4168</v>
      </c>
      <c r="F65">
        <v>9</v>
      </c>
      <c r="G65">
        <v>9</v>
      </c>
      <c r="H65" t="s">
        <v>4168</v>
      </c>
      <c r="I65">
        <f t="shared" ref="I65:J73" si="5">(C65-F65)/F65*100</f>
        <v>1.6666666666667298E-2</v>
      </c>
      <c r="J65">
        <f t="shared" si="5"/>
        <v>2.4444444444446687E-2</v>
      </c>
      <c r="K65" t="s">
        <v>4160</v>
      </c>
      <c r="L65"/>
      <c r="M65"/>
      <c r="N65"/>
    </row>
    <row r="66" spans="1:14" ht="19.5" hidden="1" customHeight="1">
      <c r="A66" s="1749"/>
      <c r="B66" s="1749"/>
      <c r="C66">
        <v>8.0007000000000001</v>
      </c>
      <c r="D66">
        <v>8.0017999999999994</v>
      </c>
      <c r="E66" t="s">
        <v>4168</v>
      </c>
      <c r="F66">
        <v>8</v>
      </c>
      <c r="G66">
        <v>8</v>
      </c>
      <c r="H66" t="s">
        <v>4168</v>
      </c>
      <c r="I66">
        <f t="shared" si="5"/>
        <v>8.7500000000018119E-3</v>
      </c>
      <c r="J66">
        <f t="shared" si="5"/>
        <v>2.2499999999991971E-2</v>
      </c>
      <c r="K66" t="s">
        <v>4168</v>
      </c>
      <c r="L66"/>
      <c r="M66"/>
      <c r="N66"/>
    </row>
    <row r="67" spans="1:14" ht="19.5" hidden="1" customHeight="1">
      <c r="A67" s="1749"/>
      <c r="B67" s="1749"/>
      <c r="C67">
        <v>7.0011000000000001</v>
      </c>
      <c r="D67">
        <v>7.0011999999999999</v>
      </c>
      <c r="E67" t="s">
        <v>4168</v>
      </c>
      <c r="F67">
        <v>7</v>
      </c>
      <c r="G67">
        <v>7</v>
      </c>
      <c r="H67" t="s">
        <v>4168</v>
      </c>
      <c r="I67">
        <f t="shared" si="5"/>
        <v>1.5714285714287155E-2</v>
      </c>
      <c r="J67">
        <f t="shared" si="5"/>
        <v>1.7142857142855256E-2</v>
      </c>
      <c r="K67" t="s">
        <v>4160</v>
      </c>
      <c r="L67"/>
      <c r="M67"/>
      <c r="N67"/>
    </row>
    <row r="68" spans="1:14" ht="19.5" hidden="1" customHeight="1">
      <c r="A68" s="1749"/>
      <c r="B68" s="1749"/>
      <c r="C68">
        <v>5.9996</v>
      </c>
      <c r="D68">
        <v>6.0004999999999997</v>
      </c>
      <c r="E68" t="s">
        <v>4168</v>
      </c>
      <c r="F68">
        <v>6</v>
      </c>
      <c r="G68">
        <v>6</v>
      </c>
      <c r="H68" t="s">
        <v>4160</v>
      </c>
      <c r="I68">
        <f t="shared" si="5"/>
        <v>-6.6666666666659324E-3</v>
      </c>
      <c r="J68">
        <f t="shared" si="5"/>
        <v>8.3333333333287136E-3</v>
      </c>
      <c r="K68" t="s">
        <v>4168</v>
      </c>
      <c r="L68"/>
      <c r="M68"/>
      <c r="N68"/>
    </row>
    <row r="69" spans="1:14" ht="19.5" hidden="1" customHeight="1">
      <c r="A69" s="1749"/>
      <c r="B69" s="1749"/>
      <c r="C69">
        <v>4.9996</v>
      </c>
      <c r="D69">
        <v>5.0004</v>
      </c>
      <c r="E69" t="s">
        <v>4160</v>
      </c>
      <c r="F69">
        <v>5</v>
      </c>
      <c r="G69">
        <v>5</v>
      </c>
      <c r="H69" t="s">
        <v>4160</v>
      </c>
      <c r="I69">
        <f t="shared" si="5"/>
        <v>-7.9999999999991189E-3</v>
      </c>
      <c r="J69">
        <f t="shared" si="5"/>
        <v>7.9999999999991189E-3</v>
      </c>
      <c r="K69" t="s">
        <v>4168</v>
      </c>
      <c r="L69"/>
      <c r="M69"/>
      <c r="N69"/>
    </row>
    <row r="70" spans="1:14" ht="19.5" hidden="1" customHeight="1">
      <c r="A70" s="1749"/>
      <c r="B70" s="1749"/>
      <c r="C70">
        <v>3.9988999999999999</v>
      </c>
      <c r="D70">
        <v>4.0006000000000004</v>
      </c>
      <c r="E70" t="s">
        <v>4160</v>
      </c>
      <c r="F70">
        <v>4</v>
      </c>
      <c r="G70">
        <v>4</v>
      </c>
      <c r="H70" t="s">
        <v>4160</v>
      </c>
      <c r="I70">
        <f t="shared" si="5"/>
        <v>-2.7500000000002522E-2</v>
      </c>
      <c r="J70">
        <f t="shared" si="5"/>
        <v>1.500000000000945E-2</v>
      </c>
      <c r="K70" t="s">
        <v>4168</v>
      </c>
      <c r="L70"/>
      <c r="M70"/>
      <c r="N70"/>
    </row>
    <row r="71" spans="1:14" ht="19.5" hidden="1" customHeight="1">
      <c r="A71" s="1749"/>
      <c r="B71" s="1749"/>
      <c r="C71">
        <v>2.9990000000000001</v>
      </c>
      <c r="D71">
        <v>2.9994999999999998</v>
      </c>
      <c r="E71" t="s">
        <v>4160</v>
      </c>
      <c r="F71">
        <v>3</v>
      </c>
      <c r="G71">
        <v>3</v>
      </c>
      <c r="H71" t="s">
        <v>4160</v>
      </c>
      <c r="I71">
        <f t="shared" si="5"/>
        <v>-3.3333333333329662E-2</v>
      </c>
      <c r="J71">
        <f t="shared" si="5"/>
        <v>-1.6666666666672235E-2</v>
      </c>
      <c r="K71" t="s">
        <v>4160</v>
      </c>
      <c r="L71"/>
      <c r="M71"/>
      <c r="N71"/>
    </row>
    <row r="72" spans="1:14" ht="19.5" hidden="1" customHeight="1">
      <c r="A72" s="1749"/>
      <c r="B72" s="1749"/>
      <c r="C72">
        <v>1.9985999999999999</v>
      </c>
      <c r="D72">
        <v>1.9992000000000001</v>
      </c>
      <c r="E72" t="s">
        <v>4167</v>
      </c>
      <c r="F72">
        <v>2</v>
      </c>
      <c r="G72">
        <v>2</v>
      </c>
      <c r="H72" t="s">
        <v>4168</v>
      </c>
      <c r="I72">
        <f t="shared" si="5"/>
        <v>-7.0000000000003393E-2</v>
      </c>
      <c r="J72">
        <f t="shared" si="5"/>
        <v>-3.9999999999995595E-2</v>
      </c>
      <c r="K72" t="s">
        <v>4168</v>
      </c>
      <c r="L72"/>
      <c r="M72"/>
      <c r="N72"/>
    </row>
    <row r="73" spans="1:14" ht="19.5" hidden="1" customHeight="1">
      <c r="A73" s="1749"/>
      <c r="B73" s="1749"/>
      <c r="C73">
        <v>0.99870000000000003</v>
      </c>
      <c r="D73">
        <v>0.99939999999999996</v>
      </c>
      <c r="E73" t="s">
        <v>4168</v>
      </c>
      <c r="F73">
        <v>1</v>
      </c>
      <c r="G73">
        <v>1</v>
      </c>
      <c r="H73" t="s">
        <v>4167</v>
      </c>
      <c r="I73">
        <f t="shared" si="5"/>
        <v>-0.12999999999999678</v>
      </c>
      <c r="J73">
        <f t="shared" si="5"/>
        <v>-6.0000000000004494E-2</v>
      </c>
      <c r="K73" t="s">
        <v>4168</v>
      </c>
      <c r="L73"/>
      <c r="M73"/>
      <c r="N73"/>
    </row>
    <row r="74" spans="1:14" ht="19.5" hidden="1" customHeight="1">
      <c r="A74" s="1749"/>
      <c r="B74" s="1749"/>
      <c r="C74" t="s">
        <v>4187</v>
      </c>
      <c r="D74" t="s">
        <v>4168</v>
      </c>
      <c r="E74" t="s">
        <v>4168</v>
      </c>
      <c r="F74" t="s">
        <v>4188</v>
      </c>
      <c r="G74" t="s">
        <v>4168</v>
      </c>
      <c r="H74" t="s">
        <v>4168</v>
      </c>
      <c r="I74" t="s">
        <v>4189</v>
      </c>
      <c r="J74" t="s">
        <v>4168</v>
      </c>
      <c r="K74" t="s">
        <v>4168</v>
      </c>
      <c r="L74"/>
    </row>
    <row r="75" spans="1:14" ht="19.5" hidden="1" customHeight="1">
      <c r="A75" s="1749"/>
      <c r="B75" s="1749"/>
      <c r="C75">
        <v>9.9995999999999992</v>
      </c>
      <c r="D75" t="s">
        <v>4168</v>
      </c>
      <c r="E75" t="s">
        <v>4160</v>
      </c>
      <c r="F75">
        <v>10</v>
      </c>
      <c r="G75" t="s">
        <v>4168</v>
      </c>
      <c r="H75" t="s">
        <v>4168</v>
      </c>
      <c r="I75">
        <f>(C75-F75)/F75*100</f>
        <v>-4.0000000000084412E-3</v>
      </c>
      <c r="J75" t="s">
        <v>4160</v>
      </c>
      <c r="K75" t="s">
        <v>4168</v>
      </c>
      <c r="L75"/>
      <c r="M75"/>
      <c r="N75"/>
    </row>
    <row r="76" spans="1:14" ht="19.5" hidden="1" customHeight="1">
      <c r="A76" s="1749"/>
      <c r="B76" s="1749"/>
      <c r="C76">
        <v>9</v>
      </c>
      <c r="D76" t="s">
        <v>4168</v>
      </c>
      <c r="E76" t="s">
        <v>4168</v>
      </c>
      <c r="F76">
        <v>9</v>
      </c>
      <c r="G76" t="s">
        <v>4168</v>
      </c>
      <c r="H76" t="s">
        <v>4168</v>
      </c>
      <c r="I76">
        <f t="shared" ref="I76:I84" si="6">(C76-F76)/F76*100</f>
        <v>0</v>
      </c>
      <c r="J76" t="s">
        <v>4168</v>
      </c>
      <c r="K76" t="s">
        <v>4168</v>
      </c>
      <c r="L76"/>
      <c r="M76"/>
      <c r="N76"/>
    </row>
    <row r="77" spans="1:14" ht="19.5" hidden="1" customHeight="1">
      <c r="A77" s="1749"/>
      <c r="B77" s="1749"/>
      <c r="C77">
        <v>7.9996</v>
      </c>
      <c r="D77" t="s">
        <v>4168</v>
      </c>
      <c r="E77" t="s">
        <v>4168</v>
      </c>
      <c r="F77">
        <v>8</v>
      </c>
      <c r="G77" t="s">
        <v>4168</v>
      </c>
      <c r="H77" t="s">
        <v>4168</v>
      </c>
      <c r="I77">
        <f t="shared" si="6"/>
        <v>-4.9999999999994493E-3</v>
      </c>
      <c r="J77" t="s">
        <v>4168</v>
      </c>
      <c r="K77" t="s">
        <v>4168</v>
      </c>
      <c r="L77"/>
      <c r="M77"/>
      <c r="N77"/>
    </row>
    <row r="78" spans="1:14" ht="19.5" hidden="1" customHeight="1">
      <c r="A78" s="1749"/>
      <c r="B78" s="1749"/>
      <c r="C78">
        <v>6.9995000000000003</v>
      </c>
      <c r="D78" t="s">
        <v>4168</v>
      </c>
      <c r="E78" t="s">
        <v>4168</v>
      </c>
      <c r="F78">
        <v>7</v>
      </c>
      <c r="G78" t="s">
        <v>4168</v>
      </c>
      <c r="H78" t="s">
        <v>4168</v>
      </c>
      <c r="I78">
        <f t="shared" si="6"/>
        <v>-7.1428571428531849E-3</v>
      </c>
      <c r="J78" t="s">
        <v>4165</v>
      </c>
      <c r="K78" t="s">
        <v>4168</v>
      </c>
      <c r="L78"/>
      <c r="M78"/>
      <c r="N78"/>
    </row>
    <row r="79" spans="1:14" ht="19.5" hidden="1" customHeight="1">
      <c r="A79" s="1749"/>
      <c r="B79" s="1749"/>
      <c r="C79">
        <v>5.9993999999999996</v>
      </c>
      <c r="D79" t="s">
        <v>4168</v>
      </c>
      <c r="E79" t="s">
        <v>4168</v>
      </c>
      <c r="F79">
        <v>6</v>
      </c>
      <c r="G79" t="s">
        <v>4168</v>
      </c>
      <c r="H79" t="s">
        <v>4168</v>
      </c>
      <c r="I79">
        <f t="shared" si="6"/>
        <v>-1.0000000000006299E-2</v>
      </c>
      <c r="J79" t="s">
        <v>4168</v>
      </c>
      <c r="K79" t="s">
        <v>4168</v>
      </c>
      <c r="L79"/>
      <c r="M79"/>
      <c r="N79"/>
    </row>
    <row r="80" spans="1:14" ht="19.5" hidden="1" customHeight="1">
      <c r="A80" s="1749"/>
      <c r="B80" s="1749"/>
      <c r="C80">
        <v>4.9992999999999999</v>
      </c>
      <c r="D80" t="s">
        <v>4168</v>
      </c>
      <c r="E80" t="s">
        <v>4168</v>
      </c>
      <c r="F80">
        <v>5</v>
      </c>
      <c r="G80" t="s">
        <v>4168</v>
      </c>
      <c r="H80" t="s">
        <v>4168</v>
      </c>
      <c r="I80">
        <f t="shared" si="6"/>
        <v>-1.4000000000002899E-2</v>
      </c>
      <c r="J80" t="s">
        <v>4168</v>
      </c>
      <c r="K80" t="s">
        <v>4168</v>
      </c>
      <c r="L80"/>
      <c r="M80"/>
      <c r="N80"/>
    </row>
    <row r="81" spans="1:14" ht="19.5" hidden="1" customHeight="1">
      <c r="A81" s="1749"/>
      <c r="B81" s="1749"/>
      <c r="C81">
        <v>3.9992000000000001</v>
      </c>
      <c r="D81" t="s">
        <v>4168</v>
      </c>
      <c r="E81" t="s">
        <v>4168</v>
      </c>
      <c r="F81">
        <v>4</v>
      </c>
      <c r="G81" t="s">
        <v>4165</v>
      </c>
      <c r="H81" t="s">
        <v>4165</v>
      </c>
      <c r="I81">
        <f t="shared" si="6"/>
        <v>-1.9999999999997797E-2</v>
      </c>
      <c r="J81" t="s">
        <v>4168</v>
      </c>
      <c r="K81" t="s">
        <v>4168</v>
      </c>
      <c r="L81"/>
      <c r="M81"/>
      <c r="N81"/>
    </row>
    <row r="82" spans="1:14" ht="19.5" hidden="1" customHeight="1">
      <c r="A82" s="1749"/>
      <c r="B82" s="1749"/>
      <c r="C82">
        <v>2.9990999999999999</v>
      </c>
      <c r="D82" t="s">
        <v>4168</v>
      </c>
      <c r="E82" t="s">
        <v>4168</v>
      </c>
      <c r="F82">
        <v>3</v>
      </c>
      <c r="G82" t="s">
        <v>4168</v>
      </c>
      <c r="H82" t="s">
        <v>4168</v>
      </c>
      <c r="I82">
        <f t="shared" si="6"/>
        <v>-3.0000000000004096E-2</v>
      </c>
      <c r="J82" t="s">
        <v>4168</v>
      </c>
      <c r="K82" t="s">
        <v>4168</v>
      </c>
      <c r="L82"/>
      <c r="M82"/>
      <c r="N82"/>
    </row>
    <row r="83" spans="1:14" ht="19.5" hidden="1" customHeight="1">
      <c r="A83" s="1749"/>
      <c r="B83" s="1749"/>
      <c r="C83">
        <v>1.9991000000000001</v>
      </c>
      <c r="D83" t="s">
        <v>4168</v>
      </c>
      <c r="E83" t="s">
        <v>4168</v>
      </c>
      <c r="F83">
        <v>2</v>
      </c>
      <c r="G83" t="s">
        <v>4168</v>
      </c>
      <c r="H83" t="s">
        <v>4168</v>
      </c>
      <c r="I83">
        <f t="shared" si="6"/>
        <v>-4.4999999999995044E-2</v>
      </c>
      <c r="J83" t="s">
        <v>4168</v>
      </c>
      <c r="K83" t="s">
        <v>4168</v>
      </c>
      <c r="L83"/>
      <c r="M83"/>
      <c r="N83"/>
    </row>
    <row r="84" spans="1:14" ht="19.5" hidden="1" customHeight="1">
      <c r="A84" s="1749"/>
      <c r="B84" s="1749"/>
      <c r="C84">
        <v>0.999</v>
      </c>
      <c r="D84" t="s">
        <v>4168</v>
      </c>
      <c r="E84" t="s">
        <v>4168</v>
      </c>
      <c r="F84">
        <v>1</v>
      </c>
      <c r="G84" t="s">
        <v>4168</v>
      </c>
      <c r="H84" t="s">
        <v>4168</v>
      </c>
      <c r="I84">
        <f t="shared" si="6"/>
        <v>-0.10000000000000009</v>
      </c>
      <c r="J84" t="s">
        <v>4168</v>
      </c>
      <c r="K84" t="s">
        <v>4168</v>
      </c>
      <c r="L84"/>
      <c r="M84"/>
      <c r="N84"/>
    </row>
    <row r="85" spans="1:14" customFormat="1" ht="18" customHeight="1">
      <c r="A85" t="s">
        <v>4190</v>
      </c>
    </row>
    <row r="86" spans="1:14" customFormat="1" ht="19.5" hidden="1" customHeight="1">
      <c r="A86" t="s">
        <v>4191</v>
      </c>
      <c r="B86" t="s">
        <v>4192</v>
      </c>
      <c r="I86" s="1749"/>
      <c r="J86" s="1749"/>
      <c r="K86" s="1749"/>
    </row>
    <row r="87" spans="1:14" customFormat="1" ht="14.25"/>
    <row r="88" spans="1:14" customFormat="1" ht="14.25"/>
    <row r="89" spans="1:14" ht="19.5" hidden="1" customHeight="1">
      <c r="A89" t="s">
        <v>4195</v>
      </c>
      <c r="B89"/>
      <c r="C89"/>
      <c r="D89"/>
      <c r="E89"/>
      <c r="F89"/>
      <c r="G89"/>
      <c r="H89"/>
      <c r="I89"/>
      <c r="J89"/>
      <c r="K89"/>
    </row>
    <row r="90" spans="1:14" ht="19.5" hidden="1" customHeight="1">
      <c r="A90" s="1749" t="s">
        <v>4193</v>
      </c>
      <c r="B90" s="1749"/>
      <c r="C90" s="1749" t="s">
        <v>4194</v>
      </c>
      <c r="D90" s="1749"/>
      <c r="E90" s="1749"/>
      <c r="F90" s="1749" t="s">
        <v>4169</v>
      </c>
      <c r="G90" s="1749"/>
      <c r="H90" s="1749"/>
      <c r="I90" s="1749" t="s">
        <v>4138</v>
      </c>
      <c r="J90" s="1749"/>
      <c r="K90" s="1749"/>
    </row>
    <row r="91" spans="1:14" ht="19.5" hidden="1" customHeight="1">
      <c r="A91" s="1749"/>
      <c r="B91" s="1749"/>
      <c r="C91" t="s">
        <v>4170</v>
      </c>
      <c r="D91" t="s">
        <v>4171</v>
      </c>
      <c r="E91" t="s">
        <v>4172</v>
      </c>
      <c r="F91" t="s">
        <v>4170</v>
      </c>
      <c r="G91" t="s">
        <v>4171</v>
      </c>
      <c r="H91" t="s">
        <v>4172</v>
      </c>
      <c r="I91" t="s">
        <v>4170</v>
      </c>
      <c r="J91" t="s">
        <v>4171</v>
      </c>
      <c r="K91" t="s">
        <v>4172</v>
      </c>
    </row>
    <row r="92" spans="1:14" ht="19.5" hidden="1" customHeight="1">
      <c r="A92" s="1749" t="s">
        <v>4196</v>
      </c>
      <c r="B92" s="1749"/>
      <c r="C92">
        <v>1099.73</v>
      </c>
      <c r="D92">
        <v>1099.8030000000001</v>
      </c>
      <c r="E92">
        <v>1099.7339999999999</v>
      </c>
      <c r="F92">
        <v>1100</v>
      </c>
      <c r="G92">
        <v>1100</v>
      </c>
      <c r="H92">
        <v>1100</v>
      </c>
      <c r="I92">
        <f>(C92-F92)/F92*100</f>
        <v>-2.4545454545452892E-2</v>
      </c>
      <c r="J92">
        <f>(D92-G92)/G92*100</f>
        <v>-1.790909090908082E-2</v>
      </c>
      <c r="K92">
        <f>(E92-H92)/H92*100</f>
        <v>-2.4181818181825129E-2</v>
      </c>
      <c r="L92"/>
      <c r="M92"/>
      <c r="N92"/>
    </row>
    <row r="93" spans="1:14" ht="19.5" hidden="1" customHeight="1">
      <c r="A93" s="1749"/>
      <c r="B93" s="1749"/>
      <c r="C93">
        <v>5</v>
      </c>
      <c r="D93">
        <v>5</v>
      </c>
      <c r="E93">
        <v>5</v>
      </c>
      <c r="F93">
        <v>5</v>
      </c>
      <c r="G93">
        <v>5</v>
      </c>
      <c r="H93">
        <v>5</v>
      </c>
      <c r="I93">
        <f t="shared" ref="I93:K102" si="7">(C93-F93)/F93*100</f>
        <v>0</v>
      </c>
      <c r="J93">
        <f t="shared" si="7"/>
        <v>0</v>
      </c>
      <c r="K93">
        <f t="shared" si="7"/>
        <v>0</v>
      </c>
      <c r="L93"/>
      <c r="M93"/>
      <c r="N93"/>
    </row>
    <row r="94" spans="1:14" ht="19.5" hidden="1" customHeight="1">
      <c r="A94" s="1749"/>
      <c r="B94" s="1749"/>
      <c r="C94">
        <v>4.5010000000000003</v>
      </c>
      <c r="D94">
        <v>4.5019999999999998</v>
      </c>
      <c r="E94">
        <v>4.5049999999999999</v>
      </c>
      <c r="F94">
        <v>4.5</v>
      </c>
      <c r="G94">
        <v>4.5</v>
      </c>
      <c r="H94">
        <v>4.5</v>
      </c>
      <c r="I94">
        <f t="shared" si="7"/>
        <v>2.2222222222229644E-2</v>
      </c>
      <c r="J94">
        <f t="shared" si="7"/>
        <v>4.4444444444439554E-2</v>
      </c>
      <c r="K94">
        <f t="shared" si="7"/>
        <v>0.11111111111110875</v>
      </c>
      <c r="L94"/>
      <c r="M94"/>
      <c r="N94"/>
    </row>
    <row r="95" spans="1:14" ht="19.5" hidden="1" customHeight="1">
      <c r="A95" s="1749"/>
      <c r="B95" s="1749"/>
      <c r="C95">
        <v>4</v>
      </c>
      <c r="D95">
        <v>4</v>
      </c>
      <c r="E95">
        <v>4</v>
      </c>
      <c r="F95">
        <v>4</v>
      </c>
      <c r="G95">
        <v>4</v>
      </c>
      <c r="H95">
        <v>4</v>
      </c>
      <c r="I95">
        <f t="shared" si="7"/>
        <v>0</v>
      </c>
      <c r="J95">
        <f t="shared" si="7"/>
        <v>0</v>
      </c>
      <c r="K95">
        <f t="shared" si="7"/>
        <v>0</v>
      </c>
      <c r="L95"/>
      <c r="M95"/>
      <c r="N95"/>
    </row>
    <row r="96" spans="1:14" ht="19.5" hidden="1" customHeight="1">
      <c r="A96" s="1749"/>
      <c r="B96" s="1749"/>
      <c r="C96">
        <v>3.5</v>
      </c>
      <c r="D96">
        <v>3.5049999999999999</v>
      </c>
      <c r="E96">
        <v>3.5019999999999998</v>
      </c>
      <c r="F96">
        <v>3.5</v>
      </c>
      <c r="G96">
        <v>3.5</v>
      </c>
      <c r="H96">
        <v>3.5</v>
      </c>
      <c r="I96">
        <f t="shared" si="7"/>
        <v>0</v>
      </c>
      <c r="J96">
        <f t="shared" si="7"/>
        <v>0.14285714285713982</v>
      </c>
      <c r="K96">
        <f t="shared" si="7"/>
        <v>5.7142857142850847E-2</v>
      </c>
      <c r="L96"/>
      <c r="M96"/>
      <c r="N96"/>
    </row>
    <row r="97" spans="1:14" ht="19.5" hidden="1" customHeight="1">
      <c r="A97" s="1749"/>
      <c r="B97" s="1749"/>
      <c r="C97">
        <v>3</v>
      </c>
      <c r="D97">
        <v>3</v>
      </c>
      <c r="E97">
        <v>3</v>
      </c>
      <c r="F97">
        <v>3</v>
      </c>
      <c r="G97">
        <v>3</v>
      </c>
      <c r="H97">
        <v>3</v>
      </c>
      <c r="I97">
        <f t="shared" si="7"/>
        <v>0</v>
      </c>
      <c r="J97">
        <f t="shared" si="7"/>
        <v>0</v>
      </c>
      <c r="K97">
        <f t="shared" si="7"/>
        <v>0</v>
      </c>
      <c r="L97"/>
      <c r="M97"/>
      <c r="N97"/>
    </row>
    <row r="98" spans="1:14" ht="19.5" hidden="1" customHeight="1">
      <c r="A98" s="1749"/>
      <c r="B98" s="1749"/>
      <c r="C98">
        <v>2.5</v>
      </c>
      <c r="D98">
        <v>2.5030000000000001</v>
      </c>
      <c r="E98">
        <v>2.5</v>
      </c>
      <c r="F98">
        <v>2.5</v>
      </c>
      <c r="G98">
        <v>2.5</v>
      </c>
      <c r="H98">
        <v>2.5</v>
      </c>
      <c r="I98">
        <f t="shared" si="7"/>
        <v>0</v>
      </c>
      <c r="J98">
        <f t="shared" si="7"/>
        <v>0.12000000000000455</v>
      </c>
      <c r="K98">
        <f t="shared" si="7"/>
        <v>0</v>
      </c>
      <c r="L98"/>
      <c r="M98"/>
      <c r="N98"/>
    </row>
    <row r="99" spans="1:14" ht="19.5" hidden="1" customHeight="1">
      <c r="A99" s="1749"/>
      <c r="B99" s="1749"/>
      <c r="C99">
        <v>2.0019999999999998</v>
      </c>
      <c r="D99">
        <v>2.004</v>
      </c>
      <c r="E99">
        <v>2.0019999999999998</v>
      </c>
      <c r="F99">
        <v>2</v>
      </c>
      <c r="G99">
        <v>2</v>
      </c>
      <c r="H99">
        <v>2</v>
      </c>
      <c r="I99">
        <f t="shared" si="7"/>
        <v>9.9999999999988987E-2</v>
      </c>
      <c r="J99">
        <f t="shared" si="7"/>
        <v>0.20000000000000018</v>
      </c>
      <c r="K99">
        <f t="shared" si="7"/>
        <v>9.9999999999988987E-2</v>
      </c>
      <c r="L99"/>
      <c r="M99"/>
      <c r="N99"/>
    </row>
    <row r="100" spans="1:14" ht="19.5" hidden="1" customHeight="1">
      <c r="A100" s="1749"/>
      <c r="B100" s="1749"/>
      <c r="C100">
        <v>1.5</v>
      </c>
      <c r="D100">
        <v>1.5</v>
      </c>
      <c r="E100">
        <v>1.5</v>
      </c>
      <c r="F100">
        <v>1.5</v>
      </c>
      <c r="G100">
        <v>1.5</v>
      </c>
      <c r="H100">
        <v>1.5</v>
      </c>
      <c r="I100">
        <f t="shared" si="7"/>
        <v>0</v>
      </c>
      <c r="J100">
        <f t="shared" si="7"/>
        <v>0</v>
      </c>
      <c r="K100">
        <f t="shared" si="7"/>
        <v>0</v>
      </c>
      <c r="L100"/>
      <c r="M100"/>
      <c r="N100"/>
    </row>
    <row r="101" spans="1:14" ht="19.5" hidden="1" customHeight="1">
      <c r="A101" s="1749"/>
      <c r="B101" s="1749"/>
      <c r="C101">
        <v>1</v>
      </c>
      <c r="D101">
        <v>1</v>
      </c>
      <c r="E101">
        <v>1</v>
      </c>
      <c r="F101">
        <v>1</v>
      </c>
      <c r="G101">
        <v>1</v>
      </c>
      <c r="H101">
        <v>1</v>
      </c>
      <c r="I101">
        <f t="shared" si="7"/>
        <v>0</v>
      </c>
      <c r="J101">
        <f t="shared" si="7"/>
        <v>0</v>
      </c>
      <c r="K101">
        <f t="shared" si="7"/>
        <v>0</v>
      </c>
      <c r="L101"/>
      <c r="M101"/>
      <c r="N101"/>
    </row>
    <row r="102" spans="1:14" ht="19.5" hidden="1" customHeight="1">
      <c r="A102" s="1749"/>
      <c r="B102" s="1749"/>
      <c r="C102">
        <v>0.5</v>
      </c>
      <c r="D102">
        <v>0.502</v>
      </c>
      <c r="E102">
        <v>0.501</v>
      </c>
      <c r="F102">
        <v>0.5</v>
      </c>
      <c r="G102">
        <v>0.5</v>
      </c>
      <c r="H102">
        <v>0.5</v>
      </c>
      <c r="I102">
        <f t="shared" si="7"/>
        <v>0</v>
      </c>
      <c r="J102">
        <f t="shared" si="7"/>
        <v>0.40000000000000036</v>
      </c>
      <c r="K102">
        <f t="shared" si="7"/>
        <v>0.20000000000000018</v>
      </c>
      <c r="L102"/>
      <c r="M102"/>
      <c r="N102"/>
    </row>
    <row r="103" spans="1:14" customFormat="1" ht="19.5" hidden="1" customHeight="1">
      <c r="A103" s="1749" t="s">
        <v>4197</v>
      </c>
      <c r="B103" s="1749"/>
      <c r="C103" s="1749"/>
      <c r="D103" s="1749"/>
      <c r="E103" s="1749"/>
      <c r="F103" s="1749"/>
      <c r="G103" s="1749"/>
      <c r="H103" s="1749"/>
      <c r="I103" s="1749"/>
      <c r="J103" s="1749"/>
      <c r="K103" s="1749"/>
    </row>
    <row r="104" spans="1:14" customFormat="1" ht="19.5" hidden="1" customHeight="1">
      <c r="I104" s="1749"/>
      <c r="J104" s="1749"/>
      <c r="K104" s="1749"/>
    </row>
    <row r="105" spans="1:14" customFormat="1" ht="19.5" customHeight="1"/>
    <row r="106" spans="1:14" customFormat="1" ht="19.5" hidden="1" customHeight="1"/>
    <row r="107" spans="1:14" ht="19.5" hidden="1" customHeight="1">
      <c r="A107" t="s">
        <v>4198</v>
      </c>
      <c r="B107" t="s">
        <v>4199</v>
      </c>
      <c r="C107"/>
      <c r="D107"/>
      <c r="E107"/>
      <c r="F107"/>
      <c r="G107"/>
      <c r="H107"/>
      <c r="I107"/>
      <c r="J107">
        <v>1</v>
      </c>
      <c r="K107">
        <v>5</v>
      </c>
    </row>
    <row r="108" spans="1:14" ht="19.5" hidden="1" customHeight="1">
      <c r="A108" s="1749" t="s">
        <v>4096</v>
      </c>
      <c r="B108" s="1749"/>
      <c r="C108" s="1749" t="s">
        <v>4200</v>
      </c>
      <c r="D108" s="1749"/>
      <c r="E108" s="1749"/>
      <c r="F108" s="1749" t="s">
        <v>4201</v>
      </c>
      <c r="G108" s="1749"/>
      <c r="H108" s="1749"/>
      <c r="I108" s="1749" t="s">
        <v>962</v>
      </c>
      <c r="J108" s="1749"/>
      <c r="K108" s="1749"/>
    </row>
    <row r="109" spans="1:14" ht="19.5" hidden="1" customHeight="1">
      <c r="A109" s="1749"/>
      <c r="B109" s="1749"/>
      <c r="C109" t="s">
        <v>4202</v>
      </c>
      <c r="D109" t="s">
        <v>4203</v>
      </c>
      <c r="E109" t="s">
        <v>4204</v>
      </c>
      <c r="F109" t="s">
        <v>4202</v>
      </c>
      <c r="G109" t="s">
        <v>4203</v>
      </c>
      <c r="H109" t="s">
        <v>4204</v>
      </c>
      <c r="I109" t="s">
        <v>4202</v>
      </c>
      <c r="J109" t="s">
        <v>4203</v>
      </c>
      <c r="K109" t="s">
        <v>4204</v>
      </c>
    </row>
    <row r="110" spans="1:14" ht="19.5" hidden="1" customHeight="1">
      <c r="A110" s="1749">
        <v>5</v>
      </c>
      <c r="B110" s="1749"/>
      <c r="C110">
        <v>5.0152000000000001</v>
      </c>
      <c r="D110">
        <v>5.0167999999999999</v>
      </c>
      <c r="E110">
        <v>5.0164999999999997</v>
      </c>
      <c r="F110">
        <v>5</v>
      </c>
      <c r="G110">
        <f>F110</f>
        <v>5</v>
      </c>
      <c r="H110">
        <f>F110</f>
        <v>5</v>
      </c>
      <c r="I110">
        <f>(C110-F110)/F110*100</f>
        <v>0.30400000000000205</v>
      </c>
      <c r="J110">
        <f>(D110-G110)/G110*100</f>
        <v>0.33599999999999852</v>
      </c>
      <c r="K110">
        <f>(E110-H110)/H110*100</f>
        <v>0.32999999999999474</v>
      </c>
      <c r="L110"/>
    </row>
    <row r="111" spans="1:14" ht="19.5" hidden="1" customHeight="1">
      <c r="A111" s="1749"/>
      <c r="B111" s="1749"/>
      <c r="C111">
        <v>4.5147000000000004</v>
      </c>
      <c r="D111">
        <v>4.5156000000000001</v>
      </c>
      <c r="E111">
        <v>4.5148999999999999</v>
      </c>
      <c r="F111">
        <v>4.5</v>
      </c>
      <c r="G111">
        <f t="shared" ref="G111:G119" si="8">F111</f>
        <v>4.5</v>
      </c>
      <c r="H111">
        <f t="shared" ref="H111:H119" si="9">F111</f>
        <v>4.5</v>
      </c>
      <c r="I111">
        <f t="shared" ref="I111:K119" si="10">(C111-F111)/F111*100</f>
        <v>0.3266666666666751</v>
      </c>
      <c r="J111">
        <f t="shared" si="10"/>
        <v>0.34666666666666796</v>
      </c>
      <c r="K111">
        <f t="shared" si="10"/>
        <v>0.33111111111110919</v>
      </c>
      <c r="L111"/>
    </row>
    <row r="112" spans="1:14" ht="19.5" hidden="1" customHeight="1">
      <c r="A112" s="1749"/>
      <c r="B112" s="1749"/>
      <c r="C112">
        <v>4.0133000000000001</v>
      </c>
      <c r="D112">
        <v>4.0141999999999998</v>
      </c>
      <c r="E112">
        <v>4.0122</v>
      </c>
      <c r="F112">
        <f>F110*0.8</f>
        <v>4</v>
      </c>
      <c r="G112">
        <f t="shared" si="8"/>
        <v>4</v>
      </c>
      <c r="H112">
        <f t="shared" si="9"/>
        <v>4</v>
      </c>
      <c r="I112">
        <f t="shared" si="10"/>
        <v>0.33250000000000224</v>
      </c>
      <c r="J112">
        <f t="shared" si="10"/>
        <v>0.35499999999999421</v>
      </c>
      <c r="K112">
        <f t="shared" si="10"/>
        <v>0.30499999999999972</v>
      </c>
      <c r="L112"/>
    </row>
    <row r="113" spans="1:12" ht="19.5" hidden="1" customHeight="1">
      <c r="A113" s="1749"/>
      <c r="B113" s="1749"/>
      <c r="C113">
        <v>3.5121000000000002</v>
      </c>
      <c r="D113">
        <v>3.5112999999999999</v>
      </c>
      <c r="E113">
        <v>3.5118999999999998</v>
      </c>
      <c r="F113">
        <f>F110*0.7</f>
        <v>3.5</v>
      </c>
      <c r="G113">
        <f t="shared" si="8"/>
        <v>3.5</v>
      </c>
      <c r="H113">
        <f t="shared" si="9"/>
        <v>3.5</v>
      </c>
      <c r="I113">
        <f t="shared" si="10"/>
        <v>0.34571428571429202</v>
      </c>
      <c r="J113">
        <f t="shared" si="10"/>
        <v>0.32285714285713901</v>
      </c>
      <c r="K113">
        <f t="shared" si="10"/>
        <v>0.33999999999999425</v>
      </c>
      <c r="L113"/>
    </row>
    <row r="114" spans="1:12" ht="19.5" hidden="1" customHeight="1">
      <c r="A114" s="1749"/>
      <c r="B114" s="1749"/>
      <c r="C114">
        <v>3.0110999999999999</v>
      </c>
      <c r="D114">
        <v>3.0118999999999998</v>
      </c>
      <c r="E114">
        <v>3.0105</v>
      </c>
      <c r="F114">
        <f>F110*0.6</f>
        <v>3</v>
      </c>
      <c r="G114">
        <f t="shared" si="8"/>
        <v>3</v>
      </c>
      <c r="H114">
        <f t="shared" si="9"/>
        <v>3</v>
      </c>
      <c r="I114">
        <f t="shared" si="10"/>
        <v>0.36999999999999622</v>
      </c>
      <c r="J114">
        <f t="shared" si="10"/>
        <v>0.39666666666666001</v>
      </c>
      <c r="K114">
        <f t="shared" si="10"/>
        <v>0.34999999999999842</v>
      </c>
      <c r="L114"/>
    </row>
    <row r="115" spans="1:12" ht="18" hidden="1" customHeight="1">
      <c r="A115" s="1749"/>
      <c r="B115" s="1749"/>
      <c r="C115">
        <v>2.5087999999999999</v>
      </c>
      <c r="D115">
        <v>2.5104000000000002</v>
      </c>
      <c r="E115">
        <v>2.5091999999999999</v>
      </c>
      <c r="F115">
        <f>F110*0.5</f>
        <v>2.5</v>
      </c>
      <c r="G115">
        <f t="shared" si="8"/>
        <v>2.5</v>
      </c>
      <c r="H115">
        <f t="shared" si="9"/>
        <v>2.5</v>
      </c>
      <c r="I115">
        <f t="shared" si="10"/>
        <v>0.35199999999999676</v>
      </c>
      <c r="J115">
        <f t="shared" si="10"/>
        <v>0.41600000000000753</v>
      </c>
      <c r="K115">
        <f t="shared" si="10"/>
        <v>0.367999999999995</v>
      </c>
      <c r="L115"/>
    </row>
    <row r="116" spans="1:12" ht="19.5" hidden="1" customHeight="1">
      <c r="A116" s="1749"/>
      <c r="B116" s="1749"/>
      <c r="C116">
        <v>2.0078999999999998</v>
      </c>
      <c r="D116">
        <v>2.0099</v>
      </c>
      <c r="E116">
        <v>2.0076999999999998</v>
      </c>
      <c r="F116">
        <f>F110*0.4</f>
        <v>2</v>
      </c>
      <c r="G116">
        <f t="shared" si="8"/>
        <v>2</v>
      </c>
      <c r="H116">
        <f t="shared" si="9"/>
        <v>2</v>
      </c>
      <c r="I116">
        <f t="shared" si="10"/>
        <v>0.3949999999999898</v>
      </c>
      <c r="J116">
        <f t="shared" si="10"/>
        <v>0.49500000000000099</v>
      </c>
      <c r="K116">
        <f t="shared" si="10"/>
        <v>0.38499999999999091</v>
      </c>
      <c r="L116"/>
    </row>
    <row r="117" spans="1:12" ht="19.5" hidden="1" customHeight="1">
      <c r="A117" s="1749"/>
      <c r="B117" s="1749"/>
      <c r="C117">
        <v>1.5066999999999999</v>
      </c>
      <c r="D117">
        <v>1.5079</v>
      </c>
      <c r="E117">
        <v>1.5048999999999999</v>
      </c>
      <c r="F117">
        <v>1.5</v>
      </c>
      <c r="G117">
        <f t="shared" si="8"/>
        <v>1.5</v>
      </c>
      <c r="H117">
        <f t="shared" si="9"/>
        <v>1.5</v>
      </c>
      <c r="I117">
        <f t="shared" si="10"/>
        <v>0.44666666666666188</v>
      </c>
      <c r="J117">
        <f t="shared" si="10"/>
        <v>0.52666666666666795</v>
      </c>
      <c r="K117">
        <f t="shared" si="10"/>
        <v>0.32666666666666033</v>
      </c>
      <c r="L117"/>
    </row>
    <row r="118" spans="1:12" ht="19.5" hidden="1" customHeight="1">
      <c r="A118" s="1749"/>
      <c r="B118" s="1749"/>
      <c r="C118">
        <v>1.0046999999999999</v>
      </c>
      <c r="D118">
        <v>1.0052000000000001</v>
      </c>
      <c r="E118">
        <v>1.0033000000000001</v>
      </c>
      <c r="F118">
        <v>1</v>
      </c>
      <c r="G118">
        <f t="shared" si="8"/>
        <v>1</v>
      </c>
      <c r="H118">
        <f t="shared" si="9"/>
        <v>1</v>
      </c>
      <c r="I118">
        <f t="shared" si="10"/>
        <v>0.46999999999999265</v>
      </c>
      <c r="J118">
        <f t="shared" si="10"/>
        <v>0.52000000000000934</v>
      </c>
      <c r="K118">
        <f t="shared" si="10"/>
        <v>0.33000000000000806</v>
      </c>
      <c r="L118"/>
    </row>
    <row r="119" spans="1:12" ht="19.5" hidden="1" customHeight="1">
      <c r="A119" s="1749"/>
      <c r="B119" s="1749"/>
      <c r="C119">
        <v>0.50290000000000001</v>
      </c>
      <c r="D119">
        <v>0.50309999999999999</v>
      </c>
      <c r="E119">
        <v>0.50209999999999999</v>
      </c>
      <c r="F119">
        <v>0.5</v>
      </c>
      <c r="G119">
        <f t="shared" si="8"/>
        <v>0.5</v>
      </c>
      <c r="H119">
        <f t="shared" si="9"/>
        <v>0.5</v>
      </c>
      <c r="I119">
        <f t="shared" si="10"/>
        <v>0.58000000000000274</v>
      </c>
      <c r="J119">
        <f t="shared" si="10"/>
        <v>0.61999999999999833</v>
      </c>
      <c r="K119">
        <f t="shared" si="10"/>
        <v>0.41999999999999815</v>
      </c>
      <c r="L119"/>
    </row>
    <row r="120" spans="1:12" ht="19.5" hidden="1" customHeight="1">
      <c r="A120" t="s">
        <v>122</v>
      </c>
      <c r="B120"/>
      <c r="C120"/>
      <c r="D120"/>
      <c r="E120"/>
      <c r="F120"/>
      <c r="G120"/>
      <c r="H120"/>
      <c r="I120"/>
      <c r="J120"/>
      <c r="K120"/>
    </row>
    <row r="121" spans="1:12" ht="11.25" hidden="1" customHeight="1">
      <c r="A121" t="s">
        <v>4205</v>
      </c>
      <c r="B121" t="s">
        <v>4206</v>
      </c>
      <c r="C121"/>
      <c r="D121"/>
      <c r="E121"/>
      <c r="F121"/>
      <c r="G121"/>
      <c r="H121"/>
      <c r="I121"/>
      <c r="J121"/>
      <c r="K121"/>
    </row>
  </sheetData>
  <mergeCells count="34">
    <mergeCell ref="A110:B119"/>
    <mergeCell ref="A92:B102"/>
    <mergeCell ref="A103:K103"/>
    <mergeCell ref="I104:K104"/>
    <mergeCell ref="A108:B109"/>
    <mergeCell ref="C108:E108"/>
    <mergeCell ref="F108:H108"/>
    <mergeCell ref="I108:K108"/>
    <mergeCell ref="A90:B91"/>
    <mergeCell ref="C90:E90"/>
    <mergeCell ref="F90:H90"/>
    <mergeCell ref="I90:K90"/>
    <mergeCell ref="A42:B84"/>
    <mergeCell ref="I86:K86"/>
    <mergeCell ref="A19:B39"/>
    <mergeCell ref="L19:L28"/>
    <mergeCell ref="L30:L39"/>
    <mergeCell ref="A40:B41"/>
    <mergeCell ref="C40:E40"/>
    <mergeCell ref="F40:H40"/>
    <mergeCell ref="I40:K40"/>
    <mergeCell ref="L5:L6"/>
    <mergeCell ref="A7:B16"/>
    <mergeCell ref="L7:L16"/>
    <mergeCell ref="A17:B18"/>
    <mergeCell ref="C17:E17"/>
    <mergeCell ref="F17:H17"/>
    <mergeCell ref="I17:K17"/>
    <mergeCell ref="L17:L18"/>
    <mergeCell ref="A3:K3"/>
    <mergeCell ref="A5:B6"/>
    <mergeCell ref="C5:E5"/>
    <mergeCell ref="F5:H5"/>
    <mergeCell ref="I5:K5"/>
  </mergeCells>
  <phoneticPr fontId="216" type="noConversion"/>
  <conditionalFormatting sqref="I110:K119">
    <cfRule type="cellIs" dxfId="94" priority="2" stopIfTrue="1" operator="notBetween">
      <formula>-1</formula>
      <formula>1</formula>
    </cfRule>
  </conditionalFormatting>
  <conditionalFormatting sqref="I30:J39 I75:I84 I64:J73 I42:K51 I53:K62 I7:K16 I19:K28">
    <cfRule type="cellIs" dxfId="93" priority="3" stopIfTrue="1" operator="notBetween">
      <formula>-0.5</formula>
      <formula>0.5</formula>
    </cfRule>
  </conditionalFormatting>
  <conditionalFormatting sqref="I92:K102">
    <cfRule type="cellIs" dxfId="92" priority="1" stopIfTrue="1" operator="notBetween">
      <formula>-0.5</formula>
      <formula>0.5</formula>
    </cfRule>
  </conditionalFormatting>
  <pageMargins left="0.55118110236220474" right="0" top="0.47244094488188981" bottom="0.23622047244094491" header="0.51181102362204722" footer="0.51181102362204722"/>
  <pageSetup paperSize="9" scale="90" orientation="portrait" r:id="rId1"/>
  <headerFooter scaleWithDoc="0" alignWithMargins="0">
    <oddHeader xml:space="preserve">&amp;L&amp;8                                                                                              第&amp;P页     共&amp;N页      </oddHeader>
    <oddFooter>&amp;L&amp;9DC-仪表-11（1）</oddFooter>
  </headerFooter>
  <rowBreaks count="1" manualBreakCount="1">
    <brk id="28" max="11" man="1"/>
  </rowBreaks>
</worksheet>
</file>

<file path=xl/worksheets/sheet30.xml><?xml version="1.0" encoding="utf-8"?>
<worksheet xmlns="http://schemas.openxmlformats.org/spreadsheetml/2006/main" xmlns:r="http://schemas.openxmlformats.org/officeDocument/2006/relationships">
  <dimension ref="A1:AP118"/>
  <sheetViews>
    <sheetView topLeftCell="A28" workbookViewId="0">
      <selection activeCell="C53" sqref="C53:E63"/>
    </sheetView>
  </sheetViews>
  <sheetFormatPr defaultRowHeight="14.25" outlineLevelRow="1"/>
  <cols>
    <col min="1" max="1" width="16.875" customWidth="1"/>
    <col min="2" max="2" width="15.625" customWidth="1"/>
    <col min="3" max="3" width="15.125" customWidth="1"/>
    <col min="4" max="4" width="19" customWidth="1"/>
    <col min="5" max="6" width="23.25" customWidth="1"/>
    <col min="7" max="7" width="16.375" customWidth="1"/>
    <col min="9" max="9" width="17.5" customWidth="1"/>
    <col min="10" max="10" width="15.375" customWidth="1"/>
  </cols>
  <sheetData>
    <row r="1" spans="1:4">
      <c r="A1" t="s">
        <v>4325</v>
      </c>
      <c r="B1" s="803"/>
    </row>
    <row r="3" spans="1:4" outlineLevel="1">
      <c r="A3" s="2434" t="s">
        <v>2122</v>
      </c>
      <c r="B3" s="2298"/>
      <c r="C3" s="2298"/>
      <c r="D3" s="2"/>
    </row>
    <row r="4" spans="1:4" ht="18.75" outlineLevel="1">
      <c r="A4" s="699" t="s">
        <v>1920</v>
      </c>
      <c r="B4" s="6" t="s">
        <v>69</v>
      </c>
      <c r="C4" s="6" t="s">
        <v>70</v>
      </c>
      <c r="D4" s="700" t="s">
        <v>2123</v>
      </c>
    </row>
    <row r="5" spans="1:4" outlineLevel="1">
      <c r="A5" s="6" t="s">
        <v>35</v>
      </c>
      <c r="B5" s="6" t="s">
        <v>72</v>
      </c>
      <c r="C5" s="6" t="s">
        <v>72</v>
      </c>
      <c r="D5" s="2" t="s">
        <v>2124</v>
      </c>
    </row>
    <row r="6" spans="1:4" outlineLevel="1">
      <c r="A6" s="1363" t="s">
        <v>3439</v>
      </c>
      <c r="B6" s="6" t="s">
        <v>72</v>
      </c>
      <c r="C6" s="6" t="s">
        <v>72</v>
      </c>
      <c r="D6" s="700" t="s">
        <v>2125</v>
      </c>
    </row>
    <row r="7" spans="1:4" outlineLevel="1">
      <c r="A7" s="698"/>
      <c r="B7" s="6" t="s">
        <v>3438</v>
      </c>
      <c r="C7" s="6"/>
      <c r="D7" s="700"/>
    </row>
    <row r="8" spans="1:4" outlineLevel="1">
      <c r="A8" s="698"/>
      <c r="B8" t="s">
        <v>3444</v>
      </c>
      <c r="C8" s="6"/>
      <c r="D8" s="700"/>
    </row>
    <row r="9" spans="1:4" outlineLevel="1">
      <c r="A9" s="698"/>
      <c r="B9" t="s">
        <v>3443</v>
      </c>
      <c r="C9" s="6"/>
      <c r="D9" s="700"/>
    </row>
    <row r="10" spans="1:4" outlineLevel="1">
      <c r="A10" s="6" t="s">
        <v>2126</v>
      </c>
      <c r="B10" s="6" t="s">
        <v>72</v>
      </c>
      <c r="C10" s="6" t="s">
        <v>2127</v>
      </c>
      <c r="D10" s="756" t="s">
        <v>2128</v>
      </c>
    </row>
    <row r="11" spans="1:4" outlineLevel="1">
      <c r="A11" s="6" t="s">
        <v>2129</v>
      </c>
      <c r="B11" s="6" t="s">
        <v>72</v>
      </c>
      <c r="C11" s="6" t="s">
        <v>2127</v>
      </c>
      <c r="D11" s="2" t="s">
        <v>2124</v>
      </c>
    </row>
    <row r="12" spans="1:4" outlineLevel="1">
      <c r="A12" s="6" t="s">
        <v>2130</v>
      </c>
      <c r="B12" s="6" t="s">
        <v>72</v>
      </c>
      <c r="C12" s="6" t="s">
        <v>72</v>
      </c>
      <c r="D12" s="2" t="s">
        <v>2124</v>
      </c>
    </row>
    <row r="13" spans="1:4" outlineLevel="1">
      <c r="A13" s="6" t="s">
        <v>2131</v>
      </c>
      <c r="B13" s="6" t="s">
        <v>72</v>
      </c>
      <c r="C13" s="6" t="s">
        <v>2127</v>
      </c>
      <c r="D13" s="2" t="s">
        <v>2124</v>
      </c>
    </row>
    <row r="14" spans="1:4" outlineLevel="1">
      <c r="A14" s="6" t="s">
        <v>2132</v>
      </c>
      <c r="B14" s="6" t="s">
        <v>72</v>
      </c>
      <c r="C14" s="6" t="s">
        <v>2127</v>
      </c>
      <c r="D14" s="2" t="s">
        <v>2124</v>
      </c>
    </row>
    <row r="15" spans="1:4" outlineLevel="1">
      <c r="A15" s="6" t="s">
        <v>2133</v>
      </c>
      <c r="B15" s="6" t="s">
        <v>72</v>
      </c>
      <c r="C15" s="6" t="s">
        <v>2127</v>
      </c>
      <c r="D15" s="2" t="s">
        <v>2124</v>
      </c>
    </row>
    <row r="16" spans="1:4" outlineLevel="1">
      <c r="A16" s="6"/>
      <c r="B16" s="6"/>
      <c r="C16" s="6"/>
      <c r="D16" s="2"/>
    </row>
    <row r="17" spans="1:27" outlineLevel="1">
      <c r="A17" s="6"/>
      <c r="B17" s="6"/>
      <c r="C17" s="6"/>
      <c r="D17" s="2"/>
    </row>
    <row r="18" spans="1:27" outlineLevel="1">
      <c r="A18" s="6"/>
      <c r="B18" s="6"/>
      <c r="C18" s="6"/>
      <c r="D18" s="2"/>
    </row>
    <row r="19" spans="1:27" outlineLevel="1">
      <c r="A19" s="6"/>
      <c r="B19" s="6"/>
      <c r="C19" s="6"/>
      <c r="D19" s="2"/>
    </row>
    <row r="20" spans="1:27" outlineLevel="1">
      <c r="A20" s="6"/>
      <c r="B20" s="6"/>
      <c r="C20" s="6"/>
      <c r="D20" s="2"/>
    </row>
    <row r="21" spans="1:27" outlineLevel="1">
      <c r="A21" t="s">
        <v>73</v>
      </c>
    </row>
    <row r="23" spans="1:27">
      <c r="A23" s="2559" t="s">
        <v>2134</v>
      </c>
      <c r="B23" s="2559"/>
      <c r="C23" s="2559"/>
      <c r="D23" s="2559"/>
    </row>
    <row r="24" spans="1:27">
      <c r="A24" s="1749" t="s">
        <v>3437</v>
      </c>
      <c r="B24" s="2120"/>
      <c r="C24" s="2120"/>
      <c r="D24" s="2120"/>
      <c r="E24" s="38"/>
      <c r="F24" s="8"/>
      <c r="M24" s="703" t="s">
        <v>2135</v>
      </c>
      <c r="V24" s="703" t="s">
        <v>2136</v>
      </c>
    </row>
    <row r="25" spans="1:27" ht="14.25" customHeight="1" outlineLevel="1">
      <c r="A25" s="2552" t="s">
        <v>2137</v>
      </c>
      <c r="B25" s="2552" t="s">
        <v>2138</v>
      </c>
      <c r="C25" s="2535" t="s">
        <v>2139</v>
      </c>
      <c r="D25" s="2331"/>
      <c r="E25" s="2346" t="s">
        <v>4051</v>
      </c>
      <c r="F25" s="2331"/>
      <c r="G25" s="2555" t="s">
        <v>2140</v>
      </c>
      <c r="H25" s="2438" t="s">
        <v>2141</v>
      </c>
      <c r="I25" s="2438"/>
      <c r="J25" s="2438" t="s">
        <v>2131</v>
      </c>
      <c r="M25" s="2552" t="s">
        <v>2137</v>
      </c>
      <c r="N25" s="2552" t="s">
        <v>2138</v>
      </c>
      <c r="O25" s="2535" t="s">
        <v>2139</v>
      </c>
      <c r="P25" s="2331"/>
      <c r="Q25" s="2331" t="s">
        <v>962</v>
      </c>
      <c r="R25" s="2331"/>
      <c r="S25" s="804" t="s">
        <v>1874</v>
      </c>
      <c r="V25" s="2552" t="s">
        <v>2137</v>
      </c>
      <c r="W25" s="2552" t="s">
        <v>2138</v>
      </c>
      <c r="X25" s="2535" t="s">
        <v>2139</v>
      </c>
      <c r="Y25" s="2331"/>
      <c r="Z25" s="2331" t="s">
        <v>962</v>
      </c>
      <c r="AA25" s="2331"/>
    </row>
    <row r="26" spans="1:27" outlineLevel="1">
      <c r="A26" s="2303"/>
      <c r="B26" s="2303"/>
      <c r="C26" s="379" t="s">
        <v>2142</v>
      </c>
      <c r="D26" s="379" t="s">
        <v>2127</v>
      </c>
      <c r="E26" s="785" t="s">
        <v>2142</v>
      </c>
      <c r="F26" s="785" t="s">
        <v>2127</v>
      </c>
      <c r="G26" s="2555"/>
      <c r="H26" s="2438"/>
      <c r="I26" s="2438"/>
      <c r="J26" s="2439"/>
      <c r="M26" s="2303"/>
      <c r="N26" s="2303"/>
      <c r="O26" s="379" t="s">
        <v>2142</v>
      </c>
      <c r="P26" s="379" t="s">
        <v>2127</v>
      </c>
      <c r="Q26" s="785" t="s">
        <v>2142</v>
      </c>
      <c r="R26" s="785" t="s">
        <v>2127</v>
      </c>
      <c r="S26" s="804" t="s">
        <v>2143</v>
      </c>
      <c r="V26" s="2303"/>
      <c r="W26" s="2303"/>
      <c r="X26" s="379" t="s">
        <v>2142</v>
      </c>
      <c r="Y26" s="379" t="s">
        <v>2127</v>
      </c>
      <c r="Z26" s="785" t="s">
        <v>2142</v>
      </c>
      <c r="AA26" s="785" t="s">
        <v>2127</v>
      </c>
    </row>
    <row r="27" spans="1:27" outlineLevel="1">
      <c r="A27" s="2548">
        <v>1</v>
      </c>
      <c r="B27" s="108">
        <v>1</v>
      </c>
      <c r="C27" s="109">
        <v>0.99992000000000003</v>
      </c>
      <c r="D27" s="110">
        <v>0.99992000000000003</v>
      </c>
      <c r="E27" s="805"/>
      <c r="F27" s="805"/>
      <c r="G27" s="762" t="e">
        <f ca="1">((J27/1.732)^2+((I27/1000000*ABS(C27)+#REF!)/2)^2)^0.5*2</f>
        <v>#REF!</v>
      </c>
      <c r="H27" s="686">
        <v>80</v>
      </c>
      <c r="I27" s="806">
        <v>1.0000000000000001E-5</v>
      </c>
      <c r="J27" s="776">
        <f ca="1">10^(-IF(CELL("format",E27)="G",0,VALUE(REPLACE(CELL("format",E27),1,1,))))/2</f>
        <v>5.0000000000000004E-6</v>
      </c>
      <c r="M27" s="2548">
        <v>1</v>
      </c>
      <c r="N27" s="108">
        <v>1</v>
      </c>
      <c r="O27" s="109">
        <v>0.99992000000000003</v>
      </c>
      <c r="P27" s="110">
        <v>0.99992000000000003</v>
      </c>
      <c r="Q27" s="805"/>
      <c r="R27" s="805"/>
      <c r="S27" s="762" t="e">
        <f>((V27/1.732)^2+((U27/1000000*ABS(O27)+#REF!)/2)^2)^0.5*2</f>
        <v>#REF!</v>
      </c>
      <c r="V27" s="2548">
        <v>1</v>
      </c>
      <c r="W27" s="108">
        <v>1</v>
      </c>
      <c r="X27" s="109">
        <v>0.99992000000000003</v>
      </c>
      <c r="Y27" s="110">
        <v>0.99992000000000003</v>
      </c>
      <c r="Z27" s="805"/>
      <c r="AA27" s="805"/>
    </row>
    <row r="28" spans="1:27" outlineLevel="1">
      <c r="A28" s="2549"/>
      <c r="B28" s="108">
        <v>0.9</v>
      </c>
      <c r="C28" s="109">
        <v>0.89993000000000001</v>
      </c>
      <c r="D28" s="111" t="s">
        <v>80</v>
      </c>
      <c r="E28" s="807"/>
      <c r="F28" s="807"/>
      <c r="G28" s="762" t="e">
        <f t="shared" ref="G28:G45" ca="1" si="0">((J28/1.732)^2+((H28/1000000*ABS(C28)+I28)/2)^2)^0.5*2</f>
        <v>#VALUE!</v>
      </c>
      <c r="H28" s="686">
        <v>80</v>
      </c>
      <c r="I28" s="806">
        <v>1.0000000000000001E-5</v>
      </c>
      <c r="J28" s="686" t="e">
        <f t="shared" ref="J28:J45" ca="1" si="1">10^(-IF(CELL("format",E28)="G",0,VALUE(REPLACE(CELL("format",E28),1,1,))))/2</f>
        <v>#VALUE!</v>
      </c>
      <c r="M28" s="2549"/>
      <c r="N28" s="108">
        <v>0.9</v>
      </c>
      <c r="O28" s="109">
        <v>0.89993000000000001</v>
      </c>
      <c r="P28" s="111" t="s">
        <v>80</v>
      </c>
      <c r="Q28" s="807"/>
      <c r="R28" s="807"/>
      <c r="S28" s="762">
        <f t="shared" ref="S28:S45" si="2">((V28/1.732)^2+((T28/1000000*ABS(O28)+U28)/2)^2)^0.5*2</f>
        <v>0</v>
      </c>
      <c r="V28" s="2549"/>
      <c r="W28" s="108">
        <v>0.9</v>
      </c>
      <c r="X28" s="109">
        <v>0.89993000000000001</v>
      </c>
      <c r="Y28" s="111" t="s">
        <v>80</v>
      </c>
      <c r="Z28" s="807"/>
      <c r="AA28" s="807"/>
    </row>
    <row r="29" spans="1:27" outlineLevel="1">
      <c r="A29" s="2549"/>
      <c r="B29" s="108">
        <v>0.8</v>
      </c>
      <c r="C29" s="808">
        <v>0.79993999999999998</v>
      </c>
      <c r="D29" s="111" t="s">
        <v>80</v>
      </c>
      <c r="E29" s="807"/>
      <c r="F29" s="807"/>
      <c r="G29" s="762" t="e">
        <f t="shared" ca="1" si="0"/>
        <v>#VALUE!</v>
      </c>
      <c r="H29" s="686">
        <v>80</v>
      </c>
      <c r="I29" s="806">
        <v>1.0000000000000001E-5</v>
      </c>
      <c r="J29" s="686" t="e">
        <f t="shared" ca="1" si="1"/>
        <v>#VALUE!</v>
      </c>
      <c r="M29" s="2549"/>
      <c r="N29" s="108">
        <v>0.8</v>
      </c>
      <c r="O29" s="808">
        <v>0.79993999999999998</v>
      </c>
      <c r="P29" s="111" t="s">
        <v>80</v>
      </c>
      <c r="Q29" s="807"/>
      <c r="R29" s="807"/>
      <c r="S29" s="762">
        <f t="shared" si="2"/>
        <v>0</v>
      </c>
      <c r="V29" s="2549"/>
      <c r="W29" s="108">
        <v>0.8</v>
      </c>
      <c r="X29" s="808">
        <v>0.79993999999999998</v>
      </c>
      <c r="Y29" s="111" t="s">
        <v>80</v>
      </c>
      <c r="Z29" s="807"/>
      <c r="AA29" s="807"/>
    </row>
    <row r="30" spans="1:27" outlineLevel="1">
      <c r="A30" s="2549"/>
      <c r="B30" s="108">
        <v>0.7</v>
      </c>
      <c r="C30" s="109">
        <v>0.69994999999999996</v>
      </c>
      <c r="D30" s="111" t="s">
        <v>80</v>
      </c>
      <c r="E30" s="807"/>
      <c r="F30" s="807"/>
      <c r="G30" s="762" t="e">
        <f t="shared" ca="1" si="0"/>
        <v>#VALUE!</v>
      </c>
      <c r="H30" s="686">
        <v>80</v>
      </c>
      <c r="I30" s="806">
        <v>1.0000000000000001E-5</v>
      </c>
      <c r="J30" s="686" t="e">
        <f t="shared" ca="1" si="1"/>
        <v>#VALUE!</v>
      </c>
      <c r="M30" s="2549"/>
      <c r="N30" s="108">
        <v>0.7</v>
      </c>
      <c r="O30" s="109">
        <v>0.69994999999999996</v>
      </c>
      <c r="P30" s="111" t="s">
        <v>80</v>
      </c>
      <c r="Q30" s="807"/>
      <c r="R30" s="807"/>
      <c r="S30" s="762">
        <f t="shared" si="2"/>
        <v>0</v>
      </c>
      <c r="V30" s="2549"/>
      <c r="W30" s="108">
        <v>0.7</v>
      </c>
      <c r="X30" s="109">
        <v>0.69994999999999996</v>
      </c>
      <c r="Y30" s="111" t="s">
        <v>80</v>
      </c>
      <c r="Z30" s="807"/>
      <c r="AA30" s="807"/>
    </row>
    <row r="31" spans="1:27" outlineLevel="1">
      <c r="A31" s="2549"/>
      <c r="B31" s="108">
        <v>0.6</v>
      </c>
      <c r="C31" s="109">
        <v>0.59996000000000005</v>
      </c>
      <c r="D31" s="111" t="s">
        <v>80</v>
      </c>
      <c r="E31" s="807"/>
      <c r="F31" s="807"/>
      <c r="G31" s="762" t="e">
        <f t="shared" ca="1" si="0"/>
        <v>#VALUE!</v>
      </c>
      <c r="H31" s="686">
        <v>80</v>
      </c>
      <c r="I31" s="806">
        <v>1.0000000000000001E-5</v>
      </c>
      <c r="J31" s="686" t="e">
        <f t="shared" ca="1" si="1"/>
        <v>#VALUE!</v>
      </c>
      <c r="M31" s="2549"/>
      <c r="N31" s="108">
        <v>0.6</v>
      </c>
      <c r="O31" s="109">
        <v>0.59996000000000005</v>
      </c>
      <c r="P31" s="111" t="s">
        <v>80</v>
      </c>
      <c r="Q31" s="807"/>
      <c r="R31" s="807"/>
      <c r="S31" s="762">
        <f t="shared" si="2"/>
        <v>0</v>
      </c>
      <c r="V31" s="2549"/>
      <c r="W31" s="108">
        <v>0.6</v>
      </c>
      <c r="X31" s="109">
        <v>0.59996000000000005</v>
      </c>
      <c r="Y31" s="111" t="s">
        <v>80</v>
      </c>
      <c r="Z31" s="807"/>
      <c r="AA31" s="807"/>
    </row>
    <row r="32" spans="1:27" outlineLevel="1">
      <c r="A32" s="2549"/>
      <c r="B32" s="108">
        <v>0.5</v>
      </c>
      <c r="C32" s="109">
        <v>0.49996000000000002</v>
      </c>
      <c r="D32" s="111" t="s">
        <v>80</v>
      </c>
      <c r="E32" s="807"/>
      <c r="F32" s="807"/>
      <c r="G32" s="762" t="e">
        <f t="shared" ca="1" si="0"/>
        <v>#VALUE!</v>
      </c>
      <c r="H32" s="686">
        <v>80</v>
      </c>
      <c r="I32" s="806">
        <v>1.0000000000000001E-5</v>
      </c>
      <c r="J32" s="686" t="e">
        <f t="shared" ca="1" si="1"/>
        <v>#VALUE!</v>
      </c>
      <c r="M32" s="2549"/>
      <c r="N32" s="108">
        <v>0.5</v>
      </c>
      <c r="O32" s="109">
        <v>0.49996000000000002</v>
      </c>
      <c r="P32" s="111" t="s">
        <v>80</v>
      </c>
      <c r="Q32" s="807"/>
      <c r="R32" s="807"/>
      <c r="S32" s="762">
        <f t="shared" si="2"/>
        <v>0</v>
      </c>
      <c r="V32" s="2549"/>
      <c r="W32" s="108">
        <v>0.5</v>
      </c>
      <c r="X32" s="109">
        <v>0.49996000000000002</v>
      </c>
      <c r="Y32" s="111" t="s">
        <v>80</v>
      </c>
      <c r="Z32" s="807"/>
      <c r="AA32" s="807"/>
    </row>
    <row r="33" spans="1:27" outlineLevel="1">
      <c r="A33" s="2549"/>
      <c r="B33" s="108">
        <v>0.4</v>
      </c>
      <c r="C33" s="109">
        <v>0.39996999999999999</v>
      </c>
      <c r="D33" s="111" t="s">
        <v>80</v>
      </c>
      <c r="E33" s="807"/>
      <c r="F33" s="807"/>
      <c r="G33" s="762" t="e">
        <f t="shared" ca="1" si="0"/>
        <v>#VALUE!</v>
      </c>
      <c r="H33" s="686">
        <v>80</v>
      </c>
      <c r="I33" s="806">
        <v>1.0000000000000001E-5</v>
      </c>
      <c r="J33" s="686" t="e">
        <f t="shared" ca="1" si="1"/>
        <v>#VALUE!</v>
      </c>
      <c r="M33" s="2549"/>
      <c r="N33" s="108">
        <v>0.4</v>
      </c>
      <c r="O33" s="109">
        <v>0.39996999999999999</v>
      </c>
      <c r="P33" s="111" t="s">
        <v>80</v>
      </c>
      <c r="Q33" s="807"/>
      <c r="R33" s="807"/>
      <c r="S33" s="762">
        <f t="shared" si="2"/>
        <v>0</v>
      </c>
      <c r="V33" s="2549"/>
      <c r="W33" s="108">
        <v>0.4</v>
      </c>
      <c r="X33" s="109">
        <v>0.39996999999999999</v>
      </c>
      <c r="Y33" s="111" t="s">
        <v>80</v>
      </c>
      <c r="Z33" s="807"/>
      <c r="AA33" s="807"/>
    </row>
    <row r="34" spans="1:27" outlineLevel="1">
      <c r="A34" s="2549"/>
      <c r="B34" s="112">
        <v>0.3</v>
      </c>
      <c r="C34" s="113">
        <v>0.29997600000000002</v>
      </c>
      <c r="D34" s="114" t="s">
        <v>80</v>
      </c>
      <c r="E34" s="114"/>
      <c r="F34" s="114"/>
      <c r="G34" s="73" t="e">
        <f t="shared" ca="1" si="0"/>
        <v>#VALUE!</v>
      </c>
      <c r="H34" s="686">
        <v>80</v>
      </c>
      <c r="I34" s="806">
        <v>1.0000000000000001E-5</v>
      </c>
      <c r="J34" s="686" t="e">
        <f t="shared" ca="1" si="1"/>
        <v>#VALUE!</v>
      </c>
      <c r="M34" s="2549"/>
      <c r="N34" s="112">
        <v>0.3</v>
      </c>
      <c r="O34" s="113">
        <v>0.29997600000000002</v>
      </c>
      <c r="P34" s="114" t="s">
        <v>80</v>
      </c>
      <c r="Q34" s="114"/>
      <c r="R34" s="114"/>
      <c r="S34" s="73">
        <f t="shared" si="2"/>
        <v>0</v>
      </c>
      <c r="V34" s="2549"/>
      <c r="W34" s="112">
        <v>0.3</v>
      </c>
      <c r="X34" s="113">
        <v>0.29997600000000002</v>
      </c>
      <c r="Y34" s="114" t="s">
        <v>80</v>
      </c>
      <c r="Z34" s="114"/>
      <c r="AA34" s="114"/>
    </row>
    <row r="35" spans="1:27" outlineLevel="1">
      <c r="A35" s="2549"/>
      <c r="B35" s="108">
        <v>0.2</v>
      </c>
      <c r="C35" s="115">
        <v>0.19997699999999999</v>
      </c>
      <c r="D35" s="103" t="s">
        <v>80</v>
      </c>
      <c r="E35" s="103"/>
      <c r="F35" s="103"/>
      <c r="G35" s="73" t="e">
        <f t="shared" ca="1" si="0"/>
        <v>#VALUE!</v>
      </c>
      <c r="H35" s="686">
        <v>45</v>
      </c>
      <c r="I35" s="809">
        <v>6.9999999999999999E-4</v>
      </c>
      <c r="J35" s="686" t="e">
        <f t="shared" ca="1" si="1"/>
        <v>#VALUE!</v>
      </c>
      <c r="M35" s="2549"/>
      <c r="N35" s="108">
        <v>0.2</v>
      </c>
      <c r="O35" s="115">
        <v>0.19997699999999999</v>
      </c>
      <c r="P35" s="103" t="s">
        <v>80</v>
      </c>
      <c r="Q35" s="103"/>
      <c r="R35" s="103"/>
      <c r="S35" s="73">
        <f t="shared" si="2"/>
        <v>0</v>
      </c>
      <c r="V35" s="2549"/>
      <c r="W35" s="108">
        <v>0.2</v>
      </c>
      <c r="X35" s="115">
        <v>0.19997699999999999</v>
      </c>
      <c r="Y35" s="103" t="s">
        <v>80</v>
      </c>
      <c r="Z35" s="103"/>
      <c r="AA35" s="103"/>
    </row>
    <row r="36" spans="1:27" outlineLevel="1">
      <c r="A36" s="2549"/>
      <c r="B36" s="116">
        <v>0.1</v>
      </c>
      <c r="C36" s="117">
        <v>9.9987599999999996E-2</v>
      </c>
      <c r="D36" s="118" t="s">
        <v>80</v>
      </c>
      <c r="E36" s="118"/>
      <c r="F36" s="118"/>
      <c r="G36" s="73" t="e">
        <f t="shared" ca="1" si="0"/>
        <v>#VALUE!</v>
      </c>
      <c r="H36" s="686">
        <v>45</v>
      </c>
      <c r="I36" s="809">
        <v>6.9999999999999999E-4</v>
      </c>
      <c r="J36" s="686" t="e">
        <f t="shared" ca="1" si="1"/>
        <v>#VALUE!</v>
      </c>
      <c r="M36" s="2549"/>
      <c r="N36" s="116">
        <v>0.1</v>
      </c>
      <c r="O36" s="117">
        <v>9.9987599999999996E-2</v>
      </c>
      <c r="P36" s="118" t="s">
        <v>80</v>
      </c>
      <c r="Q36" s="118"/>
      <c r="R36" s="118"/>
      <c r="S36" s="73">
        <f t="shared" si="2"/>
        <v>0</v>
      </c>
      <c r="V36" s="2549"/>
      <c r="W36" s="116">
        <v>0.1</v>
      </c>
      <c r="X36" s="117">
        <v>9.9987599999999996E-2</v>
      </c>
      <c r="Y36" s="118" t="s">
        <v>80</v>
      </c>
      <c r="Z36" s="118"/>
      <c r="AA36" s="118"/>
    </row>
    <row r="37" spans="1:27" outlineLevel="1">
      <c r="A37" s="2550">
        <v>10</v>
      </c>
      <c r="B37" s="70">
        <v>10</v>
      </c>
      <c r="C37" s="70">
        <v>10.001609999999999</v>
      </c>
      <c r="D37" s="70">
        <v>10.001519999999999</v>
      </c>
      <c r="E37" s="70"/>
      <c r="F37" s="70"/>
      <c r="G37" s="70">
        <f t="shared" ca="1" si="0"/>
        <v>3.9430633405473545E-4</v>
      </c>
      <c r="H37" s="686">
        <v>35</v>
      </c>
      <c r="I37" s="810">
        <v>4.0000000000000003E-5</v>
      </c>
      <c r="J37" s="686">
        <f t="shared" ca="1" si="1"/>
        <v>5.0000000000000002E-5</v>
      </c>
      <c r="M37" s="2550">
        <v>10</v>
      </c>
      <c r="N37" s="70">
        <v>10</v>
      </c>
      <c r="O37" s="70">
        <v>10.001609999999999</v>
      </c>
      <c r="P37" s="70">
        <v>10.001519999999999</v>
      </c>
      <c r="Q37" s="70"/>
      <c r="R37" s="70"/>
      <c r="S37" s="70">
        <f t="shared" si="2"/>
        <v>11.547344110854503</v>
      </c>
      <c r="V37" s="2550">
        <v>10</v>
      </c>
      <c r="W37" s="70">
        <v>10</v>
      </c>
      <c r="X37" s="70">
        <v>10.001609999999999</v>
      </c>
      <c r="Y37" s="70">
        <v>10.001519999999999</v>
      </c>
      <c r="Z37" s="70"/>
      <c r="AA37" s="70"/>
    </row>
    <row r="38" spans="1:27" outlineLevel="1">
      <c r="A38" s="2551"/>
      <c r="B38" s="70">
        <v>5</v>
      </c>
      <c r="C38" s="70">
        <v>5.0008299999999997</v>
      </c>
      <c r="D38" s="119" t="s">
        <v>80</v>
      </c>
      <c r="E38" s="119"/>
      <c r="F38" s="119"/>
      <c r="G38" s="70" t="e">
        <f t="shared" ca="1" si="0"/>
        <v>#VALUE!</v>
      </c>
      <c r="H38" s="686">
        <v>35</v>
      </c>
      <c r="I38" s="810">
        <v>4.0000000000000003E-5</v>
      </c>
      <c r="J38" s="686" t="e">
        <f t="shared" ca="1" si="1"/>
        <v>#VALUE!</v>
      </c>
      <c r="M38" s="2551"/>
      <c r="N38" s="70">
        <v>5</v>
      </c>
      <c r="O38" s="70">
        <v>5.0008299999999997</v>
      </c>
      <c r="P38" s="119" t="s">
        <v>80</v>
      </c>
      <c r="Q38" s="119"/>
      <c r="R38" s="119"/>
      <c r="S38" s="70">
        <f t="shared" si="2"/>
        <v>0</v>
      </c>
      <c r="V38" s="2551"/>
      <c r="W38" s="70">
        <v>5</v>
      </c>
      <c r="X38" s="70">
        <v>5.0008299999999997</v>
      </c>
      <c r="Y38" s="119" t="s">
        <v>80</v>
      </c>
      <c r="Z38" s="119"/>
      <c r="AA38" s="119"/>
    </row>
    <row r="39" spans="1:27" outlineLevel="1">
      <c r="A39" s="2551"/>
      <c r="B39" s="70">
        <v>1</v>
      </c>
      <c r="C39" s="70">
        <v>1.0001800000000001</v>
      </c>
      <c r="D39" s="119" t="s">
        <v>80</v>
      </c>
      <c r="E39" s="119"/>
      <c r="F39" s="119"/>
      <c r="G39" s="70" t="e">
        <f t="shared" ca="1" si="0"/>
        <v>#VALUE!</v>
      </c>
      <c r="H39" s="686">
        <v>35</v>
      </c>
      <c r="I39" s="811">
        <v>6.9999999999999999E-6</v>
      </c>
      <c r="J39" s="686" t="e">
        <f t="shared" ca="1" si="1"/>
        <v>#VALUE!</v>
      </c>
      <c r="M39" s="2551"/>
      <c r="N39" s="70">
        <v>1</v>
      </c>
      <c r="O39" s="70">
        <v>1.0001800000000001</v>
      </c>
      <c r="P39" s="119" t="s">
        <v>80</v>
      </c>
      <c r="Q39" s="119"/>
      <c r="R39" s="119"/>
      <c r="S39" s="70">
        <f t="shared" si="2"/>
        <v>0</v>
      </c>
      <c r="V39" s="2551"/>
      <c r="W39" s="70">
        <v>1</v>
      </c>
      <c r="X39" s="70">
        <v>1.0001800000000001</v>
      </c>
      <c r="Y39" s="119" t="s">
        <v>80</v>
      </c>
      <c r="Z39" s="119"/>
      <c r="AA39" s="119"/>
    </row>
    <row r="40" spans="1:27" outlineLevel="1">
      <c r="A40" s="2550">
        <v>100</v>
      </c>
      <c r="B40" s="93">
        <v>100</v>
      </c>
      <c r="C40" s="93">
        <v>99.987700000000004</v>
      </c>
      <c r="D40" s="93">
        <v>99.9846</v>
      </c>
      <c r="E40" s="93"/>
      <c r="F40" s="93"/>
      <c r="G40" s="93">
        <f t="shared" ca="1" si="0"/>
        <v>5.2314048587734511E-3</v>
      </c>
      <c r="H40" s="2">
        <v>45</v>
      </c>
      <c r="I40" s="381">
        <v>6.9999999999999999E-4</v>
      </c>
      <c r="J40" s="2">
        <f t="shared" ca="1" si="1"/>
        <v>5.0000000000000001E-4</v>
      </c>
      <c r="M40" s="2550">
        <v>100</v>
      </c>
      <c r="N40" s="93">
        <v>100</v>
      </c>
      <c r="O40" s="93">
        <v>99.987700000000004</v>
      </c>
      <c r="P40" s="93">
        <v>99.9846</v>
      </c>
      <c r="Q40" s="93"/>
      <c r="R40" s="93"/>
      <c r="S40" s="93">
        <f t="shared" si="2"/>
        <v>115.47344110854503</v>
      </c>
      <c r="V40" s="2550">
        <v>100</v>
      </c>
      <c r="W40" s="93">
        <v>100</v>
      </c>
      <c r="X40" s="93">
        <v>99.987700000000004</v>
      </c>
      <c r="Y40" s="93">
        <v>99.9846</v>
      </c>
      <c r="Z40" s="93"/>
      <c r="AA40" s="93"/>
    </row>
    <row r="41" spans="1:27" outlineLevel="1">
      <c r="A41" s="2551"/>
      <c r="B41" s="93">
        <v>50</v>
      </c>
      <c r="C41" s="93">
        <v>49.994199999999999</v>
      </c>
      <c r="D41" s="100" t="s">
        <v>80</v>
      </c>
      <c r="E41" s="100"/>
      <c r="F41" s="100"/>
      <c r="G41" s="93" t="e">
        <f t="shared" ca="1" si="0"/>
        <v>#VALUE!</v>
      </c>
      <c r="H41" s="2">
        <v>45</v>
      </c>
      <c r="I41" s="381">
        <v>6.9999999999999999E-4</v>
      </c>
      <c r="J41" s="2" t="e">
        <f t="shared" ca="1" si="1"/>
        <v>#VALUE!</v>
      </c>
      <c r="M41" s="2551"/>
      <c r="N41" s="93">
        <v>50</v>
      </c>
      <c r="O41" s="93">
        <v>49.994199999999999</v>
      </c>
      <c r="P41" s="100" t="s">
        <v>80</v>
      </c>
      <c r="Q41" s="100"/>
      <c r="R41" s="100"/>
      <c r="S41" s="93">
        <f t="shared" si="2"/>
        <v>0</v>
      </c>
      <c r="V41" s="2551"/>
      <c r="W41" s="93">
        <v>50</v>
      </c>
      <c r="X41" s="93">
        <v>49.994199999999999</v>
      </c>
      <c r="Y41" s="100" t="s">
        <v>80</v>
      </c>
      <c r="Z41" s="100"/>
      <c r="AA41" s="100"/>
    </row>
    <row r="42" spans="1:27" outlineLevel="1">
      <c r="A42" s="2551"/>
      <c r="B42" s="93">
        <v>10</v>
      </c>
      <c r="C42" s="93">
        <v>10.001609999999999</v>
      </c>
      <c r="D42" s="100" t="s">
        <v>80</v>
      </c>
      <c r="E42" s="100"/>
      <c r="F42" s="100"/>
      <c r="G42" s="93" t="e">
        <f t="shared" ca="1" si="0"/>
        <v>#VALUE!</v>
      </c>
      <c r="H42" s="2">
        <v>35</v>
      </c>
      <c r="I42" s="382">
        <v>4.0000000000000003E-5</v>
      </c>
      <c r="J42" s="2" t="e">
        <f t="shared" ca="1" si="1"/>
        <v>#VALUE!</v>
      </c>
      <c r="M42" s="2551"/>
      <c r="N42" s="93">
        <v>10</v>
      </c>
      <c r="O42" s="93">
        <v>10.001609999999999</v>
      </c>
      <c r="P42" s="100" t="s">
        <v>80</v>
      </c>
      <c r="Q42" s="100"/>
      <c r="R42" s="100"/>
      <c r="S42" s="93">
        <f t="shared" si="2"/>
        <v>0</v>
      </c>
      <c r="V42" s="2551"/>
      <c r="W42" s="93">
        <v>10</v>
      </c>
      <c r="X42" s="93">
        <v>10.001609999999999</v>
      </c>
      <c r="Y42" s="100" t="s">
        <v>80</v>
      </c>
      <c r="Z42" s="100"/>
      <c r="AA42" s="100"/>
    </row>
    <row r="43" spans="1:27" outlineLevel="1">
      <c r="A43" s="2556">
        <v>3</v>
      </c>
      <c r="B43" s="812">
        <v>3</v>
      </c>
      <c r="C43" s="812">
        <v>3.0001000000000002</v>
      </c>
      <c r="D43" s="812">
        <v>2.9996999999999998</v>
      </c>
      <c r="E43" s="812"/>
      <c r="F43" s="812"/>
      <c r="G43" s="95">
        <f t="shared" ca="1" si="0"/>
        <v>1.5611040484850337E-3</v>
      </c>
      <c r="H43" s="2">
        <v>360</v>
      </c>
      <c r="I43" s="380">
        <v>4.8000000000000001E-4</v>
      </c>
      <c r="J43" s="2">
        <f t="shared" ca="1" si="1"/>
        <v>5.0000000000000002E-5</v>
      </c>
      <c r="M43" s="2556">
        <v>3</v>
      </c>
      <c r="N43" s="812">
        <v>3</v>
      </c>
      <c r="O43" s="812">
        <v>3.0001000000000002</v>
      </c>
      <c r="P43" s="812">
        <v>2.9996999999999998</v>
      </c>
      <c r="Q43" s="812"/>
      <c r="R43" s="812"/>
      <c r="S43" s="95">
        <f t="shared" si="2"/>
        <v>3.464203233256351</v>
      </c>
      <c r="V43" s="2556">
        <v>3</v>
      </c>
      <c r="W43" s="812">
        <v>3</v>
      </c>
      <c r="X43" s="812">
        <v>3.0001000000000002</v>
      </c>
      <c r="Y43" s="812">
        <v>2.9996999999999998</v>
      </c>
      <c r="Z43" s="812"/>
      <c r="AA43" s="812"/>
    </row>
    <row r="44" spans="1:27" outlineLevel="1">
      <c r="A44" s="2557"/>
      <c r="B44" s="812">
        <v>2</v>
      </c>
      <c r="C44" s="812">
        <v>1.9998</v>
      </c>
      <c r="D44" s="813" t="s">
        <v>80</v>
      </c>
      <c r="E44" s="813"/>
      <c r="F44" s="813"/>
      <c r="G44" s="95" t="e">
        <f t="shared" ca="1" si="0"/>
        <v>#VALUE!</v>
      </c>
      <c r="H44" s="2">
        <v>80</v>
      </c>
      <c r="I44" s="380">
        <v>1.0000000000000001E-5</v>
      </c>
      <c r="J44" s="2" t="e">
        <f t="shared" ca="1" si="1"/>
        <v>#VALUE!</v>
      </c>
      <c r="M44" s="2557"/>
      <c r="N44" s="812">
        <v>2</v>
      </c>
      <c r="O44" s="812">
        <v>1.9998</v>
      </c>
      <c r="P44" s="813" t="s">
        <v>80</v>
      </c>
      <c r="Q44" s="813"/>
      <c r="R44" s="813"/>
      <c r="S44" s="95">
        <f t="shared" si="2"/>
        <v>0</v>
      </c>
      <c r="V44" s="2557"/>
      <c r="W44" s="812">
        <v>2</v>
      </c>
      <c r="X44" s="812">
        <v>1.9998</v>
      </c>
      <c r="Y44" s="813" t="s">
        <v>80</v>
      </c>
      <c r="Z44" s="813"/>
      <c r="AA44" s="813"/>
    </row>
    <row r="45" spans="1:27" outlineLevel="1">
      <c r="A45" s="2558"/>
      <c r="B45" s="812">
        <v>1</v>
      </c>
      <c r="C45" s="812">
        <v>0.99992000000000003</v>
      </c>
      <c r="D45" s="813" t="s">
        <v>80</v>
      </c>
      <c r="E45" s="813"/>
      <c r="F45" s="813"/>
      <c r="G45" s="95" t="e">
        <f t="shared" ca="1" si="0"/>
        <v>#VALUE!</v>
      </c>
      <c r="H45" s="2">
        <v>80</v>
      </c>
      <c r="I45" s="380">
        <v>1.0000000000000001E-5</v>
      </c>
      <c r="J45" s="2" t="e">
        <f t="shared" ca="1" si="1"/>
        <v>#VALUE!</v>
      </c>
      <c r="M45" s="2558"/>
      <c r="N45" s="812">
        <v>1</v>
      </c>
      <c r="O45" s="812">
        <v>0.99992000000000003</v>
      </c>
      <c r="P45" s="813" t="s">
        <v>80</v>
      </c>
      <c r="Q45" s="813"/>
      <c r="R45" s="813"/>
      <c r="S45" s="95">
        <f t="shared" si="2"/>
        <v>0</v>
      </c>
      <c r="V45" s="2558"/>
      <c r="W45" s="812">
        <v>1</v>
      </c>
      <c r="X45" s="812">
        <v>0.99992000000000003</v>
      </c>
      <c r="Y45" s="813" t="s">
        <v>80</v>
      </c>
      <c r="Z45" s="813"/>
      <c r="AA45" s="813"/>
    </row>
    <row r="46" spans="1:27" outlineLevel="1"/>
    <row r="47" spans="1:27" outlineLevel="1"/>
    <row r="48" spans="1:27" outlineLevel="1">
      <c r="A48" s="702"/>
    </row>
    <row r="49" spans="1:42" outlineLevel="1">
      <c r="B49" s="702"/>
    </row>
    <row r="50" spans="1:42">
      <c r="A50" s="703" t="s">
        <v>2134</v>
      </c>
    </row>
    <row r="51" spans="1:42" ht="15.75">
      <c r="A51" s="194" t="s">
        <v>2144</v>
      </c>
      <c r="B51" s="171"/>
      <c r="C51" s="791" t="s">
        <v>2145</v>
      </c>
      <c r="D51" s="172"/>
      <c r="E51" s="172"/>
      <c r="F51" s="172"/>
      <c r="G51" s="172"/>
      <c r="H51" s="172"/>
      <c r="I51" s="172"/>
      <c r="J51" s="173"/>
      <c r="K51" s="173"/>
      <c r="L51" s="173"/>
      <c r="M51" s="792"/>
    </row>
    <row r="52" spans="1:42" ht="15.75" customHeight="1" outlineLevel="1">
      <c r="A52" s="2428" t="s">
        <v>2137</v>
      </c>
      <c r="B52" s="2446"/>
      <c r="C52" s="2449" t="s">
        <v>2146</v>
      </c>
      <c r="D52" s="2449"/>
      <c r="E52" s="2449"/>
      <c r="F52" s="2449" t="s">
        <v>2147</v>
      </c>
      <c r="G52" s="2449"/>
      <c r="H52" s="2449"/>
      <c r="I52" s="2487" t="s">
        <v>1933</v>
      </c>
      <c r="J52" s="2488"/>
      <c r="K52" s="2488"/>
      <c r="L52" s="793" t="s">
        <v>1874</v>
      </c>
      <c r="N52" s="702" t="s">
        <v>2148</v>
      </c>
    </row>
    <row r="53" spans="1:42" ht="18.75" outlineLevel="1">
      <c r="A53" s="2447"/>
      <c r="B53" s="2448"/>
      <c r="C53" s="174" t="s">
        <v>2149</v>
      </c>
      <c r="D53" s="192" t="s">
        <v>2150</v>
      </c>
      <c r="E53" s="192" t="s">
        <v>2151</v>
      </c>
      <c r="F53" s="174" t="s">
        <v>2149</v>
      </c>
      <c r="G53" s="192" t="s">
        <v>2150</v>
      </c>
      <c r="H53" s="192" t="s">
        <v>2151</v>
      </c>
      <c r="I53" s="174" t="s">
        <v>2149</v>
      </c>
      <c r="J53" s="192" t="s">
        <v>2150</v>
      </c>
      <c r="K53" s="192" t="s">
        <v>2151</v>
      </c>
      <c r="L53" s="793" t="s">
        <v>2143</v>
      </c>
      <c r="N53" s="794" t="s">
        <v>2152</v>
      </c>
    </row>
    <row r="54" spans="1:42" ht="15.75" outlineLevel="1">
      <c r="A54" s="2544">
        <v>800</v>
      </c>
      <c r="B54" s="2545"/>
      <c r="C54" s="175">
        <v>799.96</v>
      </c>
      <c r="D54" s="175">
        <v>799.73</v>
      </c>
      <c r="E54" s="175">
        <v>799.97</v>
      </c>
      <c r="F54" s="193">
        <v>800</v>
      </c>
      <c r="G54" s="193">
        <v>800</v>
      </c>
      <c r="H54" s="193">
        <v>800</v>
      </c>
      <c r="I54" s="176">
        <f t="shared" ref="I54:K63" si="3">(C54-F54)/F54*100</f>
        <v>-4.9999999999954525E-3</v>
      </c>
      <c r="J54" s="176">
        <f t="shared" si="3"/>
        <v>-3.3749999999997726E-2</v>
      </c>
      <c r="K54" s="176">
        <f t="shared" si="3"/>
        <v>-3.7499999999965894E-3</v>
      </c>
      <c r="L54" s="2528"/>
      <c r="N54" s="721" t="s">
        <v>2153</v>
      </c>
    </row>
    <row r="55" spans="1:42" ht="15.75" outlineLevel="1">
      <c r="A55" s="2546"/>
      <c r="B55" s="2547"/>
      <c r="C55" s="175">
        <v>720.01</v>
      </c>
      <c r="D55" s="175">
        <v>719.73</v>
      </c>
      <c r="E55" s="175">
        <v>720</v>
      </c>
      <c r="F55" s="193">
        <v>720</v>
      </c>
      <c r="G55" s="193">
        <v>720</v>
      </c>
      <c r="H55" s="193">
        <v>720</v>
      </c>
      <c r="I55" s="176">
        <f t="shared" si="3"/>
        <v>1.3888888888876256E-3</v>
      </c>
      <c r="J55" s="176">
        <f t="shared" si="3"/>
        <v>-3.7499999999997473E-2</v>
      </c>
      <c r="K55" s="176">
        <f t="shared" si="3"/>
        <v>0</v>
      </c>
      <c r="L55" s="2529"/>
    </row>
    <row r="56" spans="1:42" ht="18.75" outlineLevel="1">
      <c r="A56" s="2546"/>
      <c r="B56" s="2547"/>
      <c r="C56" s="175">
        <v>639.96</v>
      </c>
      <c r="D56" s="175">
        <v>639.72</v>
      </c>
      <c r="E56" s="175">
        <v>639.97</v>
      </c>
      <c r="F56" s="193">
        <v>640</v>
      </c>
      <c r="G56" s="193">
        <v>640</v>
      </c>
      <c r="H56" s="193">
        <v>640</v>
      </c>
      <c r="I56" s="176">
        <f t="shared" si="3"/>
        <v>-6.2499999999943165E-3</v>
      </c>
      <c r="J56" s="176">
        <f t="shared" si="3"/>
        <v>-4.3749999999995737E-2</v>
      </c>
      <c r="K56" s="176">
        <f t="shared" si="3"/>
        <v>-4.6874999999957367E-3</v>
      </c>
      <c r="L56" s="2529"/>
      <c r="N56" s="702" t="s">
        <v>2154</v>
      </c>
    </row>
    <row r="57" spans="1:42" ht="18.75" outlineLevel="1">
      <c r="A57" s="2546"/>
      <c r="B57" s="2547"/>
      <c r="C57" s="175">
        <v>559.92999999999995</v>
      </c>
      <c r="D57" s="175">
        <v>559.73</v>
      </c>
      <c r="E57" s="175">
        <v>559.94000000000005</v>
      </c>
      <c r="F57" s="193">
        <v>560</v>
      </c>
      <c r="G57" s="193">
        <v>560</v>
      </c>
      <c r="H57" s="193">
        <v>560</v>
      </c>
      <c r="I57" s="176">
        <f t="shared" si="3"/>
        <v>-1.2500000000008931E-2</v>
      </c>
      <c r="J57" s="176">
        <f t="shared" si="3"/>
        <v>-4.8214285714282469E-2</v>
      </c>
      <c r="K57" s="176">
        <f t="shared" si="3"/>
        <v>-1.0714285714275969E-2</v>
      </c>
      <c r="L57" s="2529"/>
      <c r="O57" s="702" t="s">
        <v>2155</v>
      </c>
    </row>
    <row r="58" spans="1:42" ht="15.75" outlineLevel="1">
      <c r="A58" s="2546"/>
      <c r="B58" s="2547"/>
      <c r="C58" s="175">
        <v>479.92</v>
      </c>
      <c r="D58" s="175">
        <v>479.74</v>
      </c>
      <c r="E58" s="175">
        <v>479.94</v>
      </c>
      <c r="F58" s="193">
        <v>480</v>
      </c>
      <c r="G58" s="193">
        <v>480</v>
      </c>
      <c r="H58" s="193">
        <v>480</v>
      </c>
      <c r="I58" s="176">
        <f t="shared" si="3"/>
        <v>-1.666666666666335E-2</v>
      </c>
      <c r="J58" s="176">
        <f t="shared" si="3"/>
        <v>-5.4166666666664767E-2</v>
      </c>
      <c r="K58" s="176">
        <f t="shared" si="3"/>
        <v>-1.2500000000000474E-2</v>
      </c>
      <c r="L58" s="2529"/>
      <c r="N58" s="702" t="s">
        <v>2156</v>
      </c>
    </row>
    <row r="59" spans="1:42" ht="15.75" outlineLevel="1">
      <c r="A59" s="2546"/>
      <c r="B59" s="2547"/>
      <c r="C59" s="175">
        <v>399.92</v>
      </c>
      <c r="D59" s="175">
        <v>399.76</v>
      </c>
      <c r="E59" s="175">
        <v>399.94</v>
      </c>
      <c r="F59" s="193">
        <v>400</v>
      </c>
      <c r="G59" s="193">
        <v>400</v>
      </c>
      <c r="H59" s="193">
        <v>400</v>
      </c>
      <c r="I59" s="176">
        <f t="shared" si="3"/>
        <v>-1.9999999999996021E-2</v>
      </c>
      <c r="J59" s="176">
        <f t="shared" si="3"/>
        <v>-6.0000000000002274E-2</v>
      </c>
      <c r="K59" s="176">
        <f t="shared" si="3"/>
        <v>-1.5000000000000568E-2</v>
      </c>
      <c r="L59" s="2529"/>
      <c r="V59" s="2492" t="s">
        <v>2157</v>
      </c>
      <c r="W59" s="2492"/>
      <c r="X59" s="2492"/>
      <c r="AF59" s="703" t="s">
        <v>2158</v>
      </c>
    </row>
    <row r="60" spans="1:42" ht="15.75" customHeight="1" outlineLevel="1">
      <c r="A60" s="2546"/>
      <c r="B60" s="2547"/>
      <c r="C60" s="175">
        <v>319.92</v>
      </c>
      <c r="D60" s="175">
        <v>319.77999999999997</v>
      </c>
      <c r="E60" s="175">
        <v>319.93</v>
      </c>
      <c r="F60" s="193">
        <v>320</v>
      </c>
      <c r="G60" s="193">
        <v>320</v>
      </c>
      <c r="H60" s="193">
        <v>320</v>
      </c>
      <c r="I60" s="176">
        <f t="shared" si="3"/>
        <v>-2.4999999999995023E-2</v>
      </c>
      <c r="J60" s="176">
        <f t="shared" si="3"/>
        <v>-6.8750000000008527E-2</v>
      </c>
      <c r="K60" s="176">
        <f t="shared" si="3"/>
        <v>-2.1874999999997868E-2</v>
      </c>
      <c r="L60" s="2529"/>
      <c r="R60" s="2428" t="s">
        <v>2070</v>
      </c>
      <c r="S60" s="2446"/>
      <c r="T60" s="2449" t="s">
        <v>2159</v>
      </c>
      <c r="U60" s="2449"/>
      <c r="V60" s="2449"/>
      <c r="W60" s="2449" t="s">
        <v>2147</v>
      </c>
      <c r="X60" s="2449"/>
      <c r="Y60" s="2449"/>
      <c r="Z60" s="2487" t="s">
        <v>1933</v>
      </c>
      <c r="AA60" s="2488"/>
      <c r="AB60" s="2488"/>
      <c r="AC60" s="793" t="s">
        <v>1874</v>
      </c>
      <c r="AF60" s="2428" t="s">
        <v>2070</v>
      </c>
      <c r="AG60" s="2446"/>
      <c r="AH60" s="2449" t="s">
        <v>2159</v>
      </c>
      <c r="AI60" s="2449"/>
      <c r="AJ60" s="2449"/>
      <c r="AK60" s="2449" t="s">
        <v>2147</v>
      </c>
      <c r="AL60" s="2449"/>
      <c r="AM60" s="2449"/>
      <c r="AN60" s="2487" t="s">
        <v>1933</v>
      </c>
      <c r="AO60" s="2488"/>
      <c r="AP60" s="2488"/>
    </row>
    <row r="61" spans="1:42" ht="18.75" outlineLevel="1">
      <c r="A61" s="2546"/>
      <c r="B61" s="2547"/>
      <c r="C61" s="175">
        <v>239.93</v>
      </c>
      <c r="D61" s="175">
        <v>239.81</v>
      </c>
      <c r="E61" s="175">
        <v>239.94</v>
      </c>
      <c r="F61" s="193">
        <v>240</v>
      </c>
      <c r="G61" s="193">
        <v>240</v>
      </c>
      <c r="H61" s="193">
        <v>240</v>
      </c>
      <c r="I61" s="176">
        <f t="shared" si="3"/>
        <v>-2.9166666666663822E-2</v>
      </c>
      <c r="J61" s="176">
        <f t="shared" si="3"/>
        <v>-7.9166666666665719E-2</v>
      </c>
      <c r="K61" s="176">
        <f t="shared" si="3"/>
        <v>-2.5000000000000949E-2</v>
      </c>
      <c r="L61" s="2529"/>
      <c r="R61" s="2447"/>
      <c r="S61" s="2448"/>
      <c r="T61" s="174" t="s">
        <v>2149</v>
      </c>
      <c r="U61" s="192" t="s">
        <v>2150</v>
      </c>
      <c r="V61" s="192" t="s">
        <v>2151</v>
      </c>
      <c r="W61" s="174" t="s">
        <v>2149</v>
      </c>
      <c r="X61" s="192" t="s">
        <v>2150</v>
      </c>
      <c r="Y61" s="192" t="s">
        <v>2151</v>
      </c>
      <c r="Z61" s="174" t="s">
        <v>2149</v>
      </c>
      <c r="AA61" s="192" t="s">
        <v>2150</v>
      </c>
      <c r="AB61" s="192" t="s">
        <v>2151</v>
      </c>
      <c r="AC61" s="793" t="s">
        <v>2143</v>
      </c>
      <c r="AF61" s="2447"/>
      <c r="AG61" s="2448"/>
      <c r="AH61" s="174" t="s">
        <v>2149</v>
      </c>
      <c r="AI61" s="192" t="s">
        <v>2150</v>
      </c>
      <c r="AJ61" s="192" t="s">
        <v>2151</v>
      </c>
      <c r="AK61" s="174" t="s">
        <v>2149</v>
      </c>
      <c r="AL61" s="192" t="s">
        <v>2150</v>
      </c>
      <c r="AM61" s="192" t="s">
        <v>2151</v>
      </c>
      <c r="AN61" s="174" t="s">
        <v>2149</v>
      </c>
      <c r="AO61" s="192" t="s">
        <v>2150</v>
      </c>
      <c r="AP61" s="192" t="s">
        <v>2151</v>
      </c>
    </row>
    <row r="62" spans="1:42" ht="15.75" outlineLevel="1">
      <c r="A62" s="2546"/>
      <c r="B62" s="2547"/>
      <c r="C62" s="175">
        <v>159.94</v>
      </c>
      <c r="D62" s="175">
        <v>159.82</v>
      </c>
      <c r="E62" s="175">
        <v>159.94</v>
      </c>
      <c r="F62" s="193">
        <v>160</v>
      </c>
      <c r="G62" s="193">
        <v>160</v>
      </c>
      <c r="H62" s="193">
        <v>160</v>
      </c>
      <c r="I62" s="176">
        <f t="shared" si="3"/>
        <v>-3.7500000000001421E-2</v>
      </c>
      <c r="J62" s="176">
        <f t="shared" si="3"/>
        <v>-0.11250000000000426</v>
      </c>
      <c r="K62" s="176">
        <f t="shared" si="3"/>
        <v>-3.7500000000001421E-2</v>
      </c>
      <c r="L62" s="2529"/>
      <c r="R62" s="2544">
        <v>800</v>
      </c>
      <c r="S62" s="2545"/>
      <c r="T62" s="175">
        <v>799.96</v>
      </c>
      <c r="U62" s="175">
        <v>799.73</v>
      </c>
      <c r="V62" s="175">
        <v>799.97</v>
      </c>
      <c r="W62" s="193">
        <v>800</v>
      </c>
      <c r="X62" s="193">
        <v>800</v>
      </c>
      <c r="Y62" s="193">
        <v>800</v>
      </c>
      <c r="Z62" s="176">
        <f t="shared" ref="Z62:AB66" si="4">(T62-W62)/W62*100</f>
        <v>-4.9999999999954525E-3</v>
      </c>
      <c r="AA62" s="176">
        <f t="shared" si="4"/>
        <v>-3.3749999999997726E-2</v>
      </c>
      <c r="AB62" s="176">
        <f t="shared" si="4"/>
        <v>-3.7499999999965894E-3</v>
      </c>
      <c r="AC62" s="2528"/>
      <c r="AF62" s="2544">
        <v>800</v>
      </c>
      <c r="AG62" s="2545"/>
      <c r="AH62" s="175">
        <v>799.96</v>
      </c>
      <c r="AI62" s="175">
        <v>799.73</v>
      </c>
      <c r="AJ62" s="175">
        <v>799.97</v>
      </c>
      <c r="AK62" s="193">
        <v>800</v>
      </c>
      <c r="AL62" s="193">
        <v>800</v>
      </c>
      <c r="AM62" s="193">
        <v>800</v>
      </c>
      <c r="AN62" s="176">
        <f t="shared" ref="AN62:AP66" si="5">(AH62-AK62)/AK62*100</f>
        <v>-4.9999999999954525E-3</v>
      </c>
      <c r="AO62" s="176">
        <f t="shared" si="5"/>
        <v>-3.3749999999997726E-2</v>
      </c>
      <c r="AP62" s="176">
        <f t="shared" si="5"/>
        <v>-3.7499999999965894E-3</v>
      </c>
    </row>
    <row r="63" spans="1:42" ht="15.75" outlineLevel="1">
      <c r="A63" s="2553"/>
      <c r="B63" s="2554"/>
      <c r="C63" s="175">
        <v>79.94</v>
      </c>
      <c r="D63" s="175">
        <v>79.83</v>
      </c>
      <c r="E63" s="175">
        <v>79.930000000000007</v>
      </c>
      <c r="F63" s="193">
        <v>80</v>
      </c>
      <c r="G63" s="193">
        <v>80</v>
      </c>
      <c r="H63" s="193">
        <v>80</v>
      </c>
      <c r="I63" s="176">
        <f t="shared" si="3"/>
        <v>-7.5000000000002842E-2</v>
      </c>
      <c r="J63" s="176">
        <f t="shared" si="3"/>
        <v>-0.21250000000000213</v>
      </c>
      <c r="K63" s="176">
        <f t="shared" si="3"/>
        <v>-8.7499999999991473E-2</v>
      </c>
      <c r="L63" s="2530"/>
      <c r="R63" s="2546"/>
      <c r="S63" s="2547"/>
      <c r="T63" s="175">
        <v>720.01</v>
      </c>
      <c r="U63" s="175">
        <v>719.73</v>
      </c>
      <c r="V63" s="175">
        <v>720</v>
      </c>
      <c r="W63" s="193">
        <v>720</v>
      </c>
      <c r="X63" s="193">
        <v>720</v>
      </c>
      <c r="Y63" s="193">
        <v>720</v>
      </c>
      <c r="Z63" s="176">
        <f t="shared" si="4"/>
        <v>1.3888888888876256E-3</v>
      </c>
      <c r="AA63" s="176">
        <f t="shared" si="4"/>
        <v>-3.7499999999997473E-2</v>
      </c>
      <c r="AB63" s="176">
        <f t="shared" si="4"/>
        <v>0</v>
      </c>
      <c r="AC63" s="2529"/>
      <c r="AF63" s="2546"/>
      <c r="AG63" s="2547"/>
      <c r="AH63" s="175">
        <v>720.01</v>
      </c>
      <c r="AI63" s="175">
        <v>719.73</v>
      </c>
      <c r="AJ63" s="175">
        <v>720</v>
      </c>
      <c r="AK63" s="193">
        <v>720</v>
      </c>
      <c r="AL63" s="193">
        <v>720</v>
      </c>
      <c r="AM63" s="193">
        <v>720</v>
      </c>
      <c r="AN63" s="176">
        <f t="shared" si="5"/>
        <v>1.3888888888876256E-3</v>
      </c>
      <c r="AO63" s="176">
        <f t="shared" si="5"/>
        <v>-3.7499999999997473E-2</v>
      </c>
      <c r="AP63" s="176">
        <f t="shared" si="5"/>
        <v>0</v>
      </c>
    </row>
    <row r="64" spans="1:42" ht="15.75" customHeight="1" outlineLevel="1">
      <c r="R64" s="2546"/>
      <c r="S64" s="2547"/>
      <c r="T64" s="175">
        <v>639.96</v>
      </c>
      <c r="U64" s="175">
        <v>639.72</v>
      </c>
      <c r="V64" s="175">
        <v>639.97</v>
      </c>
      <c r="W64" s="193">
        <v>640</v>
      </c>
      <c r="X64" s="193">
        <v>640</v>
      </c>
      <c r="Y64" s="193">
        <v>640</v>
      </c>
      <c r="Z64" s="176">
        <f t="shared" si="4"/>
        <v>-6.2499999999943165E-3</v>
      </c>
      <c r="AA64" s="176">
        <f t="shared" si="4"/>
        <v>-4.3749999999995737E-2</v>
      </c>
      <c r="AB64" s="176">
        <f t="shared" si="4"/>
        <v>-4.6874999999957367E-3</v>
      </c>
      <c r="AC64" s="2529"/>
      <c r="AF64" s="2546"/>
      <c r="AG64" s="2547"/>
      <c r="AH64" s="175">
        <v>639.96</v>
      </c>
      <c r="AI64" s="175">
        <v>639.72</v>
      </c>
      <c r="AJ64" s="175">
        <v>639.97</v>
      </c>
      <c r="AK64" s="193">
        <v>640</v>
      </c>
      <c r="AL64" s="193">
        <v>640</v>
      </c>
      <c r="AM64" s="193">
        <v>640</v>
      </c>
      <c r="AN64" s="176">
        <f t="shared" si="5"/>
        <v>-6.2499999999943165E-3</v>
      </c>
      <c r="AO64" s="176">
        <f t="shared" si="5"/>
        <v>-4.3749999999995737E-2</v>
      </c>
      <c r="AP64" s="176">
        <f t="shared" si="5"/>
        <v>-4.6874999999957367E-3</v>
      </c>
    </row>
    <row r="65" spans="18:42" ht="15.75" outlineLevel="1">
      <c r="R65" s="2546"/>
      <c r="S65" s="2547"/>
      <c r="T65" s="175">
        <v>559.92999999999995</v>
      </c>
      <c r="U65" s="175">
        <v>559.73</v>
      </c>
      <c r="V65" s="175">
        <v>559.94000000000005</v>
      </c>
      <c r="W65" s="193">
        <v>560</v>
      </c>
      <c r="X65" s="193">
        <v>560</v>
      </c>
      <c r="Y65" s="193">
        <v>560</v>
      </c>
      <c r="Z65" s="176">
        <f t="shared" si="4"/>
        <v>-1.2500000000008931E-2</v>
      </c>
      <c r="AA65" s="176">
        <f t="shared" si="4"/>
        <v>-4.8214285714282469E-2</v>
      </c>
      <c r="AB65" s="176">
        <f t="shared" si="4"/>
        <v>-1.0714285714275969E-2</v>
      </c>
      <c r="AC65" s="2529"/>
      <c r="AF65" s="2546"/>
      <c r="AG65" s="2547"/>
      <c r="AH65" s="175">
        <v>559.92999999999995</v>
      </c>
      <c r="AI65" s="175">
        <v>559.73</v>
      </c>
      <c r="AJ65" s="175">
        <v>559.94000000000005</v>
      </c>
      <c r="AK65" s="193">
        <v>560</v>
      </c>
      <c r="AL65" s="193">
        <v>560</v>
      </c>
      <c r="AM65" s="193">
        <v>560</v>
      </c>
      <c r="AN65" s="176">
        <f t="shared" si="5"/>
        <v>-1.2500000000008931E-2</v>
      </c>
      <c r="AO65" s="176">
        <f t="shared" si="5"/>
        <v>-4.8214285714282469E-2</v>
      </c>
      <c r="AP65" s="176">
        <f t="shared" si="5"/>
        <v>-1.0714285714275969E-2</v>
      </c>
    </row>
    <row r="66" spans="18:42" ht="15.75" outlineLevel="1">
      <c r="R66" s="2546"/>
      <c r="S66" s="2547"/>
      <c r="T66" s="175">
        <v>479.92</v>
      </c>
      <c r="U66" s="175">
        <v>479.74</v>
      </c>
      <c r="V66" s="175">
        <v>479.94</v>
      </c>
      <c r="W66" s="193">
        <v>480</v>
      </c>
      <c r="X66" s="193">
        <v>480</v>
      </c>
      <c r="Y66" s="193">
        <v>480</v>
      </c>
      <c r="Z66" s="176">
        <f t="shared" si="4"/>
        <v>-1.666666666666335E-2</v>
      </c>
      <c r="AA66" s="176">
        <f t="shared" si="4"/>
        <v>-5.4166666666664767E-2</v>
      </c>
      <c r="AB66" s="176">
        <f t="shared" si="4"/>
        <v>-1.2500000000000474E-2</v>
      </c>
      <c r="AC66" s="2529"/>
      <c r="AF66" s="2546"/>
      <c r="AG66" s="2547"/>
      <c r="AH66" s="175">
        <v>479.92</v>
      </c>
      <c r="AI66" s="175">
        <v>479.74</v>
      </c>
      <c r="AJ66" s="175">
        <v>479.94</v>
      </c>
      <c r="AK66" s="193">
        <v>480</v>
      </c>
      <c r="AL66" s="193">
        <v>480</v>
      </c>
      <c r="AM66" s="193">
        <v>480</v>
      </c>
      <c r="AN66" s="176">
        <f t="shared" si="5"/>
        <v>-1.666666666666335E-2</v>
      </c>
      <c r="AO66" s="176">
        <f t="shared" si="5"/>
        <v>-5.4166666666664767E-2</v>
      </c>
      <c r="AP66" s="176">
        <f t="shared" si="5"/>
        <v>-1.2500000000000474E-2</v>
      </c>
    </row>
    <row r="67" spans="18:42" outlineLevel="1"/>
    <row r="68" spans="18:42" outlineLevel="1"/>
    <row r="69" spans="18:42" outlineLevel="1"/>
    <row r="70" spans="18:42" outlineLevel="1"/>
    <row r="71" spans="18:42" outlineLevel="1"/>
    <row r="72" spans="18:42" outlineLevel="1"/>
    <row r="73" spans="18:42" outlineLevel="1"/>
    <row r="74" spans="18:42" outlineLevel="1"/>
    <row r="75" spans="18:42" outlineLevel="1"/>
    <row r="76" spans="18:42" outlineLevel="1"/>
    <row r="77" spans="18:42" outlineLevel="1"/>
    <row r="78" spans="18:42" outlineLevel="1"/>
    <row r="79" spans="18:42" outlineLevel="1"/>
    <row r="80" spans="18:42" outlineLevel="1"/>
    <row r="81" outlineLevel="1"/>
    <row r="82" outlineLevel="1"/>
    <row r="83" outlineLevel="1"/>
    <row r="84" outlineLevel="1"/>
    <row r="85" outlineLevel="1"/>
    <row r="86" outlineLevel="1"/>
    <row r="87" outlineLevel="1"/>
    <row r="88" outlineLevel="1"/>
    <row r="89" outlineLevel="1"/>
    <row r="90" outlineLevel="1"/>
    <row r="91" outlineLevel="1"/>
    <row r="92" outlineLevel="1"/>
    <row r="93" outlineLevel="1"/>
    <row r="94" outlineLevel="1"/>
    <row r="95" outlineLevel="1"/>
    <row r="96" outlineLevel="1"/>
    <row r="97" outlineLevel="1"/>
    <row r="98" outlineLevel="1"/>
    <row r="99" outlineLevel="1"/>
    <row r="100" outlineLevel="1"/>
    <row r="101" outlineLevel="1"/>
    <row r="102" outlineLevel="1"/>
    <row r="103" outlineLevel="1"/>
    <row r="104" outlineLevel="1"/>
    <row r="105" outlineLevel="1"/>
    <row r="106" outlineLevel="1"/>
    <row r="107" outlineLevel="1"/>
    <row r="108" outlineLevel="1"/>
    <row r="109" outlineLevel="1"/>
    <row r="110" outlineLevel="1"/>
    <row r="111" outlineLevel="1"/>
    <row r="112" outlineLevel="1"/>
    <row r="113" outlineLevel="1"/>
    <row r="114" outlineLevel="1"/>
    <row r="115" outlineLevel="1"/>
    <row r="116" outlineLevel="1"/>
    <row r="117" outlineLevel="1"/>
    <row r="118" outlineLevel="1"/>
  </sheetData>
  <mergeCells count="48">
    <mergeCell ref="A3:C3"/>
    <mergeCell ref="A23:D23"/>
    <mergeCell ref="A24:D24"/>
    <mergeCell ref="A25:A26"/>
    <mergeCell ref="B25:B26"/>
    <mergeCell ref="V43:V45"/>
    <mergeCell ref="A43:A45"/>
    <mergeCell ref="E25:F25"/>
    <mergeCell ref="H25:I26"/>
    <mergeCell ref="M25:M26"/>
    <mergeCell ref="M43:M45"/>
    <mergeCell ref="M40:M42"/>
    <mergeCell ref="V40:V42"/>
    <mergeCell ref="N25:N26"/>
    <mergeCell ref="O25:P25"/>
    <mergeCell ref="Q25:R25"/>
    <mergeCell ref="V25:V26"/>
    <mergeCell ref="F52:H52"/>
    <mergeCell ref="I52:K52"/>
    <mergeCell ref="L54:L63"/>
    <mergeCell ref="J25:J26"/>
    <mergeCell ref="A54:B63"/>
    <mergeCell ref="G25:G26"/>
    <mergeCell ref="A27:A36"/>
    <mergeCell ref="A37:A39"/>
    <mergeCell ref="A40:A42"/>
    <mergeCell ref="C25:D25"/>
    <mergeCell ref="A52:B53"/>
    <mergeCell ref="C52:E52"/>
    <mergeCell ref="Z25:AA25"/>
    <mergeCell ref="M27:M36"/>
    <mergeCell ref="V27:V36"/>
    <mergeCell ref="M37:M39"/>
    <mergeCell ref="V37:V39"/>
    <mergeCell ref="W25:W26"/>
    <mergeCell ref="X25:Y25"/>
    <mergeCell ref="V59:X59"/>
    <mergeCell ref="R60:S61"/>
    <mergeCell ref="T60:V60"/>
    <mergeCell ref="W60:Y60"/>
    <mergeCell ref="Z60:AB60"/>
    <mergeCell ref="AH60:AJ60"/>
    <mergeCell ref="AK60:AM60"/>
    <mergeCell ref="AN60:AP60"/>
    <mergeCell ref="R62:S66"/>
    <mergeCell ref="AC62:AC66"/>
    <mergeCell ref="AF62:AG66"/>
    <mergeCell ref="AF60:AG61"/>
  </mergeCells>
  <phoneticPr fontId="25" type="noConversion"/>
  <conditionalFormatting sqref="B27:C45 E27:F45">
    <cfRule type="expression" dxfId="91" priority="8" stopIfTrue="1">
      <formula>ABS(#REF!)&gt;#REF!</formula>
    </cfRule>
  </conditionalFormatting>
  <conditionalFormatting sqref="D27:D45 B27:B45">
    <cfRule type="expression" dxfId="90" priority="9" stopIfTrue="1">
      <formula>ABS(#REF!)&gt;#REF!</formula>
    </cfRule>
  </conditionalFormatting>
  <conditionalFormatting sqref="I54:K63">
    <cfRule type="cellIs" dxfId="89" priority="7" stopIfTrue="1" operator="notBetween">
      <formula>-0.5</formula>
      <formula>0.5</formula>
    </cfRule>
  </conditionalFormatting>
  <conditionalFormatting sqref="N27:O45 Q27:R45">
    <cfRule type="expression" dxfId="88" priority="5" stopIfTrue="1">
      <formula>ABS(#REF!)&gt;#REF!</formula>
    </cfRule>
  </conditionalFormatting>
  <conditionalFormatting sqref="P27:P45 N27:N45">
    <cfRule type="expression" dxfId="87" priority="6" stopIfTrue="1">
      <formula>ABS(#REF!)&gt;#REF!</formula>
    </cfRule>
  </conditionalFormatting>
  <conditionalFormatting sqref="W27:X45 Z27:AA45">
    <cfRule type="expression" dxfId="86" priority="3" stopIfTrue="1">
      <formula>ABS(#REF!)&gt;#REF!</formula>
    </cfRule>
  </conditionalFormatting>
  <conditionalFormatting sqref="Y27:Y45 W27:W45">
    <cfRule type="expression" dxfId="85" priority="4" stopIfTrue="1">
      <formula>ABS(#REF!)&gt;#REF!</formula>
    </cfRule>
  </conditionalFormatting>
  <conditionalFormatting sqref="Z62:AB66">
    <cfRule type="cellIs" dxfId="84" priority="2" stopIfTrue="1" operator="notBetween">
      <formula>-0.5</formula>
      <formula>0.5</formula>
    </cfRule>
  </conditionalFormatting>
  <conditionalFormatting sqref="AN62:AP66">
    <cfRule type="cellIs" dxfId="83" priority="1" stopIfTrue="1" operator="notBetween">
      <formula>-0.5</formula>
      <formula>0.5</formula>
    </cfRule>
  </conditionalFormatting>
  <pageMargins left="0.75" right="0.75" top="1" bottom="1" header="0.5" footer="0.5"/>
  <drawing r:id="rId1"/>
  <legacyDrawing r:id="rId2"/>
</worksheet>
</file>

<file path=xl/worksheets/sheet31.xml><?xml version="1.0" encoding="utf-8"?>
<worksheet xmlns="http://schemas.openxmlformats.org/spreadsheetml/2006/main" xmlns:r="http://schemas.openxmlformats.org/officeDocument/2006/relationships">
  <dimension ref="A1:I26"/>
  <sheetViews>
    <sheetView view="pageBreakPreview" zoomScaleNormal="100" zoomScaleSheetLayoutView="100" workbookViewId="0">
      <selection activeCell="C6" sqref="C6:D6"/>
    </sheetView>
  </sheetViews>
  <sheetFormatPr defaultRowHeight="14.25"/>
  <cols>
    <col min="1" max="1" width="8.25" style="1631" customWidth="1"/>
    <col min="2" max="2" width="13.375" style="1631" customWidth="1"/>
    <col min="3" max="3" width="11.625" style="1631" customWidth="1"/>
    <col min="4" max="4" width="11.5" style="1631" customWidth="1"/>
    <col min="5" max="5" width="12" style="1631" customWidth="1"/>
    <col min="6" max="6" width="11.75" style="1631" customWidth="1"/>
    <col min="7" max="8" width="14" customWidth="1"/>
    <col min="9" max="9" width="14" style="1631" customWidth="1"/>
    <col min="10" max="16384" width="9" style="1631"/>
  </cols>
  <sheetData>
    <row r="1" spans="1:9" ht="14.25" customHeight="1">
      <c r="A1" s="1749" t="str">
        <f xml:space="preserve">                                      [10]原始记录!A2&amp;[10]原始记录!C4&amp;[10]原始记录!E4&amp;[10]原始记录!F4&amp;[10]原始记录!I4</f>
        <v>原始记录编号：DC/数表原始-177-2015</v>
      </c>
      <c r="B1" s="1749"/>
      <c r="C1" s="1749"/>
      <c r="D1" s="1632"/>
      <c r="E1" s="1632"/>
      <c r="F1" s="1632"/>
      <c r="I1" s="1632"/>
    </row>
    <row r="2" spans="1:9">
      <c r="A2"/>
    </row>
    <row r="3" spans="1:9" ht="30" customHeight="1">
      <c r="A3" t="s">
        <v>4207</v>
      </c>
      <c r="B3"/>
      <c r="C3"/>
      <c r="D3"/>
      <c r="E3"/>
      <c r="F3"/>
      <c r="I3"/>
    </row>
    <row r="4" spans="1:9" ht="20.100000000000001" customHeight="1">
      <c r="A4" s="1749" t="s">
        <v>4218</v>
      </c>
      <c r="B4" s="1749"/>
      <c r="C4" s="1749"/>
      <c r="D4" s="1749"/>
      <c r="E4" s="1749"/>
      <c r="F4" s="1749"/>
      <c r="I4" s="1633"/>
    </row>
    <row r="5" spans="1:9" ht="20.100000000000001" customHeight="1">
      <c r="A5" s="1749" t="s">
        <v>4096</v>
      </c>
      <c r="B5" s="1749" t="s">
        <v>4208</v>
      </c>
      <c r="C5" s="1749" t="s">
        <v>4209</v>
      </c>
      <c r="D5" s="1749"/>
      <c r="E5" t="s">
        <v>4210</v>
      </c>
      <c r="F5"/>
      <c r="G5" t="s">
        <v>4211</v>
      </c>
      <c r="H5" t="s">
        <v>4212</v>
      </c>
      <c r="I5" t="s">
        <v>4213</v>
      </c>
    </row>
    <row r="6" spans="1:9" ht="20.100000000000001" customHeight="1">
      <c r="A6" s="1749"/>
      <c r="B6" s="1749"/>
      <c r="C6" t="s">
        <v>4214</v>
      </c>
      <c r="D6" t="s">
        <v>4105</v>
      </c>
      <c r="E6" t="s">
        <v>4214</v>
      </c>
      <c r="F6" t="s">
        <v>4105</v>
      </c>
      <c r="G6" t="s">
        <v>4215</v>
      </c>
      <c r="H6" t="s">
        <v>4216</v>
      </c>
      <c r="I6" t="s">
        <v>4217</v>
      </c>
    </row>
    <row r="7" spans="1:9" ht="20.100000000000001" customHeight="1">
      <c r="A7" s="1749">
        <v>1</v>
      </c>
      <c r="B7">
        <v>1</v>
      </c>
      <c r="C7">
        <v>1.0000100000000001</v>
      </c>
      <c r="D7">
        <v>1.0000199999999999</v>
      </c>
      <c r="E7">
        <f t="shared" ref="E7:E25" si="0">C7-B7</f>
        <v>1.0000000000065512E-5</v>
      </c>
      <c r="F7">
        <f>D7-C7</f>
        <v>9.9999999998434674E-6</v>
      </c>
      <c r="G7">
        <v>1000</v>
      </c>
      <c r="H7">
        <v>100</v>
      </c>
      <c r="I7">
        <f t="shared" ref="I7:I16" si="1">($G$7*B7+$H$7*$A$7)/1000000</f>
        <v>1.1000000000000001E-3</v>
      </c>
    </row>
    <row r="8" spans="1:9" ht="20.100000000000001" customHeight="1">
      <c r="A8" s="1749"/>
      <c r="B8">
        <v>0.9</v>
      </c>
      <c r="C8">
        <v>0.90001299999999995</v>
      </c>
      <c r="D8" s="1634" t="s">
        <v>80</v>
      </c>
      <c r="E8">
        <f t="shared" si="0"/>
        <v>1.2999999999929734E-5</v>
      </c>
      <c r="F8" t="str">
        <f>D8</f>
        <v xml:space="preserve">    /</v>
      </c>
      <c r="I8">
        <f t="shared" si="1"/>
        <v>1E-3</v>
      </c>
    </row>
    <row r="9" spans="1:9" ht="20.100000000000001" customHeight="1">
      <c r="A9" s="1749"/>
      <c r="B9">
        <v>0.8</v>
      </c>
      <c r="C9">
        <v>0.80001599999999995</v>
      </c>
      <c r="D9" s="1634" t="s">
        <v>80</v>
      </c>
      <c r="E9">
        <f t="shared" si="0"/>
        <v>1.5999999999904979E-5</v>
      </c>
      <c r="F9" t="str">
        <f t="shared" ref="F9:F22" si="2">D9</f>
        <v xml:space="preserve">    /</v>
      </c>
      <c r="I9">
        <f t="shared" si="1"/>
        <v>8.9999999999999998E-4</v>
      </c>
    </row>
    <row r="10" spans="1:9" ht="20.100000000000001" customHeight="1">
      <c r="A10" s="1749"/>
      <c r="B10">
        <v>0.7</v>
      </c>
      <c r="C10">
        <v>0.70001500000000005</v>
      </c>
      <c r="D10" s="1634" t="s">
        <v>80</v>
      </c>
      <c r="E10">
        <f t="shared" si="0"/>
        <v>1.5000000000098268E-5</v>
      </c>
      <c r="F10" t="str">
        <f t="shared" si="2"/>
        <v xml:space="preserve">    /</v>
      </c>
      <c r="I10">
        <f t="shared" si="1"/>
        <v>8.0000000000000004E-4</v>
      </c>
    </row>
    <row r="11" spans="1:9" ht="20.100000000000001" customHeight="1">
      <c r="A11" s="1749"/>
      <c r="B11">
        <v>0.6</v>
      </c>
      <c r="C11">
        <v>0.60001800000000005</v>
      </c>
      <c r="D11" s="1634" t="s">
        <v>80</v>
      </c>
      <c r="E11">
        <f t="shared" si="0"/>
        <v>1.8000000000073513E-5</v>
      </c>
      <c r="F11" t="str">
        <f t="shared" si="2"/>
        <v xml:space="preserve">    /</v>
      </c>
      <c r="I11">
        <f t="shared" si="1"/>
        <v>6.9999999999999999E-4</v>
      </c>
    </row>
    <row r="12" spans="1:9" ht="20.100000000000001" customHeight="1">
      <c r="A12" s="1749"/>
      <c r="B12">
        <v>0.5</v>
      </c>
      <c r="C12">
        <v>0.50001600000000002</v>
      </c>
      <c r="D12" s="1634" t="s">
        <v>80</v>
      </c>
      <c r="E12">
        <f t="shared" si="0"/>
        <v>1.6000000000016001E-5</v>
      </c>
      <c r="F12" t="str">
        <f t="shared" si="2"/>
        <v xml:space="preserve">    /</v>
      </c>
      <c r="I12">
        <f t="shared" si="1"/>
        <v>5.9999999999999995E-4</v>
      </c>
    </row>
    <row r="13" spans="1:9" ht="20.100000000000001" customHeight="1">
      <c r="A13" s="1749"/>
      <c r="B13">
        <v>0.4</v>
      </c>
      <c r="C13">
        <v>0.40001199999999998</v>
      </c>
      <c r="D13" s="1634" t="s">
        <v>80</v>
      </c>
      <c r="E13">
        <f t="shared" si="0"/>
        <v>1.199999999995649E-5</v>
      </c>
      <c r="F13" t="str">
        <f t="shared" si="2"/>
        <v xml:space="preserve">    /</v>
      </c>
      <c r="I13">
        <f t="shared" si="1"/>
        <v>5.0000000000000001E-4</v>
      </c>
    </row>
    <row r="14" spans="1:9" ht="20.100000000000001" customHeight="1">
      <c r="A14" s="1749"/>
      <c r="B14">
        <v>0.3</v>
      </c>
      <c r="C14">
        <v>0.30001100000000003</v>
      </c>
      <c r="D14" t="s">
        <v>80</v>
      </c>
      <c r="E14">
        <f t="shared" si="0"/>
        <v>1.1000000000038757E-5</v>
      </c>
      <c r="F14" t="str">
        <f t="shared" si="2"/>
        <v xml:space="preserve">    /</v>
      </c>
      <c r="I14">
        <f t="shared" si="1"/>
        <v>4.0000000000000002E-4</v>
      </c>
    </row>
    <row r="15" spans="1:9" ht="20.100000000000001" customHeight="1">
      <c r="A15" s="1749"/>
      <c r="B15">
        <v>0.2</v>
      </c>
      <c r="C15">
        <v>0.20000399999999999</v>
      </c>
      <c r="D15" s="1634" t="s">
        <v>80</v>
      </c>
      <c r="E15">
        <f t="shared" si="0"/>
        <v>3.9999999999762448E-6</v>
      </c>
      <c r="F15" t="str">
        <f t="shared" si="2"/>
        <v xml:space="preserve">    /</v>
      </c>
      <c r="I15">
        <f t="shared" si="1"/>
        <v>2.9999999999999997E-4</v>
      </c>
    </row>
    <row r="16" spans="1:9" ht="20.100000000000001" customHeight="1">
      <c r="A16" s="1749"/>
      <c r="B16">
        <v>0.1</v>
      </c>
      <c r="C16">
        <v>9.9999000000000005E-2</v>
      </c>
      <c r="D16" t="s">
        <v>80</v>
      </c>
      <c r="E16">
        <f t="shared" si="0"/>
        <v>-1.0000000000010001E-6</v>
      </c>
      <c r="F16" t="str">
        <f t="shared" si="2"/>
        <v xml:space="preserve">    /</v>
      </c>
      <c r="I16">
        <f t="shared" si="1"/>
        <v>2.0000000000000001E-4</v>
      </c>
    </row>
    <row r="17" spans="1:9" ht="20.100000000000001" customHeight="1">
      <c r="A17" s="1749">
        <v>10</v>
      </c>
      <c r="B17">
        <v>10</v>
      </c>
      <c r="C17">
        <v>9.9997000000000007</v>
      </c>
      <c r="D17">
        <v>9.9999000000000002</v>
      </c>
      <c r="E17">
        <f t="shared" si="0"/>
        <v>-2.9999999999930083E-4</v>
      </c>
      <c r="F17">
        <f>-(D17-B17)</f>
        <v>9.9999999999766942E-5</v>
      </c>
      <c r="G17">
        <v>500</v>
      </c>
      <c r="H17">
        <v>200</v>
      </c>
      <c r="I17">
        <f>($G$17*B17+$H17*$A$17)/1000000</f>
        <v>7.0000000000000001E-3</v>
      </c>
    </row>
    <row r="18" spans="1:9" ht="20.100000000000001" customHeight="1">
      <c r="A18" s="1749"/>
      <c r="B18">
        <v>5</v>
      </c>
      <c r="C18">
        <v>4.9997999999999996</v>
      </c>
      <c r="D18" t="s">
        <v>80</v>
      </c>
      <c r="E18">
        <f t="shared" si="0"/>
        <v>-2.0000000000042206E-4</v>
      </c>
      <c r="F18" t="str">
        <f t="shared" si="2"/>
        <v xml:space="preserve">    /</v>
      </c>
      <c r="I18">
        <f>($G$17*B18+$H18*$A$17)/1000000</f>
        <v>2.5000000000000001E-3</v>
      </c>
    </row>
    <row r="19" spans="1:9" ht="20.100000000000001" customHeight="1">
      <c r="A19" s="1749"/>
      <c r="B19">
        <v>1</v>
      </c>
      <c r="C19">
        <v>0.99990000000000001</v>
      </c>
      <c r="D19" t="s">
        <v>80</v>
      </c>
      <c r="E19">
        <f t="shared" si="0"/>
        <v>-9.9999999999988987E-5</v>
      </c>
      <c r="F19" t="str">
        <f t="shared" si="2"/>
        <v xml:space="preserve">    /</v>
      </c>
      <c r="I19">
        <f>($G$17*B19+$H19*$A$17)/1000000</f>
        <v>5.0000000000000001E-4</v>
      </c>
    </row>
    <row r="20" spans="1:9" ht="20.100000000000001" customHeight="1">
      <c r="A20" s="1749">
        <v>100</v>
      </c>
      <c r="B20">
        <v>100</v>
      </c>
      <c r="C20">
        <v>99.993399999999994</v>
      </c>
      <c r="D20">
        <v>99.993600000000001</v>
      </c>
      <c r="E20">
        <f t="shared" si="0"/>
        <v>-6.6000000000059345E-3</v>
      </c>
      <c r="F20">
        <f>-(D20-B20)</f>
        <v>6.3999999999992951E-3</v>
      </c>
      <c r="G20">
        <v>500</v>
      </c>
      <c r="H20">
        <v>50</v>
      </c>
      <c r="I20">
        <f>($G$20*B20+$H$20*$A$20)/1000000</f>
        <v>5.5E-2</v>
      </c>
    </row>
    <row r="21" spans="1:9" ht="20.100000000000001" customHeight="1">
      <c r="A21" s="1749"/>
      <c r="B21">
        <v>50</v>
      </c>
      <c r="C21">
        <v>49.996499999999997</v>
      </c>
      <c r="D21" t="s">
        <v>80</v>
      </c>
      <c r="E21">
        <f t="shared" si="0"/>
        <v>-3.5000000000025011E-3</v>
      </c>
      <c r="F21" t="str">
        <f t="shared" si="2"/>
        <v xml:space="preserve">    /</v>
      </c>
      <c r="I21">
        <f>($G$20*B21+$H$20*$A$20)/1000000</f>
        <v>0.03</v>
      </c>
    </row>
    <row r="22" spans="1:9" ht="20.100000000000001" customHeight="1">
      <c r="A22" s="1749"/>
      <c r="B22">
        <v>10</v>
      </c>
      <c r="C22">
        <v>9.9997000000000007</v>
      </c>
      <c r="D22" t="s">
        <v>80</v>
      </c>
      <c r="E22">
        <f t="shared" si="0"/>
        <v>-2.9999999999930083E-4</v>
      </c>
      <c r="F22" t="str">
        <f t="shared" si="2"/>
        <v xml:space="preserve">    /</v>
      </c>
      <c r="I22">
        <f>($G$20*B22+$H$20*$A$20)/1000000</f>
        <v>0.01</v>
      </c>
    </row>
    <row r="23" spans="1:9" customFormat="1" ht="20.100000000000001" customHeight="1">
      <c r="A23" s="1749">
        <v>3</v>
      </c>
      <c r="B23">
        <v>3</v>
      </c>
      <c r="C23">
        <v>2.9996</v>
      </c>
      <c r="D23">
        <v>2.9994999999999998</v>
      </c>
      <c r="E23">
        <f t="shared" si="0"/>
        <v>-3.9999999999995595E-4</v>
      </c>
      <c r="F23">
        <f>-(D23-B23)</f>
        <v>5.0000000000016698E-4</v>
      </c>
      <c r="G23">
        <v>1200</v>
      </c>
      <c r="H23">
        <v>200</v>
      </c>
      <c r="I23">
        <f>($G$23*B23+$H$23*$A$23)/1000000</f>
        <v>4.1999999999999997E-3</v>
      </c>
    </row>
    <row r="24" spans="1:9" customFormat="1" ht="20.100000000000001" customHeight="1">
      <c r="A24" s="1749"/>
      <c r="B24">
        <v>2</v>
      </c>
      <c r="C24">
        <v>2</v>
      </c>
      <c r="D24" t="s">
        <v>80</v>
      </c>
      <c r="E24">
        <f t="shared" si="0"/>
        <v>0</v>
      </c>
      <c r="F24" t="str">
        <f>D24</f>
        <v xml:space="preserve">    /</v>
      </c>
      <c r="I24">
        <f>($G$23*B24+$H$23*$A$23)/1000000</f>
        <v>3.0000000000000001E-3</v>
      </c>
    </row>
    <row r="25" spans="1:9" customFormat="1" ht="20.100000000000001" customHeight="1">
      <c r="A25" s="1749"/>
      <c r="B25">
        <v>1</v>
      </c>
      <c r="C25">
        <v>1</v>
      </c>
      <c r="D25" t="s">
        <v>80</v>
      </c>
      <c r="E25">
        <f t="shared" si="0"/>
        <v>0</v>
      </c>
      <c r="F25" t="str">
        <f>D25</f>
        <v xml:space="preserve">    /</v>
      </c>
      <c r="I25">
        <f>($G$23*B25+$H$23*$A$23)/1000000</f>
        <v>1.8E-3</v>
      </c>
    </row>
    <row r="26" spans="1:9" ht="20.100000000000001" customHeight="1">
      <c r="A26" t="s">
        <v>4219</v>
      </c>
      <c r="B26" s="1635"/>
      <c r="C26" s="1635"/>
      <c r="D26" s="1635"/>
      <c r="E26" s="1635"/>
      <c r="F26" s="1635"/>
      <c r="I26" s="1633"/>
    </row>
  </sheetData>
  <mergeCells count="9">
    <mergeCell ref="A1:C1"/>
    <mergeCell ref="A7:A16"/>
    <mergeCell ref="A17:A19"/>
    <mergeCell ref="A20:A22"/>
    <mergeCell ref="A23:A25"/>
    <mergeCell ref="A4:F4"/>
    <mergeCell ref="A5:A6"/>
    <mergeCell ref="B5:B6"/>
    <mergeCell ref="C5:D5"/>
  </mergeCells>
  <phoneticPr fontId="216" type="noConversion"/>
  <conditionalFormatting sqref="I7:I25 B7:C25 E7:E25 D7 F7">
    <cfRule type="expression" dxfId="82" priority="4" stopIfTrue="1">
      <formula>ABS($E7)&gt;$I7</formula>
    </cfRule>
  </conditionalFormatting>
  <conditionalFormatting sqref="B7:B25 D7:D25 F7:I25">
    <cfRule type="expression" dxfId="81" priority="1" stopIfTrue="1">
      <formula>ABS($F7)&gt;$I7</formula>
    </cfRule>
  </conditionalFormatting>
  <pageMargins left="0.86614173228346458" right="0.47244094488188981" top="0.47244094488188981" bottom="0.98425196850393704" header="0.51181102362204722" footer="0.51181102362204722"/>
  <pageSetup paperSize="9" orientation="portrait" r:id="rId1"/>
  <headerFooter alignWithMargins="0">
    <oddHeader xml:space="preserve">&amp;L&amp;8                                                                                              第&amp;P页     共&amp;N页      </oddHeader>
  </headerFooter>
  <rowBreaks count="1" manualBreakCount="1">
    <brk id="3" max="16383" man="1"/>
  </rowBreaks>
</worksheet>
</file>

<file path=xl/worksheets/sheet32.xml><?xml version="1.0" encoding="utf-8"?>
<worksheet xmlns="http://schemas.openxmlformats.org/spreadsheetml/2006/main" xmlns:r="http://schemas.openxmlformats.org/officeDocument/2006/relationships">
  <dimension ref="A1:L17"/>
  <sheetViews>
    <sheetView workbookViewId="0"/>
  </sheetViews>
  <sheetFormatPr defaultRowHeight="14.25"/>
  <sheetData>
    <row r="1" spans="1:12">
      <c r="A1" t="s">
        <v>4327</v>
      </c>
      <c r="B1" t="s">
        <v>4328</v>
      </c>
    </row>
    <row r="2" spans="1:12">
      <c r="A2" s="1749" t="s">
        <v>4329</v>
      </c>
      <c r="B2" s="1749"/>
      <c r="C2" s="1749" t="s">
        <v>4330</v>
      </c>
      <c r="D2" s="1749"/>
      <c r="E2" s="1749"/>
      <c r="F2" s="1749" t="s">
        <v>4331</v>
      </c>
      <c r="G2" s="1749"/>
      <c r="H2" s="1749"/>
      <c r="I2" s="1749" t="s">
        <v>4332</v>
      </c>
      <c r="J2" s="1749"/>
      <c r="K2" s="1749"/>
    </row>
    <row r="3" spans="1:12">
      <c r="A3" s="1749">
        <v>20</v>
      </c>
      <c r="B3" s="1749"/>
      <c r="C3" s="1749">
        <f>A3</f>
        <v>20</v>
      </c>
      <c r="D3" s="1749"/>
      <c r="E3" s="1749"/>
      <c r="F3" s="1749">
        <v>19.9968</v>
      </c>
      <c r="G3" s="1749"/>
      <c r="H3" s="1749"/>
      <c r="I3" s="1749">
        <f>(F3-C3)/A3*100</f>
        <v>-1.5999999999998238E-2</v>
      </c>
      <c r="J3" s="1749"/>
      <c r="K3" s="1749"/>
    </row>
    <row r="4" spans="1:12">
      <c r="A4" s="1749"/>
      <c r="B4" s="1749"/>
      <c r="C4" s="1749">
        <f>0.9*A3</f>
        <v>18</v>
      </c>
      <c r="D4" s="1749"/>
      <c r="E4" s="1749"/>
      <c r="F4" s="1749">
        <v>17.995999999999999</v>
      </c>
      <c r="G4" s="1749"/>
      <c r="H4" s="1749"/>
      <c r="I4" s="1749">
        <f>(F4-C4)/A3*100</f>
        <v>-2.0000000000006679E-2</v>
      </c>
      <c r="J4" s="1749"/>
      <c r="K4" s="1749"/>
    </row>
    <row r="5" spans="1:12">
      <c r="A5" s="1749"/>
      <c r="B5" s="1749"/>
      <c r="C5" s="1749">
        <f>0.8*A3</f>
        <v>16</v>
      </c>
      <c r="D5" s="1749"/>
      <c r="E5" s="1749"/>
      <c r="F5" s="1749">
        <v>15.996600000000001</v>
      </c>
      <c r="G5" s="1749"/>
      <c r="H5" s="1749"/>
      <c r="I5" s="1749">
        <f>(F5-C5)/A3*100</f>
        <v>-1.6999999999995907E-2</v>
      </c>
      <c r="J5" s="1749"/>
      <c r="K5" s="1749"/>
    </row>
    <row r="6" spans="1:12">
      <c r="A6" s="1749"/>
      <c r="B6" s="1749"/>
      <c r="C6" s="1749">
        <f>0.7*A3</f>
        <v>14</v>
      </c>
      <c r="D6" s="1749"/>
      <c r="E6" s="1749"/>
      <c r="F6" s="1749">
        <v>13.9968</v>
      </c>
      <c r="G6" s="1749"/>
      <c r="H6" s="1749"/>
      <c r="I6" s="1749">
        <f>(F6-C6)/A3*100</f>
        <v>-1.5999999999998238E-2</v>
      </c>
      <c r="J6" s="1749"/>
      <c r="K6" s="1749"/>
    </row>
    <row r="7" spans="1:12">
      <c r="A7" s="1749"/>
      <c r="B7" s="1749"/>
      <c r="C7" s="1749">
        <f>0.6*A3</f>
        <v>12</v>
      </c>
      <c r="D7" s="1749"/>
      <c r="E7" s="1749"/>
      <c r="F7" s="1749">
        <v>11.997400000000001</v>
      </c>
      <c r="G7" s="1749"/>
      <c r="H7" s="1749"/>
      <c r="I7" s="1749">
        <f>(F7-C7)/A3*100</f>
        <v>-1.2999999999996348E-2</v>
      </c>
      <c r="J7" s="1749"/>
      <c r="K7" s="1749"/>
    </row>
    <row r="8" spans="1:12">
      <c r="A8" s="1749"/>
      <c r="B8" s="1749"/>
      <c r="C8" s="1749">
        <f>0.5*A3</f>
        <v>10</v>
      </c>
      <c r="D8" s="1749"/>
      <c r="E8" s="1749"/>
      <c r="F8" s="1749">
        <v>9.9978999999999996</v>
      </c>
      <c r="G8" s="1749"/>
      <c r="H8" s="1749"/>
      <c r="I8" s="1749">
        <f>(F8-C8)/A3*100</f>
        <v>-1.0500000000002174E-2</v>
      </c>
      <c r="J8" s="1749"/>
      <c r="K8" s="1749"/>
    </row>
    <row r="9" spans="1:12">
      <c r="A9" s="1749"/>
      <c r="B9" s="1749"/>
      <c r="C9" s="1749">
        <f>0.4*A3</f>
        <v>8</v>
      </c>
      <c r="D9" s="1749"/>
      <c r="E9" s="1749"/>
      <c r="F9" s="1749">
        <v>7.9981999999999998</v>
      </c>
      <c r="G9" s="1749"/>
      <c r="H9" s="1749"/>
      <c r="I9" s="1749">
        <f>(F9-C9)/A3*100</f>
        <v>-9.0000000000012292E-3</v>
      </c>
      <c r="J9" s="1749"/>
      <c r="K9" s="1749"/>
    </row>
    <row r="10" spans="1:12">
      <c r="A10" s="1749"/>
      <c r="B10" s="1749"/>
      <c r="C10" s="1749">
        <f>0.3*A3</f>
        <v>6</v>
      </c>
      <c r="D10" s="1749"/>
      <c r="E10" s="1749"/>
      <c r="F10" s="1749">
        <v>5.9987000000000004</v>
      </c>
      <c r="G10" s="1749"/>
      <c r="H10" s="1749"/>
      <c r="I10" s="1749">
        <f>(F10-C10)/A3*100</f>
        <v>-6.4999999999981739E-3</v>
      </c>
      <c r="J10" s="1749"/>
      <c r="K10" s="1749"/>
    </row>
    <row r="11" spans="1:12">
      <c r="A11" s="1749"/>
      <c r="B11" s="1749"/>
      <c r="C11" s="1749">
        <f>0.2*A3</f>
        <v>4</v>
      </c>
      <c r="D11" s="1749"/>
      <c r="E11" s="1749"/>
      <c r="F11" s="1749">
        <v>3.9990999999999999</v>
      </c>
      <c r="G11" s="1749"/>
      <c r="H11" s="1749"/>
      <c r="I11" s="1749">
        <f>(F11-C11)/A3*100</f>
        <v>-4.5000000000006146E-3</v>
      </c>
      <c r="J11" s="1749"/>
      <c r="K11" s="1749"/>
    </row>
    <row r="12" spans="1:12">
      <c r="A12" s="1749"/>
      <c r="B12" s="1749"/>
      <c r="C12" s="1749">
        <f>A3*0.1</f>
        <v>2</v>
      </c>
      <c r="D12" s="1749"/>
      <c r="E12" s="1749"/>
      <c r="F12" s="1749">
        <v>1.9997</v>
      </c>
      <c r="G12" s="1749"/>
      <c r="H12" s="1749"/>
      <c r="I12" s="1749">
        <f>(F12-C12)/A3*100</f>
        <v>-1.4999999999998348E-3</v>
      </c>
      <c r="J12" s="1749"/>
      <c r="K12" s="1749"/>
    </row>
    <row r="13" spans="1:12">
      <c r="A13" s="1749">
        <v>1</v>
      </c>
      <c r="B13" s="1749"/>
      <c r="C13" s="1749">
        <f>A13</f>
        <v>1</v>
      </c>
      <c r="D13" s="1749"/>
      <c r="E13" s="1749"/>
      <c r="F13" s="1749">
        <v>0.99987999999999999</v>
      </c>
      <c r="G13" s="1749"/>
      <c r="H13" s="1749"/>
      <c r="I13" s="1749">
        <f>(F13-C13)/A13*100</f>
        <v>-1.2000000000000899E-2</v>
      </c>
      <c r="J13" s="1749"/>
      <c r="K13" s="1749"/>
    </row>
    <row r="14" spans="1:12">
      <c r="A14" s="1749"/>
      <c r="B14" s="1749"/>
      <c r="C14" s="1749">
        <f>A13*0.6</f>
        <v>0.6</v>
      </c>
      <c r="D14" s="1749"/>
      <c r="E14" s="1749"/>
      <c r="F14" s="1749">
        <v>0.59985999999999995</v>
      </c>
      <c r="G14" s="1749"/>
      <c r="H14" s="1749"/>
      <c r="I14" s="1749">
        <f>(F14-C14)/A13*100</f>
        <v>-1.4000000000002899E-2</v>
      </c>
      <c r="J14" s="1749"/>
      <c r="K14" s="1749"/>
    </row>
    <row r="15" spans="1:12">
      <c r="A15" s="1749"/>
      <c r="B15" s="1749"/>
      <c r="C15" s="1749">
        <f>A13*0.1</f>
        <v>0.1</v>
      </c>
      <c r="D15" s="1749"/>
      <c r="E15" s="1749"/>
      <c r="F15" s="1749">
        <v>9.9979999999999999E-2</v>
      </c>
      <c r="G15" s="1749"/>
      <c r="H15" s="1749"/>
      <c r="I15" s="1749">
        <f>(F15-C15)/A13*100</f>
        <v>-2.0000000000006124E-3</v>
      </c>
      <c r="J15" s="1749"/>
      <c r="K15" s="1749"/>
    </row>
    <row r="16" spans="1:12">
      <c r="A16" t="s">
        <v>4333</v>
      </c>
      <c r="L16" t="s">
        <v>4336</v>
      </c>
    </row>
    <row r="17" spans="1:2">
      <c r="A17" t="s">
        <v>4334</v>
      </c>
      <c r="B17" t="s">
        <v>4335</v>
      </c>
    </row>
  </sheetData>
  <mergeCells count="45">
    <mergeCell ref="C3:E3"/>
    <mergeCell ref="F3:H3"/>
    <mergeCell ref="I3:K3"/>
    <mergeCell ref="C4:E4"/>
    <mergeCell ref="F4:H4"/>
    <mergeCell ref="I4:K4"/>
    <mergeCell ref="I8:K8"/>
    <mergeCell ref="C9:E9"/>
    <mergeCell ref="F9:H9"/>
    <mergeCell ref="I9:K9"/>
    <mergeCell ref="I5:K5"/>
    <mergeCell ref="C6:E6"/>
    <mergeCell ref="F6:H6"/>
    <mergeCell ref="I6:K6"/>
    <mergeCell ref="C7:E7"/>
    <mergeCell ref="F7:H7"/>
    <mergeCell ref="I7:K7"/>
    <mergeCell ref="C5:E5"/>
    <mergeCell ref="F5:H5"/>
    <mergeCell ref="A13:B15"/>
    <mergeCell ref="C14:E14"/>
    <mergeCell ref="F14:H14"/>
    <mergeCell ref="I14:K14"/>
    <mergeCell ref="C15:E15"/>
    <mergeCell ref="F15:H15"/>
    <mergeCell ref="I15:K15"/>
    <mergeCell ref="C13:E13"/>
    <mergeCell ref="F13:H13"/>
    <mergeCell ref="I13:K13"/>
    <mergeCell ref="A2:B2"/>
    <mergeCell ref="C2:E2"/>
    <mergeCell ref="F2:H2"/>
    <mergeCell ref="I2:K2"/>
    <mergeCell ref="A3:B12"/>
    <mergeCell ref="C12:E12"/>
    <mergeCell ref="F12:H12"/>
    <mergeCell ref="I12:K12"/>
    <mergeCell ref="C10:E10"/>
    <mergeCell ref="F10:H10"/>
    <mergeCell ref="I10:K10"/>
    <mergeCell ref="C11:E11"/>
    <mergeCell ref="F11:H11"/>
    <mergeCell ref="I11:K11"/>
    <mergeCell ref="C8:E8"/>
    <mergeCell ref="F8:H8"/>
  </mergeCells>
  <phoneticPr fontId="224" type="noConversion"/>
  <conditionalFormatting sqref="I15:K15 I9:K12">
    <cfRule type="cellIs" dxfId="80" priority="1" stopIfTrue="1" operator="greaterThan">
      <formula>0.01</formula>
    </cfRule>
    <cfRule type="cellIs" dxfId="79" priority="2" stopIfTrue="1" operator="lessThan">
      <formula>-0.01</formula>
    </cfRule>
  </conditionalFormatting>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AX89"/>
  <sheetViews>
    <sheetView topLeftCell="A7" workbookViewId="0">
      <selection sqref="A1:C1"/>
    </sheetView>
  </sheetViews>
  <sheetFormatPr defaultRowHeight="14.25" outlineLevelRow="1"/>
  <cols>
    <col min="1" max="1" width="27.625" customWidth="1"/>
    <col min="2" max="2" width="19.875" customWidth="1"/>
    <col min="3" max="3" width="17.125" customWidth="1"/>
    <col min="4" max="4" width="17" customWidth="1"/>
    <col min="5" max="5" width="31.875" customWidth="1"/>
  </cols>
  <sheetData>
    <row r="1" spans="1:4">
      <c r="A1" s="1749" t="s">
        <v>4384</v>
      </c>
      <c r="B1" s="2581"/>
      <c r="C1" s="2581"/>
    </row>
    <row r="3" spans="1:4" outlineLevel="1">
      <c r="A3" s="2434" t="s">
        <v>2196</v>
      </c>
      <c r="B3" s="2298"/>
      <c r="C3" s="2298"/>
      <c r="D3" s="2"/>
    </row>
    <row r="4" spans="1:4" ht="18.75" outlineLevel="1">
      <c r="A4" s="699" t="s">
        <v>1920</v>
      </c>
      <c r="B4" s="6" t="s">
        <v>69</v>
      </c>
      <c r="C4" s="6" t="s">
        <v>70</v>
      </c>
      <c r="D4" s="700" t="s">
        <v>2197</v>
      </c>
    </row>
    <row r="5" spans="1:4" outlineLevel="1">
      <c r="A5" s="698" t="s">
        <v>2198</v>
      </c>
      <c r="B5" s="6" t="s">
        <v>72</v>
      </c>
      <c r="C5" s="6" t="s">
        <v>72</v>
      </c>
      <c r="D5" s="700" t="s">
        <v>2199</v>
      </c>
    </row>
    <row r="6" spans="1:4" outlineLevel="1">
      <c r="A6" s="698" t="s">
        <v>2200</v>
      </c>
      <c r="B6" s="6" t="s">
        <v>72</v>
      </c>
      <c r="C6" s="6" t="s">
        <v>72</v>
      </c>
      <c r="D6" s="700" t="s">
        <v>2199</v>
      </c>
    </row>
    <row r="7" spans="1:4" outlineLevel="1">
      <c r="A7" t="s">
        <v>4268</v>
      </c>
      <c r="B7" s="6" t="s">
        <v>72</v>
      </c>
      <c r="C7" s="6" t="s">
        <v>72</v>
      </c>
      <c r="D7" s="700" t="s">
        <v>2201</v>
      </c>
    </row>
    <row r="8" spans="1:4" outlineLevel="1">
      <c r="A8" s="6"/>
      <c r="B8" s="6" t="s">
        <v>3440</v>
      </c>
      <c r="C8" s="6"/>
      <c r="D8" s="2"/>
    </row>
    <row r="9" spans="1:4" outlineLevel="1">
      <c r="A9" s="6"/>
      <c r="B9" t="s">
        <v>3441</v>
      </c>
      <c r="C9" s="6"/>
      <c r="D9" s="2"/>
    </row>
    <row r="10" spans="1:4" outlineLevel="1">
      <c r="A10" s="6"/>
      <c r="B10" t="s">
        <v>3442</v>
      </c>
      <c r="C10" s="6"/>
      <c r="D10" s="2"/>
    </row>
    <row r="11" spans="1:4" outlineLevel="1">
      <c r="A11" s="6"/>
      <c r="B11" s="6"/>
      <c r="C11" s="6"/>
      <c r="D11" s="2"/>
    </row>
    <row r="12" spans="1:4" outlineLevel="1">
      <c r="A12" s="6"/>
      <c r="B12" s="6"/>
      <c r="C12" s="6"/>
      <c r="D12" s="2"/>
    </row>
    <row r="13" spans="1:4" outlineLevel="1">
      <c r="A13" s="6"/>
      <c r="B13" s="6"/>
      <c r="C13" s="6"/>
      <c r="D13" s="2"/>
    </row>
    <row r="14" spans="1:4" outlineLevel="1">
      <c r="A14" s="6"/>
      <c r="B14" s="6"/>
      <c r="C14" s="6"/>
      <c r="D14" s="2"/>
    </row>
    <row r="15" spans="1:4" outlineLevel="1">
      <c r="A15" s="6"/>
      <c r="B15" s="6"/>
      <c r="C15" s="6"/>
      <c r="D15" s="2"/>
    </row>
    <row r="16" spans="1:4" outlineLevel="1">
      <c r="A16" s="6"/>
      <c r="B16" s="6"/>
      <c r="C16" s="6"/>
      <c r="D16" s="2"/>
    </row>
    <row r="17" spans="1:24" outlineLevel="1">
      <c r="A17" t="s">
        <v>73</v>
      </c>
    </row>
    <row r="19" spans="1:24">
      <c r="A19" t="s">
        <v>2202</v>
      </c>
      <c r="B19" t="s">
        <v>4268</v>
      </c>
      <c r="L19" s="703" t="s">
        <v>2203</v>
      </c>
      <c r="T19" s="703" t="s">
        <v>2204</v>
      </c>
    </row>
    <row r="20" spans="1:24" ht="14.25" customHeight="1" outlineLevel="1">
      <c r="A20" s="2535" t="s">
        <v>2205</v>
      </c>
      <c r="B20" s="2535" t="s">
        <v>2206</v>
      </c>
      <c r="C20" s="2395" t="s">
        <v>2207</v>
      </c>
      <c r="D20" s="2571" t="s">
        <v>2208</v>
      </c>
      <c r="E20" s="2573" t="s">
        <v>2209</v>
      </c>
      <c r="F20" s="2582" t="s">
        <v>2210</v>
      </c>
      <c r="G20" s="2437" t="s">
        <v>2211</v>
      </c>
      <c r="H20" s="2438"/>
      <c r="I20" s="2438" t="s">
        <v>2212</v>
      </c>
      <c r="L20" s="2535" t="s">
        <v>2205</v>
      </c>
      <c r="M20" s="2535" t="s">
        <v>2206</v>
      </c>
      <c r="N20" s="2395" t="s">
        <v>2207</v>
      </c>
      <c r="O20" s="2571" t="s">
        <v>2208</v>
      </c>
      <c r="P20" s="2399" t="s">
        <v>2209</v>
      </c>
      <c r="Q20" s="745" t="s">
        <v>1874</v>
      </c>
      <c r="T20" s="2535" t="s">
        <v>2205</v>
      </c>
      <c r="U20" s="2535" t="s">
        <v>2206</v>
      </c>
      <c r="V20" s="2395" t="s">
        <v>2207</v>
      </c>
      <c r="W20" s="2571" t="s">
        <v>2208</v>
      </c>
      <c r="X20" s="2399" t="s">
        <v>2209</v>
      </c>
    </row>
    <row r="21" spans="1:24" outlineLevel="1">
      <c r="A21" s="2331"/>
      <c r="B21" s="2331"/>
      <c r="C21" s="2570"/>
      <c r="D21" s="2333"/>
      <c r="E21" s="2574"/>
      <c r="F21" s="2582"/>
      <c r="G21" s="2437"/>
      <c r="H21" s="2438"/>
      <c r="I21" s="2439"/>
      <c r="L21" s="2331"/>
      <c r="M21" s="2331"/>
      <c r="N21" s="2570"/>
      <c r="O21" s="2333"/>
      <c r="P21" s="2400"/>
      <c r="Q21" s="745" t="s">
        <v>2074</v>
      </c>
      <c r="T21" s="2331"/>
      <c r="U21" s="2331"/>
      <c r="V21" s="2570"/>
      <c r="W21" s="2333"/>
      <c r="X21" s="2400"/>
    </row>
    <row r="22" spans="1:24" outlineLevel="1">
      <c r="A22" s="2572">
        <v>1</v>
      </c>
      <c r="B22" s="146">
        <v>1</v>
      </c>
      <c r="C22" s="146"/>
      <c r="D22" s="110">
        <v>0.99977000000000005</v>
      </c>
      <c r="E22" s="805"/>
      <c r="F22" s="762">
        <f t="shared" ref="F22:F34" ca="1" si="0">((I22/1.732)^2+((G22/1000000*ABS(D22)+H22)/2)^2)^0.5*2</f>
        <v>3.5997270550135277E-4</v>
      </c>
      <c r="G22" s="686">
        <v>320</v>
      </c>
      <c r="H22" s="806">
        <v>4.0000000000000003E-5</v>
      </c>
      <c r="I22" s="686">
        <f ca="1">10^(-IF(CELL("format",E22)="G",0,VALUE(REPLACE(CELL("format",E22),1,1,))))/2</f>
        <v>5.0000000000000004E-6</v>
      </c>
      <c r="L22" s="2572">
        <v>1</v>
      </c>
      <c r="M22" s="146">
        <v>1</v>
      </c>
      <c r="N22" s="146"/>
      <c r="O22" s="110">
        <v>0.99977000000000005</v>
      </c>
      <c r="P22" s="110"/>
      <c r="Q22" s="762">
        <f t="shared" ref="Q22:Q34" si="1">((T22/1.732)^2+((R22/1000000*ABS(O22)+S22)/2)^2)^0.5*2</f>
        <v>1.1547344110854503</v>
      </c>
      <c r="T22" s="2572">
        <v>1</v>
      </c>
      <c r="U22" s="146">
        <v>1</v>
      </c>
      <c r="V22" s="146"/>
      <c r="W22" s="110">
        <v>0.99977000000000005</v>
      </c>
      <c r="X22" s="110"/>
    </row>
    <row r="23" spans="1:24" outlineLevel="1">
      <c r="A23" s="2572"/>
      <c r="B23" s="146">
        <v>0.9</v>
      </c>
      <c r="C23" s="146"/>
      <c r="D23" s="110">
        <v>0.89980000000000004</v>
      </c>
      <c r="E23" s="805"/>
      <c r="F23" s="762">
        <f t="shared" ca="1" si="0"/>
        <v>3.2798682196851089E-4</v>
      </c>
      <c r="G23" s="686">
        <v>320</v>
      </c>
      <c r="H23" s="806">
        <v>4.0000000000000003E-5</v>
      </c>
      <c r="I23" s="686">
        <f t="shared" ref="I23:I34" ca="1" si="2">10^(-IF(CELL("format",E23)="G",0,VALUE(REPLACE(CELL("format",E23),1,1,))))/2</f>
        <v>5.0000000000000004E-6</v>
      </c>
      <c r="L23" s="2572"/>
      <c r="M23" s="146">
        <v>0.9</v>
      </c>
      <c r="N23" s="146"/>
      <c r="O23" s="110">
        <v>0.89980000000000004</v>
      </c>
      <c r="P23" s="110"/>
      <c r="Q23" s="762">
        <f t="shared" si="1"/>
        <v>0</v>
      </c>
      <c r="T23" s="2572"/>
      <c r="U23" s="146">
        <v>0.9</v>
      </c>
      <c r="V23" s="146"/>
      <c r="W23" s="110">
        <v>0.89980000000000004</v>
      </c>
      <c r="X23" s="110"/>
    </row>
    <row r="24" spans="1:24" outlineLevel="1">
      <c r="A24" s="2572"/>
      <c r="B24" s="146">
        <v>0.8</v>
      </c>
      <c r="C24" s="146"/>
      <c r="D24" s="110">
        <v>0.79978000000000005</v>
      </c>
      <c r="E24" s="805"/>
      <c r="F24" s="762">
        <f t="shared" ca="1" si="0"/>
        <v>2.9598591764670772E-4</v>
      </c>
      <c r="G24" s="686">
        <v>320</v>
      </c>
      <c r="H24" s="806">
        <v>4.0000000000000003E-5</v>
      </c>
      <c r="I24" s="686">
        <f t="shared" ca="1" si="2"/>
        <v>5.0000000000000004E-6</v>
      </c>
      <c r="L24" s="2572"/>
      <c r="M24" s="146">
        <v>0.8</v>
      </c>
      <c r="N24" s="146"/>
      <c r="O24" s="110">
        <v>0.79978000000000005</v>
      </c>
      <c r="P24" s="110"/>
      <c r="Q24" s="762">
        <f t="shared" si="1"/>
        <v>0</v>
      </c>
      <c r="T24" s="2572"/>
      <c r="U24" s="146">
        <v>0.8</v>
      </c>
      <c r="V24" s="146"/>
      <c r="W24" s="110">
        <v>0.79978000000000005</v>
      </c>
      <c r="X24" s="110"/>
    </row>
    <row r="25" spans="1:24" outlineLevel="1">
      <c r="A25" s="2572"/>
      <c r="B25" s="146">
        <v>0.7</v>
      </c>
      <c r="C25" s="146"/>
      <c r="D25" s="110">
        <v>0.69979000000000002</v>
      </c>
      <c r="E25" s="805"/>
      <c r="F25" s="762">
        <f t="shared" ca="1" si="0"/>
        <v>2.6399594353861507E-4</v>
      </c>
      <c r="G25" s="686">
        <v>320</v>
      </c>
      <c r="H25" s="806">
        <v>4.0000000000000003E-5</v>
      </c>
      <c r="I25" s="686">
        <f t="shared" ca="1" si="2"/>
        <v>5.0000000000000004E-6</v>
      </c>
      <c r="L25" s="2572"/>
      <c r="M25" s="146">
        <v>0.7</v>
      </c>
      <c r="N25" s="146"/>
      <c r="O25" s="110">
        <v>0.69979000000000002</v>
      </c>
      <c r="P25" s="110"/>
      <c r="Q25" s="762">
        <f t="shared" si="1"/>
        <v>0</v>
      </c>
      <c r="T25" s="2572"/>
      <c r="U25" s="146">
        <v>0.7</v>
      </c>
      <c r="V25" s="146"/>
      <c r="W25" s="110">
        <v>0.69979000000000002</v>
      </c>
      <c r="X25" s="110"/>
    </row>
    <row r="26" spans="1:24" outlineLevel="1">
      <c r="A26" s="2572"/>
      <c r="B26" s="146">
        <v>0.6</v>
      </c>
      <c r="C26" s="146"/>
      <c r="D26" s="110">
        <v>0.5998</v>
      </c>
      <c r="E26" s="805"/>
      <c r="F26" s="762">
        <f t="shared" ca="1" si="0"/>
        <v>2.3200785198997819E-4</v>
      </c>
      <c r="G26" s="686">
        <v>320</v>
      </c>
      <c r="H26" s="806">
        <v>4.0000000000000003E-5</v>
      </c>
      <c r="I26" s="686">
        <f t="shared" ca="1" si="2"/>
        <v>5.0000000000000004E-6</v>
      </c>
      <c r="L26" s="2572"/>
      <c r="M26" s="146">
        <v>0.6</v>
      </c>
      <c r="N26" s="146"/>
      <c r="O26" s="110">
        <v>0.5998</v>
      </c>
      <c r="P26" s="110"/>
      <c r="Q26" s="762">
        <f t="shared" si="1"/>
        <v>0</v>
      </c>
      <c r="T26" s="2572"/>
      <c r="U26" s="146">
        <v>0.6</v>
      </c>
      <c r="V26" s="146"/>
      <c r="W26" s="110">
        <v>0.5998</v>
      </c>
      <c r="X26" s="110"/>
    </row>
    <row r="27" spans="1:24" outlineLevel="1">
      <c r="A27" s="2572"/>
      <c r="B27" s="146">
        <v>0.5</v>
      </c>
      <c r="C27" s="146"/>
      <c r="D27" s="110">
        <v>0.49981999999999999</v>
      </c>
      <c r="E27" s="805"/>
      <c r="F27" s="762">
        <f t="shared" ca="1" si="0"/>
        <v>2.0002574485991455E-4</v>
      </c>
      <c r="G27" s="686">
        <v>320</v>
      </c>
      <c r="H27" s="806">
        <v>4.0000000000000003E-5</v>
      </c>
      <c r="I27" s="686">
        <f t="shared" ca="1" si="2"/>
        <v>5.0000000000000004E-6</v>
      </c>
      <c r="L27" s="2572"/>
      <c r="M27" s="146">
        <v>0.5</v>
      </c>
      <c r="N27" s="146"/>
      <c r="O27" s="110">
        <v>0.49981999999999999</v>
      </c>
      <c r="P27" s="110"/>
      <c r="Q27" s="762">
        <f t="shared" si="1"/>
        <v>0</v>
      </c>
      <c r="T27" s="2572"/>
      <c r="U27" s="146">
        <v>0.5</v>
      </c>
      <c r="V27" s="146"/>
      <c r="W27" s="110">
        <v>0.49981999999999999</v>
      </c>
      <c r="X27" s="110"/>
    </row>
    <row r="28" spans="1:24" outlineLevel="1">
      <c r="A28" s="2572"/>
      <c r="B28" s="146">
        <v>0.4</v>
      </c>
      <c r="C28" s="146"/>
      <c r="D28" s="110">
        <v>0.39984999999999998</v>
      </c>
      <c r="E28" s="805"/>
      <c r="F28" s="762">
        <f t="shared" ca="1" si="0"/>
        <v>1.6805121122147147E-4</v>
      </c>
      <c r="G28" s="686">
        <v>320</v>
      </c>
      <c r="H28" s="806">
        <v>4.0000000000000003E-5</v>
      </c>
      <c r="I28" s="686">
        <f t="shared" ca="1" si="2"/>
        <v>5.0000000000000004E-6</v>
      </c>
      <c r="L28" s="2572"/>
      <c r="M28" s="146">
        <v>0.4</v>
      </c>
      <c r="N28" s="146"/>
      <c r="O28" s="110">
        <v>0.39984999999999998</v>
      </c>
      <c r="P28" s="110"/>
      <c r="Q28" s="762">
        <f t="shared" si="1"/>
        <v>0</v>
      </c>
      <c r="T28" s="2572"/>
      <c r="U28" s="146">
        <v>0.4</v>
      </c>
      <c r="V28" s="146"/>
      <c r="W28" s="110">
        <v>0.39984999999999998</v>
      </c>
      <c r="X28" s="110"/>
    </row>
    <row r="29" spans="1:24" outlineLevel="1">
      <c r="A29" s="2572"/>
      <c r="B29" s="146">
        <v>0.3</v>
      </c>
      <c r="C29" s="146"/>
      <c r="D29" s="110">
        <v>0.29988999999999999</v>
      </c>
      <c r="E29" s="805"/>
      <c r="F29" s="762">
        <f t="shared" ca="1" si="0"/>
        <v>1.3608733272440761E-4</v>
      </c>
      <c r="G29" s="686">
        <v>320</v>
      </c>
      <c r="H29" s="806">
        <v>4.0000000000000003E-5</v>
      </c>
      <c r="I29" s="686">
        <f t="shared" ca="1" si="2"/>
        <v>5.0000000000000004E-6</v>
      </c>
      <c r="L29" s="2572"/>
      <c r="M29" s="146">
        <v>0.3</v>
      </c>
      <c r="N29" s="146"/>
      <c r="O29" s="110">
        <v>0.29988999999999999</v>
      </c>
      <c r="P29" s="110"/>
      <c r="Q29" s="762">
        <f t="shared" si="1"/>
        <v>0</v>
      </c>
      <c r="T29" s="2572"/>
      <c r="U29" s="146">
        <v>0.3</v>
      </c>
      <c r="V29" s="146"/>
      <c r="W29" s="110">
        <v>0.29988999999999999</v>
      </c>
      <c r="X29" s="110"/>
    </row>
    <row r="30" spans="1:24" outlineLevel="1">
      <c r="A30" s="2572"/>
      <c r="B30" s="146">
        <v>0.2</v>
      </c>
      <c r="C30" s="146"/>
      <c r="D30" s="110">
        <v>0.19994999999999999</v>
      </c>
      <c r="E30" s="805"/>
      <c r="F30" s="762">
        <f t="shared" ca="1" si="0"/>
        <v>3.0279985045138322E-3</v>
      </c>
      <c r="G30" s="686">
        <v>140</v>
      </c>
      <c r="H30" s="815">
        <v>3.0000000000000001E-3</v>
      </c>
      <c r="I30" s="686">
        <f t="shared" ca="1" si="2"/>
        <v>5.0000000000000004E-6</v>
      </c>
      <c r="L30" s="2572"/>
      <c r="M30" s="146">
        <v>0.2</v>
      </c>
      <c r="N30" s="146"/>
      <c r="O30" s="110">
        <v>0.19994999999999999</v>
      </c>
      <c r="P30" s="110"/>
      <c r="Q30" s="762">
        <f t="shared" si="1"/>
        <v>0</v>
      </c>
      <c r="T30" s="2572"/>
      <c r="U30" s="146">
        <v>0.2</v>
      </c>
      <c r="V30" s="146"/>
      <c r="W30" s="110">
        <v>0.19994999999999999</v>
      </c>
      <c r="X30" s="110"/>
    </row>
    <row r="31" spans="1:24" outlineLevel="1">
      <c r="A31" s="2572"/>
      <c r="B31" s="146">
        <v>0.1</v>
      </c>
      <c r="C31" s="73"/>
      <c r="D31" s="73">
        <v>0.10002</v>
      </c>
      <c r="E31" s="805"/>
      <c r="F31" s="762">
        <f t="shared" ca="1" si="0"/>
        <v>3.0140083300642761E-3</v>
      </c>
      <c r="G31" s="686">
        <v>140</v>
      </c>
      <c r="H31" s="815">
        <v>3.0000000000000001E-3</v>
      </c>
      <c r="I31" s="686">
        <f t="shared" ca="1" si="2"/>
        <v>5.0000000000000004E-6</v>
      </c>
      <c r="L31" s="2572"/>
      <c r="M31" s="146">
        <v>0.1</v>
      </c>
      <c r="N31" s="73"/>
      <c r="O31" s="73">
        <v>0.10002</v>
      </c>
      <c r="P31" s="73"/>
      <c r="Q31" s="762">
        <f t="shared" si="1"/>
        <v>0</v>
      </c>
      <c r="T31" s="2572"/>
      <c r="U31" s="146">
        <v>0.1</v>
      </c>
      <c r="V31" s="73"/>
      <c r="W31" s="73">
        <v>0.10002</v>
      </c>
      <c r="X31" s="73"/>
    </row>
    <row r="32" spans="1:24" outlineLevel="1">
      <c r="A32" s="2569">
        <v>3</v>
      </c>
      <c r="B32" s="812">
        <v>3</v>
      </c>
      <c r="C32" s="812"/>
      <c r="D32" s="812">
        <v>3.0009000000000001</v>
      </c>
      <c r="E32" s="816"/>
      <c r="F32" s="817">
        <f t="shared" ca="1" si="0"/>
        <v>1.5514886723068148E-3</v>
      </c>
      <c r="G32" s="686">
        <v>460</v>
      </c>
      <c r="H32" s="806">
        <v>1.7000000000000001E-4</v>
      </c>
      <c r="I32" s="686">
        <f t="shared" ca="1" si="2"/>
        <v>5.0000000000000002E-5</v>
      </c>
      <c r="L32" s="2569">
        <v>3</v>
      </c>
      <c r="M32" s="812">
        <v>3</v>
      </c>
      <c r="N32" s="812"/>
      <c r="O32" s="812">
        <v>3.0009000000000001</v>
      </c>
      <c r="P32" s="812"/>
      <c r="Q32" s="95">
        <f t="shared" si="1"/>
        <v>3.464203233256351</v>
      </c>
      <c r="T32" s="2569">
        <v>3</v>
      </c>
      <c r="U32" s="812">
        <v>3</v>
      </c>
      <c r="V32" s="812"/>
      <c r="W32" s="812">
        <v>3.0009000000000001</v>
      </c>
      <c r="X32" s="812"/>
    </row>
    <row r="33" spans="1:24" outlineLevel="1">
      <c r="A33" s="2569"/>
      <c r="B33" s="812">
        <v>2</v>
      </c>
      <c r="C33" s="812"/>
      <c r="D33" s="812">
        <v>2.0005999999999999</v>
      </c>
      <c r="E33" s="816"/>
      <c r="F33" s="817">
        <f t="shared" ca="1" si="0"/>
        <v>6.826380342204514E-4</v>
      </c>
      <c r="G33" s="686">
        <v>320</v>
      </c>
      <c r="H33" s="806">
        <v>4.0000000000000003E-5</v>
      </c>
      <c r="I33" s="686">
        <f t="shared" ca="1" si="2"/>
        <v>5.0000000000000002E-5</v>
      </c>
      <c r="L33" s="2569"/>
      <c r="M33" s="812">
        <v>2</v>
      </c>
      <c r="N33" s="812"/>
      <c r="O33" s="812">
        <v>2.0005999999999999</v>
      </c>
      <c r="P33" s="812"/>
      <c r="Q33" s="95">
        <f t="shared" si="1"/>
        <v>0</v>
      </c>
      <c r="T33" s="2569"/>
      <c r="U33" s="812">
        <v>2</v>
      </c>
      <c r="V33" s="812"/>
      <c r="W33" s="812">
        <v>2.0005999999999999</v>
      </c>
      <c r="X33" s="812"/>
    </row>
    <row r="34" spans="1:24" outlineLevel="1">
      <c r="A34" s="2569"/>
      <c r="B34" s="812">
        <v>1</v>
      </c>
      <c r="C34" s="812"/>
      <c r="D34" s="812">
        <v>0.99970000000000003</v>
      </c>
      <c r="E34" s="816"/>
      <c r="F34" s="817">
        <f t="shared" ca="1" si="0"/>
        <v>3.6450571753590113E-4</v>
      </c>
      <c r="G34" s="686">
        <v>320</v>
      </c>
      <c r="H34" s="806">
        <v>4.0000000000000003E-5</v>
      </c>
      <c r="I34" s="686">
        <f t="shared" ca="1" si="2"/>
        <v>5.0000000000000002E-5</v>
      </c>
      <c r="L34" s="2569"/>
      <c r="M34" s="812">
        <v>1</v>
      </c>
      <c r="N34" s="812"/>
      <c r="O34" s="812">
        <v>0.99970000000000003</v>
      </c>
      <c r="P34" s="812"/>
      <c r="Q34" s="95">
        <f t="shared" si="1"/>
        <v>0</v>
      </c>
      <c r="T34" s="2569"/>
      <c r="U34" s="812">
        <v>1</v>
      </c>
      <c r="V34" s="812"/>
      <c r="W34" s="812">
        <v>0.99970000000000003</v>
      </c>
      <c r="X34" s="812"/>
    </row>
    <row r="35" spans="1:24" outlineLevel="1"/>
    <row r="36" spans="1:24" outlineLevel="1">
      <c r="A36" s="702" t="s">
        <v>2213</v>
      </c>
    </row>
    <row r="37" spans="1:24" outlineLevel="1">
      <c r="B37" s="702"/>
    </row>
    <row r="40" spans="1:24">
      <c r="A40" s="703" t="s">
        <v>2202</v>
      </c>
    </row>
    <row r="41" spans="1:24">
      <c r="A41" s="2579" t="s">
        <v>2214</v>
      </c>
      <c r="B41" s="2580"/>
      <c r="C41" s="2580"/>
      <c r="D41" s="2580"/>
    </row>
    <row r="42" spans="1:24">
      <c r="A42" s="713" t="s">
        <v>2215</v>
      </c>
      <c r="B42" t="s">
        <v>4385</v>
      </c>
      <c r="C42" s="714"/>
      <c r="D42" s="714"/>
      <c r="E42" s="714"/>
      <c r="F42" s="714"/>
      <c r="G42" s="714"/>
      <c r="H42" s="714"/>
      <c r="I42" s="714"/>
      <c r="J42" s="819">
        <v>1</v>
      </c>
      <c r="K42" s="819">
        <v>5</v>
      </c>
      <c r="L42" s="715"/>
      <c r="M42" s="715"/>
      <c r="N42" s="715"/>
      <c r="O42" s="716"/>
    </row>
    <row r="43" spans="1:24" ht="14.25" customHeight="1" outlineLevel="1">
      <c r="A43" s="2381" t="s">
        <v>2205</v>
      </c>
      <c r="B43" s="2382"/>
      <c r="C43" s="2385" t="s">
        <v>2208</v>
      </c>
      <c r="D43" s="2386"/>
      <c r="E43" s="2386"/>
      <c r="F43" s="2379"/>
      <c r="G43" s="2385" t="s">
        <v>2206</v>
      </c>
      <c r="H43" s="2386"/>
      <c r="I43" s="2386"/>
      <c r="J43" s="2379"/>
      <c r="K43" s="2385" t="s">
        <v>2216</v>
      </c>
      <c r="L43" s="2386"/>
      <c r="M43" s="2386"/>
      <c r="N43" s="2379"/>
      <c r="O43" s="820" t="s">
        <v>1874</v>
      </c>
      <c r="Q43" s="702" t="s">
        <v>2217</v>
      </c>
    </row>
    <row r="44" spans="1:24" ht="18.75" outlineLevel="1">
      <c r="A44" s="2383"/>
      <c r="B44" s="2384"/>
      <c r="C44" s="2378" t="s">
        <v>2218</v>
      </c>
      <c r="D44" s="2379"/>
      <c r="E44" s="2378" t="s">
        <v>2219</v>
      </c>
      <c r="F44" s="2379"/>
      <c r="G44" s="2378" t="s">
        <v>2218</v>
      </c>
      <c r="H44" s="2379"/>
      <c r="I44" s="2378" t="s">
        <v>2219</v>
      </c>
      <c r="J44" s="2379"/>
      <c r="K44" s="2378" t="s">
        <v>2218</v>
      </c>
      <c r="L44" s="2379"/>
      <c r="M44" s="2378" t="s">
        <v>2219</v>
      </c>
      <c r="N44" s="2379"/>
      <c r="O44" s="820" t="s">
        <v>2074</v>
      </c>
      <c r="Q44" s="794" t="s">
        <v>2220</v>
      </c>
    </row>
    <row r="45" spans="1:24" outlineLevel="1">
      <c r="A45" s="2565">
        <v>10</v>
      </c>
      <c r="B45" s="2566"/>
      <c r="C45" s="2561">
        <v>4.9400000000000004</v>
      </c>
      <c r="D45" s="2562"/>
      <c r="E45" s="2561">
        <v>4.96</v>
      </c>
      <c r="F45" s="2562"/>
      <c r="G45" s="2561">
        <v>5.0019999999999998</v>
      </c>
      <c r="H45" s="2562"/>
      <c r="I45" s="2561">
        <v>5.0030000000000001</v>
      </c>
      <c r="J45" s="2562"/>
      <c r="K45" s="2560" t="e">
        <f>(C45-G45)/$A$43*100</f>
        <v>#VALUE!</v>
      </c>
      <c r="L45" s="2353"/>
      <c r="M45" s="2560" t="e">
        <f>(E45-I45)/$A$43*100</f>
        <v>#VALUE!</v>
      </c>
      <c r="N45" s="2353"/>
      <c r="O45" s="2375">
        <f>2*(0.00002^2+0.00005^2+0.000029^2)^0.5</f>
        <v>1.2232742946698423E-4</v>
      </c>
      <c r="Q45" s="721" t="s">
        <v>2221</v>
      </c>
    </row>
    <row r="46" spans="1:24" outlineLevel="1">
      <c r="A46" s="2565"/>
      <c r="B46" s="2566"/>
      <c r="C46" s="2561">
        <v>4.4400000000000004</v>
      </c>
      <c r="D46" s="2562"/>
      <c r="E46" s="2561">
        <v>4.47</v>
      </c>
      <c r="F46" s="2562"/>
      <c r="G46" s="2561">
        <v>4.5030000000000001</v>
      </c>
      <c r="H46" s="2562"/>
      <c r="I46" s="2561">
        <v>4.5010000000000003</v>
      </c>
      <c r="J46" s="2562"/>
      <c r="K46" s="2560" t="e">
        <f t="shared" ref="K46:K62" si="3">(C46-G46)/$A$43*100</f>
        <v>#VALUE!</v>
      </c>
      <c r="L46" s="2353"/>
      <c r="M46" s="2560" t="e">
        <f>(E46-I46)/$A$43*100</f>
        <v>#VALUE!</v>
      </c>
      <c r="N46" s="2353"/>
      <c r="O46" s="2376"/>
    </row>
    <row r="47" spans="1:24" ht="18.75" outlineLevel="1">
      <c r="A47" s="2565"/>
      <c r="B47" s="2566"/>
      <c r="C47" s="2561">
        <v>3.95</v>
      </c>
      <c r="D47" s="2562"/>
      <c r="E47" s="2561">
        <v>3.97</v>
      </c>
      <c r="F47" s="2562"/>
      <c r="G47" s="2561">
        <v>4.0019999999999998</v>
      </c>
      <c r="H47" s="2562"/>
      <c r="I47" s="2561">
        <v>4.0039999999999996</v>
      </c>
      <c r="J47" s="2562"/>
      <c r="K47" s="2560" t="e">
        <f t="shared" si="3"/>
        <v>#VALUE!</v>
      </c>
      <c r="L47" s="2353"/>
      <c r="M47" s="2560" t="e">
        <f t="shared" ref="M47:M62" si="4">(E47-I47)/$A$43*100</f>
        <v>#VALUE!</v>
      </c>
      <c r="N47" s="2353"/>
      <c r="O47" s="2376"/>
      <c r="Q47" s="702" t="s">
        <v>2222</v>
      </c>
    </row>
    <row r="48" spans="1:24" ht="18.75" outlineLevel="1">
      <c r="A48" s="2565"/>
      <c r="B48" s="2566"/>
      <c r="C48" s="2561">
        <v>3.46</v>
      </c>
      <c r="D48" s="2562"/>
      <c r="E48" s="2561">
        <v>3.49</v>
      </c>
      <c r="F48" s="2562"/>
      <c r="G48" s="2561">
        <v>3.5019999999999998</v>
      </c>
      <c r="H48" s="2562"/>
      <c r="I48" s="2561">
        <v>3.504</v>
      </c>
      <c r="J48" s="2562"/>
      <c r="K48" s="2560" t="e">
        <f t="shared" si="3"/>
        <v>#VALUE!</v>
      </c>
      <c r="L48" s="2353"/>
      <c r="M48" s="2560" t="e">
        <f t="shared" si="4"/>
        <v>#VALUE!</v>
      </c>
      <c r="N48" s="2353"/>
      <c r="O48" s="2376"/>
      <c r="Q48" s="702" t="s">
        <v>2223</v>
      </c>
    </row>
    <row r="49" spans="1:50" outlineLevel="1">
      <c r="A49" s="2565"/>
      <c r="B49" s="2566"/>
      <c r="C49" s="2561">
        <v>2.97</v>
      </c>
      <c r="D49" s="2562"/>
      <c r="E49" s="2561">
        <v>2.96</v>
      </c>
      <c r="F49" s="2562"/>
      <c r="G49" s="2561">
        <v>3.0019999999999998</v>
      </c>
      <c r="H49" s="2562"/>
      <c r="I49" s="2561">
        <v>3.0019999999999998</v>
      </c>
      <c r="J49" s="2562"/>
      <c r="K49" s="2560" t="e">
        <f t="shared" si="3"/>
        <v>#VALUE!</v>
      </c>
      <c r="L49" s="2353"/>
      <c r="M49" s="2560" t="e">
        <f t="shared" si="4"/>
        <v>#VALUE!</v>
      </c>
      <c r="N49" s="2353"/>
      <c r="O49" s="2376"/>
      <c r="Q49" s="702" t="s">
        <v>2224</v>
      </c>
    </row>
    <row r="50" spans="1:50" outlineLevel="1">
      <c r="A50" s="2565"/>
      <c r="B50" s="2566"/>
      <c r="C50" s="2561">
        <v>2.46</v>
      </c>
      <c r="D50" s="2562"/>
      <c r="E50" s="2561">
        <v>2.4700000000000002</v>
      </c>
      <c r="F50" s="2562"/>
      <c r="G50" s="2561">
        <v>2.5030000000000001</v>
      </c>
      <c r="H50" s="2562"/>
      <c r="I50" s="2561">
        <v>2.5019999999999998</v>
      </c>
      <c r="J50" s="2562"/>
      <c r="K50" s="2560" t="e">
        <f t="shared" si="3"/>
        <v>#VALUE!</v>
      </c>
      <c r="L50" s="2353"/>
      <c r="M50" s="2560" t="e">
        <f t="shared" si="4"/>
        <v>#VALUE!</v>
      </c>
      <c r="N50" s="2353"/>
      <c r="O50" s="2376"/>
    </row>
    <row r="51" spans="1:50" outlineLevel="1">
      <c r="A51" s="2565"/>
      <c r="B51" s="2566"/>
      <c r="C51" s="2561">
        <v>1.96</v>
      </c>
      <c r="D51" s="2562"/>
      <c r="E51" s="2561">
        <v>1.97</v>
      </c>
      <c r="F51" s="2562"/>
      <c r="G51" s="2561">
        <v>2.0030000000000001</v>
      </c>
      <c r="H51" s="2562"/>
      <c r="I51" s="2561">
        <v>2.0030000000000001</v>
      </c>
      <c r="J51" s="2562"/>
      <c r="K51" s="2560" t="e">
        <f t="shared" si="3"/>
        <v>#VALUE!</v>
      </c>
      <c r="L51" s="2353"/>
      <c r="M51" s="2560" t="e">
        <f t="shared" si="4"/>
        <v>#VALUE!</v>
      </c>
      <c r="N51" s="2353"/>
      <c r="O51" s="2376"/>
    </row>
    <row r="52" spans="1:50" outlineLevel="1">
      <c r="A52" s="2565"/>
      <c r="B52" s="2566"/>
      <c r="C52" s="2561">
        <v>1.47</v>
      </c>
      <c r="D52" s="2562"/>
      <c r="E52" s="2561">
        <v>1.48</v>
      </c>
      <c r="F52" s="2562"/>
      <c r="G52" s="2561">
        <v>1.5029999999999999</v>
      </c>
      <c r="H52" s="2562"/>
      <c r="I52" s="2561">
        <v>1.5009999999999999</v>
      </c>
      <c r="J52" s="2562"/>
      <c r="K52" s="2560" t="e">
        <f t="shared" si="3"/>
        <v>#VALUE!</v>
      </c>
      <c r="L52" s="2353"/>
      <c r="M52" s="2560" t="e">
        <f t="shared" si="4"/>
        <v>#VALUE!</v>
      </c>
      <c r="N52" s="2353"/>
      <c r="O52" s="2376"/>
      <c r="T52" s="703" t="s">
        <v>2203</v>
      </c>
      <c r="AK52" s="703" t="s">
        <v>2204</v>
      </c>
    </row>
    <row r="53" spans="1:50" outlineLevel="1">
      <c r="A53" s="2565"/>
      <c r="B53" s="2566"/>
      <c r="C53" s="2561">
        <v>0.99</v>
      </c>
      <c r="D53" s="2562"/>
      <c r="E53" s="2561">
        <v>0.97</v>
      </c>
      <c r="F53" s="2562"/>
      <c r="G53" s="2561">
        <v>1.0029999999999999</v>
      </c>
      <c r="H53" s="2562"/>
      <c r="I53" s="2561">
        <v>1.0029999999999999</v>
      </c>
      <c r="J53" s="2562"/>
      <c r="K53" s="2560" t="e">
        <f t="shared" si="3"/>
        <v>#VALUE!</v>
      </c>
      <c r="L53" s="2353"/>
      <c r="M53" s="2560" t="e">
        <f t="shared" si="4"/>
        <v>#VALUE!</v>
      </c>
      <c r="N53" s="2353"/>
      <c r="O53" s="2376"/>
      <c r="T53" s="713" t="s">
        <v>2215</v>
      </c>
      <c r="U53" s="714" t="s">
        <v>121</v>
      </c>
      <c r="V53" s="714"/>
      <c r="W53" s="714"/>
      <c r="X53" s="714"/>
      <c r="Y53" s="714"/>
      <c r="Z53" s="714"/>
      <c r="AA53" s="714"/>
      <c r="AB53" s="714"/>
      <c r="AC53" s="819">
        <v>1</v>
      </c>
      <c r="AD53" s="819">
        <v>5</v>
      </c>
      <c r="AE53" s="715"/>
      <c r="AF53" s="715"/>
      <c r="AG53" s="715"/>
      <c r="AH53" s="716"/>
      <c r="AK53" s="713" t="s">
        <v>2215</v>
      </c>
      <c r="AL53" s="714" t="s">
        <v>121</v>
      </c>
      <c r="AM53" s="714"/>
      <c r="AN53" s="714"/>
      <c r="AO53" s="714"/>
      <c r="AP53" s="714"/>
      <c r="AQ53" s="714"/>
      <c r="AR53" s="714"/>
      <c r="AS53" s="714"/>
      <c r="AT53" s="819">
        <v>1</v>
      </c>
      <c r="AU53" s="819">
        <v>5</v>
      </c>
      <c r="AV53" s="715"/>
      <c r="AW53" s="715"/>
      <c r="AX53" s="715"/>
    </row>
    <row r="54" spans="1:50" ht="14.25" customHeight="1" outlineLevel="1">
      <c r="A54" s="2565"/>
      <c r="B54" s="2566"/>
      <c r="C54" s="2561">
        <v>0.48</v>
      </c>
      <c r="D54" s="2562"/>
      <c r="E54" s="2561">
        <v>0.46</v>
      </c>
      <c r="F54" s="2562"/>
      <c r="G54" s="2561">
        <v>0.502</v>
      </c>
      <c r="H54" s="2562"/>
      <c r="I54" s="2561">
        <v>0.501</v>
      </c>
      <c r="J54" s="2562"/>
      <c r="K54" s="2560" t="e">
        <f t="shared" si="3"/>
        <v>#VALUE!</v>
      </c>
      <c r="L54" s="2353"/>
      <c r="M54" s="2560" t="e">
        <f t="shared" si="4"/>
        <v>#VALUE!</v>
      </c>
      <c r="N54" s="2353"/>
      <c r="O54" s="2377"/>
      <c r="T54" s="2381" t="s">
        <v>2205</v>
      </c>
      <c r="U54" s="2382"/>
      <c r="V54" s="2385" t="s">
        <v>2208</v>
      </c>
      <c r="W54" s="2386"/>
      <c r="X54" s="2386"/>
      <c r="Y54" s="2379"/>
      <c r="Z54" s="2385" t="s">
        <v>2206</v>
      </c>
      <c r="AA54" s="2386"/>
      <c r="AB54" s="2386"/>
      <c r="AC54" s="2379"/>
      <c r="AD54" s="2385" t="s">
        <v>2216</v>
      </c>
      <c r="AE54" s="2386"/>
      <c r="AF54" s="2386"/>
      <c r="AG54" s="2379"/>
      <c r="AH54" s="820" t="s">
        <v>1874</v>
      </c>
      <c r="AK54" s="2381" t="s">
        <v>2205</v>
      </c>
      <c r="AL54" s="2382"/>
      <c r="AM54" s="2385" t="s">
        <v>2208</v>
      </c>
      <c r="AN54" s="2386"/>
      <c r="AO54" s="2386"/>
      <c r="AP54" s="2379"/>
      <c r="AQ54" s="2385" t="s">
        <v>2206</v>
      </c>
      <c r="AR54" s="2386"/>
      <c r="AS54" s="2386"/>
      <c r="AT54" s="2379"/>
      <c r="AU54" s="2385" t="s">
        <v>2216</v>
      </c>
      <c r="AV54" s="2386"/>
      <c r="AW54" s="2386"/>
      <c r="AX54" s="2379"/>
    </row>
    <row r="55" spans="1:50" ht="18.75" outlineLevel="1">
      <c r="A55" s="2567">
        <v>5</v>
      </c>
      <c r="B55" s="2568"/>
      <c r="C55" s="2561">
        <v>1.48</v>
      </c>
      <c r="D55" s="2562"/>
      <c r="E55" s="2561">
        <v>1.46</v>
      </c>
      <c r="F55" s="2562"/>
      <c r="G55" s="2561">
        <v>1.502</v>
      </c>
      <c r="H55" s="2562"/>
      <c r="I55" s="2561">
        <v>1.5009999999999999</v>
      </c>
      <c r="J55" s="2562"/>
      <c r="K55" s="2560" t="e">
        <f t="shared" si="3"/>
        <v>#VALUE!</v>
      </c>
      <c r="L55" s="2353"/>
      <c r="M55" s="2560" t="e">
        <f t="shared" si="4"/>
        <v>#VALUE!</v>
      </c>
      <c r="N55" s="2353"/>
      <c r="O55" s="723"/>
      <c r="T55" s="2383"/>
      <c r="U55" s="2384"/>
      <c r="V55" s="2378" t="s">
        <v>2218</v>
      </c>
      <c r="W55" s="2379"/>
      <c r="X55" s="2378" t="s">
        <v>2219</v>
      </c>
      <c r="Y55" s="2379"/>
      <c r="Z55" s="2378" t="s">
        <v>2218</v>
      </c>
      <c r="AA55" s="2379"/>
      <c r="AB55" s="2378" t="s">
        <v>2219</v>
      </c>
      <c r="AC55" s="2379"/>
      <c r="AD55" s="2378" t="s">
        <v>2218</v>
      </c>
      <c r="AE55" s="2379"/>
      <c r="AF55" s="2378" t="s">
        <v>2219</v>
      </c>
      <c r="AG55" s="2379"/>
      <c r="AH55" s="820" t="s">
        <v>2074</v>
      </c>
      <c r="AK55" s="2383"/>
      <c r="AL55" s="2384"/>
      <c r="AM55" s="2378" t="s">
        <v>2218</v>
      </c>
      <c r="AN55" s="2379"/>
      <c r="AO55" s="2378" t="s">
        <v>2219</v>
      </c>
      <c r="AP55" s="2379"/>
      <c r="AQ55" s="2378" t="s">
        <v>2218</v>
      </c>
      <c r="AR55" s="2379"/>
      <c r="AS55" s="2378" t="s">
        <v>2219</v>
      </c>
      <c r="AT55" s="2379"/>
      <c r="AU55" s="2378" t="s">
        <v>2218</v>
      </c>
      <c r="AV55" s="2379"/>
      <c r="AW55" s="2378" t="s">
        <v>2219</v>
      </c>
      <c r="AX55" s="2379"/>
    </row>
    <row r="56" spans="1:50" outlineLevel="1">
      <c r="A56" s="2567"/>
      <c r="B56" s="2568"/>
      <c r="C56" s="2561">
        <v>2.48</v>
      </c>
      <c r="D56" s="2562"/>
      <c r="E56" s="2561">
        <v>2.46</v>
      </c>
      <c r="F56" s="2562"/>
      <c r="G56" s="2561">
        <v>2.5019999999999998</v>
      </c>
      <c r="H56" s="2562"/>
      <c r="I56" s="2561">
        <v>2.5009999999999999</v>
      </c>
      <c r="J56" s="2562"/>
      <c r="K56" s="2560" t="e">
        <f t="shared" si="3"/>
        <v>#VALUE!</v>
      </c>
      <c r="L56" s="2353"/>
      <c r="M56" s="2560" t="e">
        <f t="shared" si="4"/>
        <v>#VALUE!</v>
      </c>
      <c r="N56" s="2353"/>
      <c r="O56" s="723"/>
      <c r="T56" s="2565">
        <v>10</v>
      </c>
      <c r="U56" s="2566"/>
      <c r="V56" s="2561">
        <v>4.9400000000000004</v>
      </c>
      <c r="W56" s="2562"/>
      <c r="X56" s="2561">
        <v>4.96</v>
      </c>
      <c r="Y56" s="2562"/>
      <c r="Z56" s="2561">
        <v>5.0019999999999998</v>
      </c>
      <c r="AA56" s="2562"/>
      <c r="AB56" s="2561">
        <v>5.0030000000000001</v>
      </c>
      <c r="AC56" s="2562"/>
      <c r="AD56" s="2560" t="e">
        <f>(V56-Z56)/$A$43*100</f>
        <v>#VALUE!</v>
      </c>
      <c r="AE56" s="2353"/>
      <c r="AF56" s="2560" t="e">
        <f>(X56-AB56)/$A$43*100</f>
        <v>#VALUE!</v>
      </c>
      <c r="AG56" s="2353"/>
      <c r="AH56" s="2375">
        <f>2*(0.00002^2+0.00005^2+0.000029^2)^0.5</f>
        <v>1.2232742946698423E-4</v>
      </c>
      <c r="AK56" s="2565">
        <v>10</v>
      </c>
      <c r="AL56" s="2566"/>
      <c r="AM56" s="2561">
        <v>4.9400000000000004</v>
      </c>
      <c r="AN56" s="2562"/>
      <c r="AO56" s="2561">
        <v>4.96</v>
      </c>
      <c r="AP56" s="2562"/>
      <c r="AQ56" s="2561">
        <v>5.0019999999999998</v>
      </c>
      <c r="AR56" s="2562"/>
      <c r="AS56" s="2561">
        <v>5.0030000000000001</v>
      </c>
      <c r="AT56" s="2562"/>
      <c r="AU56" s="2560" t="e">
        <f>(AM56-AQ56)/$A$43*100</f>
        <v>#VALUE!</v>
      </c>
      <c r="AV56" s="2353"/>
      <c r="AW56" s="2560" t="e">
        <f>(AO56-AS56)/$A$43*100</f>
        <v>#VALUE!</v>
      </c>
      <c r="AX56" s="2353"/>
    </row>
    <row r="57" spans="1:50" outlineLevel="1">
      <c r="A57" s="2567"/>
      <c r="B57" s="2568"/>
      <c r="C57" s="2561">
        <v>3.48</v>
      </c>
      <c r="D57" s="2562"/>
      <c r="E57" s="2561">
        <v>3.46</v>
      </c>
      <c r="F57" s="2562"/>
      <c r="G57" s="2561">
        <v>3.5019999999999998</v>
      </c>
      <c r="H57" s="2562"/>
      <c r="I57" s="2561">
        <v>3.5009999999999999</v>
      </c>
      <c r="J57" s="2562"/>
      <c r="K57" s="2560" t="e">
        <f t="shared" si="3"/>
        <v>#VALUE!</v>
      </c>
      <c r="L57" s="2353"/>
      <c r="M57" s="2560" t="e">
        <f t="shared" si="4"/>
        <v>#VALUE!</v>
      </c>
      <c r="N57" s="2353"/>
      <c r="O57" s="723"/>
      <c r="T57" s="2565"/>
      <c r="U57" s="2566"/>
      <c r="V57" s="2561">
        <v>4.4400000000000004</v>
      </c>
      <c r="W57" s="2562"/>
      <c r="X57" s="2561">
        <v>4.47</v>
      </c>
      <c r="Y57" s="2562"/>
      <c r="Z57" s="2561">
        <v>4.5030000000000001</v>
      </c>
      <c r="AA57" s="2562"/>
      <c r="AB57" s="2561">
        <v>4.5010000000000003</v>
      </c>
      <c r="AC57" s="2562"/>
      <c r="AD57" s="2560" t="e">
        <f t="shared" ref="AD57:AD73" si="5">(V57-Z57)/$A$43*100</f>
        <v>#VALUE!</v>
      </c>
      <c r="AE57" s="2353"/>
      <c r="AF57" s="2560" t="e">
        <f>(X57-AB57)/$A$43*100</f>
        <v>#VALUE!</v>
      </c>
      <c r="AG57" s="2353"/>
      <c r="AH57" s="2376"/>
      <c r="AK57" s="2565"/>
      <c r="AL57" s="2566"/>
      <c r="AM57" s="2561">
        <v>4.4400000000000004</v>
      </c>
      <c r="AN57" s="2562"/>
      <c r="AO57" s="2561">
        <v>4.47</v>
      </c>
      <c r="AP57" s="2562"/>
      <c r="AQ57" s="2561">
        <v>4.5030000000000001</v>
      </c>
      <c r="AR57" s="2562"/>
      <c r="AS57" s="2561">
        <v>4.5010000000000003</v>
      </c>
      <c r="AT57" s="2562"/>
      <c r="AU57" s="2560" t="e">
        <f t="shared" ref="AU57:AU73" si="6">(AM57-AQ57)/$A$43*100</f>
        <v>#VALUE!</v>
      </c>
      <c r="AV57" s="2353"/>
      <c r="AW57" s="2560" t="e">
        <f>(AO57-AS57)/$A$43*100</f>
        <v>#VALUE!</v>
      </c>
      <c r="AX57" s="2353"/>
    </row>
    <row r="58" spans="1:50" outlineLevel="1">
      <c r="A58" s="2567"/>
      <c r="B58" s="2568"/>
      <c r="C58" s="2561">
        <v>4.4800000000000004</v>
      </c>
      <c r="D58" s="2562"/>
      <c r="E58" s="2561">
        <v>4.46</v>
      </c>
      <c r="F58" s="2562"/>
      <c r="G58" s="2561">
        <v>4.5019999999999998</v>
      </c>
      <c r="H58" s="2562"/>
      <c r="I58" s="2561">
        <v>4.5010000000000003</v>
      </c>
      <c r="J58" s="2562"/>
      <c r="K58" s="2560" t="e">
        <f t="shared" si="3"/>
        <v>#VALUE!</v>
      </c>
      <c r="L58" s="2353"/>
      <c r="M58" s="2560" t="e">
        <f t="shared" si="4"/>
        <v>#VALUE!</v>
      </c>
      <c r="N58" s="2353"/>
      <c r="O58" s="723"/>
      <c r="T58" s="2565"/>
      <c r="U58" s="2566"/>
      <c r="V58" s="2561">
        <v>3.95</v>
      </c>
      <c r="W58" s="2562"/>
      <c r="X58" s="2561">
        <v>3.97</v>
      </c>
      <c r="Y58" s="2562"/>
      <c r="Z58" s="2561">
        <v>4.0019999999999998</v>
      </c>
      <c r="AA58" s="2562"/>
      <c r="AB58" s="2561">
        <v>4.0039999999999996</v>
      </c>
      <c r="AC58" s="2562"/>
      <c r="AD58" s="2560" t="e">
        <f t="shared" si="5"/>
        <v>#VALUE!</v>
      </c>
      <c r="AE58" s="2353"/>
      <c r="AF58" s="2560" t="e">
        <f t="shared" ref="AF58:AF73" si="7">(X58-AB58)/$A$43*100</f>
        <v>#VALUE!</v>
      </c>
      <c r="AG58" s="2353"/>
      <c r="AH58" s="2376"/>
      <c r="AK58" s="2565"/>
      <c r="AL58" s="2566"/>
      <c r="AM58" s="2561">
        <v>3.95</v>
      </c>
      <c r="AN58" s="2562"/>
      <c r="AO58" s="2561">
        <v>3.97</v>
      </c>
      <c r="AP58" s="2562"/>
      <c r="AQ58" s="2561">
        <v>4.0019999999999998</v>
      </c>
      <c r="AR58" s="2562"/>
      <c r="AS58" s="2561">
        <v>4.0039999999999996</v>
      </c>
      <c r="AT58" s="2562"/>
      <c r="AU58" s="2560" t="e">
        <f t="shared" si="6"/>
        <v>#VALUE!</v>
      </c>
      <c r="AV58" s="2353"/>
      <c r="AW58" s="2560" t="e">
        <f t="shared" ref="AW58:AW73" si="8">(AO58-AS58)/$A$43*100</f>
        <v>#VALUE!</v>
      </c>
      <c r="AX58" s="2353"/>
    </row>
    <row r="59" spans="1:50" outlineLevel="1">
      <c r="A59" s="2567"/>
      <c r="B59" s="2568"/>
      <c r="C59" s="2561">
        <v>5.48</v>
      </c>
      <c r="D59" s="2562"/>
      <c r="E59" s="2561">
        <v>5.46</v>
      </c>
      <c r="F59" s="2562"/>
      <c r="G59" s="2561">
        <v>5.5019999999999998</v>
      </c>
      <c r="H59" s="2562"/>
      <c r="I59" s="2561">
        <v>5.5010000000000003</v>
      </c>
      <c r="J59" s="2562"/>
      <c r="K59" s="2560" t="e">
        <f t="shared" si="3"/>
        <v>#VALUE!</v>
      </c>
      <c r="L59" s="2353"/>
      <c r="M59" s="2560" t="e">
        <f t="shared" si="4"/>
        <v>#VALUE!</v>
      </c>
      <c r="N59" s="2353"/>
      <c r="O59" s="723"/>
      <c r="T59" s="2565"/>
      <c r="U59" s="2566"/>
      <c r="V59" s="2561">
        <v>3.46</v>
      </c>
      <c r="W59" s="2562"/>
      <c r="X59" s="2561">
        <v>3.49</v>
      </c>
      <c r="Y59" s="2562"/>
      <c r="Z59" s="2561">
        <v>3.5019999999999998</v>
      </c>
      <c r="AA59" s="2562"/>
      <c r="AB59" s="2561">
        <v>3.504</v>
      </c>
      <c r="AC59" s="2562"/>
      <c r="AD59" s="2560" t="e">
        <f t="shared" si="5"/>
        <v>#VALUE!</v>
      </c>
      <c r="AE59" s="2353"/>
      <c r="AF59" s="2560" t="e">
        <f t="shared" si="7"/>
        <v>#VALUE!</v>
      </c>
      <c r="AG59" s="2353"/>
      <c r="AH59" s="2376"/>
      <c r="AK59" s="2565"/>
      <c r="AL59" s="2566"/>
      <c r="AM59" s="2561">
        <v>3.46</v>
      </c>
      <c r="AN59" s="2562"/>
      <c r="AO59" s="2561">
        <v>3.49</v>
      </c>
      <c r="AP59" s="2562"/>
      <c r="AQ59" s="2561">
        <v>3.5019999999999998</v>
      </c>
      <c r="AR59" s="2562"/>
      <c r="AS59" s="2561">
        <v>3.504</v>
      </c>
      <c r="AT59" s="2562"/>
      <c r="AU59" s="2560" t="e">
        <f t="shared" si="6"/>
        <v>#VALUE!</v>
      </c>
      <c r="AV59" s="2353"/>
      <c r="AW59" s="2560" t="e">
        <f t="shared" si="8"/>
        <v>#VALUE!</v>
      </c>
      <c r="AX59" s="2353"/>
    </row>
    <row r="60" spans="1:50" outlineLevel="1">
      <c r="A60" s="2563">
        <v>10</v>
      </c>
      <c r="B60" s="2564"/>
      <c r="C60" s="2561">
        <v>6.48</v>
      </c>
      <c r="D60" s="2562"/>
      <c r="E60" s="2561">
        <v>6.46</v>
      </c>
      <c r="F60" s="2562"/>
      <c r="G60" s="2561">
        <v>6.5019999999999998</v>
      </c>
      <c r="H60" s="2562"/>
      <c r="I60" s="2561">
        <v>6.5010000000000003</v>
      </c>
      <c r="J60" s="2562"/>
      <c r="K60" s="2560" t="e">
        <f t="shared" si="3"/>
        <v>#VALUE!</v>
      </c>
      <c r="L60" s="2353"/>
      <c r="M60" s="2560" t="e">
        <f t="shared" si="4"/>
        <v>#VALUE!</v>
      </c>
      <c r="N60" s="2353"/>
      <c r="O60" s="723"/>
      <c r="T60" s="2565"/>
      <c r="U60" s="2566"/>
      <c r="V60" s="2561">
        <v>2.97</v>
      </c>
      <c r="W60" s="2562"/>
      <c r="X60" s="2561">
        <v>2.96</v>
      </c>
      <c r="Y60" s="2562"/>
      <c r="Z60" s="2561">
        <v>3.0019999999999998</v>
      </c>
      <c r="AA60" s="2562"/>
      <c r="AB60" s="2561">
        <v>3.0019999999999998</v>
      </c>
      <c r="AC60" s="2562"/>
      <c r="AD60" s="2560" t="e">
        <f t="shared" si="5"/>
        <v>#VALUE!</v>
      </c>
      <c r="AE60" s="2353"/>
      <c r="AF60" s="2560" t="e">
        <f t="shared" si="7"/>
        <v>#VALUE!</v>
      </c>
      <c r="AG60" s="2353"/>
      <c r="AH60" s="2376"/>
      <c r="AK60" s="2565"/>
      <c r="AL60" s="2566"/>
      <c r="AM60" s="2561">
        <v>2.97</v>
      </c>
      <c r="AN60" s="2562"/>
      <c r="AO60" s="2561">
        <v>2.96</v>
      </c>
      <c r="AP60" s="2562"/>
      <c r="AQ60" s="2561">
        <v>3.0019999999999998</v>
      </c>
      <c r="AR60" s="2562"/>
      <c r="AS60" s="2561">
        <v>3.0019999999999998</v>
      </c>
      <c r="AT60" s="2562"/>
      <c r="AU60" s="2560" t="e">
        <f t="shared" si="6"/>
        <v>#VALUE!</v>
      </c>
      <c r="AV60" s="2353"/>
      <c r="AW60" s="2560" t="e">
        <f t="shared" si="8"/>
        <v>#VALUE!</v>
      </c>
      <c r="AX60" s="2353"/>
    </row>
    <row r="61" spans="1:50" outlineLevel="1">
      <c r="A61" s="2563"/>
      <c r="B61" s="2564"/>
      <c r="C61" s="2561">
        <v>7.48</v>
      </c>
      <c r="D61" s="2562"/>
      <c r="E61" s="2561">
        <v>7.46</v>
      </c>
      <c r="F61" s="2562"/>
      <c r="G61" s="2561">
        <v>7.5019999999999998</v>
      </c>
      <c r="H61" s="2562"/>
      <c r="I61" s="2561">
        <v>7.5010000000000003</v>
      </c>
      <c r="J61" s="2562"/>
      <c r="K61" s="2560" t="e">
        <f t="shared" si="3"/>
        <v>#VALUE!</v>
      </c>
      <c r="L61" s="2353"/>
      <c r="M61" s="2560" t="e">
        <f t="shared" si="4"/>
        <v>#VALUE!</v>
      </c>
      <c r="N61" s="2353"/>
      <c r="O61" s="723"/>
      <c r="T61" s="2565"/>
      <c r="U61" s="2566"/>
      <c r="V61" s="2561">
        <v>2.46</v>
      </c>
      <c r="W61" s="2562"/>
      <c r="X61" s="2561">
        <v>2.4700000000000002</v>
      </c>
      <c r="Y61" s="2562"/>
      <c r="Z61" s="2561">
        <v>2.5030000000000001</v>
      </c>
      <c r="AA61" s="2562"/>
      <c r="AB61" s="2561">
        <v>2.5019999999999998</v>
      </c>
      <c r="AC61" s="2562"/>
      <c r="AD61" s="2560" t="e">
        <f t="shared" si="5"/>
        <v>#VALUE!</v>
      </c>
      <c r="AE61" s="2353"/>
      <c r="AF61" s="2560" t="e">
        <f t="shared" si="7"/>
        <v>#VALUE!</v>
      </c>
      <c r="AG61" s="2353"/>
      <c r="AH61" s="2376"/>
      <c r="AK61" s="2565"/>
      <c r="AL61" s="2566"/>
      <c r="AM61" s="2561">
        <v>2.46</v>
      </c>
      <c r="AN61" s="2562"/>
      <c r="AO61" s="2561">
        <v>2.4700000000000002</v>
      </c>
      <c r="AP61" s="2562"/>
      <c r="AQ61" s="2561">
        <v>2.5030000000000001</v>
      </c>
      <c r="AR61" s="2562"/>
      <c r="AS61" s="2561">
        <v>2.5019999999999998</v>
      </c>
      <c r="AT61" s="2562"/>
      <c r="AU61" s="2560" t="e">
        <f t="shared" si="6"/>
        <v>#VALUE!</v>
      </c>
      <c r="AV61" s="2353"/>
      <c r="AW61" s="2560" t="e">
        <f t="shared" si="8"/>
        <v>#VALUE!</v>
      </c>
      <c r="AX61" s="2353"/>
    </row>
    <row r="62" spans="1:50" outlineLevel="1">
      <c r="A62" s="2563"/>
      <c r="B62" s="2564"/>
      <c r="C62" s="2561">
        <v>8.48</v>
      </c>
      <c r="D62" s="2562"/>
      <c r="E62" s="2561">
        <v>8.4600000000000009</v>
      </c>
      <c r="F62" s="2562"/>
      <c r="G62" s="2561">
        <v>8.5020000000000007</v>
      </c>
      <c r="H62" s="2562"/>
      <c r="I62" s="2561">
        <v>8.5009999999999994</v>
      </c>
      <c r="J62" s="2562"/>
      <c r="K62" s="2560" t="e">
        <f t="shared" si="3"/>
        <v>#VALUE!</v>
      </c>
      <c r="L62" s="2353"/>
      <c r="M62" s="2560" t="e">
        <f t="shared" si="4"/>
        <v>#VALUE!</v>
      </c>
      <c r="N62" s="2353"/>
      <c r="O62" s="723"/>
      <c r="T62" s="2565"/>
      <c r="U62" s="2566"/>
      <c r="V62" s="2561">
        <v>1.96</v>
      </c>
      <c r="W62" s="2562"/>
      <c r="X62" s="2561">
        <v>1.97</v>
      </c>
      <c r="Y62" s="2562"/>
      <c r="Z62" s="2561">
        <v>2.0030000000000001</v>
      </c>
      <c r="AA62" s="2562"/>
      <c r="AB62" s="2561">
        <v>2.0030000000000001</v>
      </c>
      <c r="AC62" s="2562"/>
      <c r="AD62" s="2560" t="e">
        <f t="shared" si="5"/>
        <v>#VALUE!</v>
      </c>
      <c r="AE62" s="2353"/>
      <c r="AF62" s="2560" t="e">
        <f t="shared" si="7"/>
        <v>#VALUE!</v>
      </c>
      <c r="AG62" s="2353"/>
      <c r="AH62" s="2376"/>
      <c r="AK62" s="2565"/>
      <c r="AL62" s="2566"/>
      <c r="AM62" s="2561">
        <v>1.96</v>
      </c>
      <c r="AN62" s="2562"/>
      <c r="AO62" s="2561">
        <v>1.97</v>
      </c>
      <c r="AP62" s="2562"/>
      <c r="AQ62" s="2561">
        <v>2.0030000000000001</v>
      </c>
      <c r="AR62" s="2562"/>
      <c r="AS62" s="2561">
        <v>2.0030000000000001</v>
      </c>
      <c r="AT62" s="2562"/>
      <c r="AU62" s="2560" t="e">
        <f t="shared" si="6"/>
        <v>#VALUE!</v>
      </c>
      <c r="AV62" s="2353"/>
      <c r="AW62" s="2560" t="e">
        <f t="shared" si="8"/>
        <v>#VALUE!</v>
      </c>
      <c r="AX62" s="2353"/>
    </row>
    <row r="63" spans="1:50" outlineLevel="1">
      <c r="A63" s="2575" t="s">
        <v>122</v>
      </c>
      <c r="B63" s="2576"/>
      <c r="C63" s="2576"/>
      <c r="D63" s="2576"/>
      <c r="E63" s="2576"/>
      <c r="F63" s="2576"/>
      <c r="G63" s="2576"/>
      <c r="H63" s="2576"/>
      <c r="I63" s="2576"/>
      <c r="J63" s="2576"/>
      <c r="K63" s="2576"/>
      <c r="L63" s="2576"/>
      <c r="M63" s="2576"/>
      <c r="N63" s="2576"/>
      <c r="O63" s="2577"/>
      <c r="T63" s="2565"/>
      <c r="U63" s="2566"/>
      <c r="V63" s="2561">
        <v>1.47</v>
      </c>
      <c r="W63" s="2562"/>
      <c r="X63" s="2561">
        <v>1.48</v>
      </c>
      <c r="Y63" s="2562"/>
      <c r="Z63" s="2561">
        <v>1.5029999999999999</v>
      </c>
      <c r="AA63" s="2562"/>
      <c r="AB63" s="2561">
        <v>1.5009999999999999</v>
      </c>
      <c r="AC63" s="2562"/>
      <c r="AD63" s="2560" t="e">
        <f t="shared" si="5"/>
        <v>#VALUE!</v>
      </c>
      <c r="AE63" s="2353"/>
      <c r="AF63" s="2560" t="e">
        <f t="shared" si="7"/>
        <v>#VALUE!</v>
      </c>
      <c r="AG63" s="2353"/>
      <c r="AH63" s="2376"/>
      <c r="AK63" s="2565"/>
      <c r="AL63" s="2566"/>
      <c r="AM63" s="2561">
        <v>1.47</v>
      </c>
      <c r="AN63" s="2562"/>
      <c r="AO63" s="2561">
        <v>1.48</v>
      </c>
      <c r="AP63" s="2562"/>
      <c r="AQ63" s="2561">
        <v>1.5029999999999999</v>
      </c>
      <c r="AR63" s="2562"/>
      <c r="AS63" s="2561">
        <v>1.5009999999999999</v>
      </c>
      <c r="AT63" s="2562"/>
      <c r="AU63" s="2560" t="e">
        <f t="shared" si="6"/>
        <v>#VALUE!</v>
      </c>
      <c r="AV63" s="2353"/>
      <c r="AW63" s="2560" t="e">
        <f t="shared" si="8"/>
        <v>#VALUE!</v>
      </c>
      <c r="AX63" s="2353"/>
    </row>
    <row r="64" spans="1:50" s="28" customFormat="1">
      <c r="A64" s="823"/>
      <c r="B64" s="824"/>
      <c r="C64" s="824"/>
      <c r="D64" s="824"/>
      <c r="E64" s="824"/>
      <c r="F64" s="825"/>
      <c r="G64" s="825"/>
      <c r="H64" s="825"/>
      <c r="I64" s="826"/>
      <c r="J64" s="826"/>
      <c r="K64" s="826"/>
      <c r="L64" s="827"/>
      <c r="M64" s="827"/>
      <c r="N64" s="725"/>
      <c r="O64" s="827"/>
      <c r="T64" s="2565"/>
      <c r="U64" s="2566"/>
      <c r="V64" s="2561">
        <v>0.99</v>
      </c>
      <c r="W64" s="2562"/>
      <c r="X64" s="2561">
        <v>0.97</v>
      </c>
      <c r="Y64" s="2562"/>
      <c r="Z64" s="2561">
        <v>1.0029999999999999</v>
      </c>
      <c r="AA64" s="2562"/>
      <c r="AB64" s="2561">
        <v>1.0029999999999999</v>
      </c>
      <c r="AC64" s="2562"/>
      <c r="AD64" s="2560" t="e">
        <f t="shared" si="5"/>
        <v>#VALUE!</v>
      </c>
      <c r="AE64" s="2353"/>
      <c r="AF64" s="2560" t="e">
        <f t="shared" si="7"/>
        <v>#VALUE!</v>
      </c>
      <c r="AG64" s="2353"/>
      <c r="AH64" s="2376"/>
      <c r="AK64" s="2565"/>
      <c r="AL64" s="2566"/>
      <c r="AM64" s="2561">
        <v>0.99</v>
      </c>
      <c r="AN64" s="2562"/>
      <c r="AO64" s="2561">
        <v>0.97</v>
      </c>
      <c r="AP64" s="2562"/>
      <c r="AQ64" s="2561">
        <v>1.0029999999999999</v>
      </c>
      <c r="AR64" s="2562"/>
      <c r="AS64" s="2561">
        <v>1.0029999999999999</v>
      </c>
      <c r="AT64" s="2562"/>
      <c r="AU64" s="2560" t="e">
        <f t="shared" si="6"/>
        <v>#VALUE!</v>
      </c>
      <c r="AV64" s="2353"/>
      <c r="AW64" s="2560" t="e">
        <f t="shared" si="8"/>
        <v>#VALUE!</v>
      </c>
      <c r="AX64" s="2353"/>
    </row>
    <row r="65" spans="1:50">
      <c r="A65" s="828"/>
      <c r="B65" s="828"/>
      <c r="C65" s="828"/>
      <c r="D65" s="828"/>
      <c r="E65" s="828"/>
      <c r="F65" s="829"/>
      <c r="G65" s="829"/>
      <c r="H65" s="829"/>
      <c r="I65" s="830"/>
      <c r="J65" s="830"/>
      <c r="K65" s="830"/>
      <c r="L65" s="723"/>
      <c r="M65" s="723"/>
      <c r="N65" s="723"/>
      <c r="O65" s="723"/>
      <c r="T65" s="2565"/>
      <c r="U65" s="2566"/>
      <c r="V65" s="2561">
        <v>0.48</v>
      </c>
      <c r="W65" s="2562"/>
      <c r="X65" s="2561">
        <v>0.46</v>
      </c>
      <c r="Y65" s="2562"/>
      <c r="Z65" s="2561">
        <v>0.502</v>
      </c>
      <c r="AA65" s="2562"/>
      <c r="AB65" s="2561">
        <v>0.501</v>
      </c>
      <c r="AC65" s="2562"/>
      <c r="AD65" s="2560" t="e">
        <f t="shared" si="5"/>
        <v>#VALUE!</v>
      </c>
      <c r="AE65" s="2353"/>
      <c r="AF65" s="2560" t="e">
        <f t="shared" si="7"/>
        <v>#VALUE!</v>
      </c>
      <c r="AG65" s="2353"/>
      <c r="AH65" s="2377"/>
      <c r="AK65" s="2565"/>
      <c r="AL65" s="2566"/>
      <c r="AM65" s="2561">
        <v>0.48</v>
      </c>
      <c r="AN65" s="2562"/>
      <c r="AO65" s="2561">
        <v>0.46</v>
      </c>
      <c r="AP65" s="2562"/>
      <c r="AQ65" s="2561">
        <v>0.502</v>
      </c>
      <c r="AR65" s="2562"/>
      <c r="AS65" s="2561">
        <v>0.501</v>
      </c>
      <c r="AT65" s="2562"/>
      <c r="AU65" s="2560" t="e">
        <f t="shared" si="6"/>
        <v>#VALUE!</v>
      </c>
      <c r="AV65" s="2353"/>
      <c r="AW65" s="2560" t="e">
        <f t="shared" si="8"/>
        <v>#VALUE!</v>
      </c>
      <c r="AX65" s="2353"/>
    </row>
    <row r="66" spans="1:50">
      <c r="T66" s="2567">
        <v>5</v>
      </c>
      <c r="U66" s="2568"/>
      <c r="V66" s="2561">
        <v>1.48</v>
      </c>
      <c r="W66" s="2562"/>
      <c r="X66" s="2561">
        <v>1.46</v>
      </c>
      <c r="Y66" s="2562"/>
      <c r="Z66" s="2561">
        <v>1.502</v>
      </c>
      <c r="AA66" s="2562"/>
      <c r="AB66" s="2561">
        <v>1.5009999999999999</v>
      </c>
      <c r="AC66" s="2562"/>
      <c r="AD66" s="2560" t="e">
        <f t="shared" si="5"/>
        <v>#VALUE!</v>
      </c>
      <c r="AE66" s="2353"/>
      <c r="AF66" s="2560" t="e">
        <f t="shared" si="7"/>
        <v>#VALUE!</v>
      </c>
      <c r="AG66" s="2353"/>
      <c r="AH66" s="723"/>
      <c r="AK66" s="2567">
        <v>5</v>
      </c>
      <c r="AL66" s="2568"/>
      <c r="AM66" s="2561">
        <v>1.48</v>
      </c>
      <c r="AN66" s="2562"/>
      <c r="AO66" s="2561">
        <v>1.46</v>
      </c>
      <c r="AP66" s="2562"/>
      <c r="AQ66" s="2561">
        <v>1.502</v>
      </c>
      <c r="AR66" s="2562"/>
      <c r="AS66" s="2561">
        <v>1.5009999999999999</v>
      </c>
      <c r="AT66" s="2562"/>
      <c r="AU66" s="2560" t="e">
        <f t="shared" si="6"/>
        <v>#VALUE!</v>
      </c>
      <c r="AV66" s="2353"/>
      <c r="AW66" s="2560" t="e">
        <f t="shared" si="8"/>
        <v>#VALUE!</v>
      </c>
      <c r="AX66" s="2353"/>
    </row>
    <row r="67" spans="1:50">
      <c r="T67" s="2567"/>
      <c r="U67" s="2568"/>
      <c r="V67" s="2561">
        <v>2.48</v>
      </c>
      <c r="W67" s="2562"/>
      <c r="X67" s="2561">
        <v>2.46</v>
      </c>
      <c r="Y67" s="2562"/>
      <c r="Z67" s="2561">
        <v>2.5019999999999998</v>
      </c>
      <c r="AA67" s="2562"/>
      <c r="AB67" s="2561">
        <v>2.5009999999999999</v>
      </c>
      <c r="AC67" s="2562"/>
      <c r="AD67" s="2560" t="e">
        <f t="shared" si="5"/>
        <v>#VALUE!</v>
      </c>
      <c r="AE67" s="2353"/>
      <c r="AF67" s="2560" t="e">
        <f t="shared" si="7"/>
        <v>#VALUE!</v>
      </c>
      <c r="AG67" s="2353"/>
      <c r="AH67" s="723"/>
      <c r="AK67" s="2567"/>
      <c r="AL67" s="2568"/>
      <c r="AM67" s="2561">
        <v>2.48</v>
      </c>
      <c r="AN67" s="2562"/>
      <c r="AO67" s="2561">
        <v>2.46</v>
      </c>
      <c r="AP67" s="2562"/>
      <c r="AQ67" s="2561">
        <v>2.5019999999999998</v>
      </c>
      <c r="AR67" s="2562"/>
      <c r="AS67" s="2561">
        <v>2.5009999999999999</v>
      </c>
      <c r="AT67" s="2562"/>
      <c r="AU67" s="2560" t="e">
        <f t="shared" si="6"/>
        <v>#VALUE!</v>
      </c>
      <c r="AV67" s="2353"/>
      <c r="AW67" s="2560" t="e">
        <f t="shared" si="8"/>
        <v>#VALUE!</v>
      </c>
      <c r="AX67" s="2353"/>
    </row>
    <row r="68" spans="1:50">
      <c r="A68" s="713" t="s">
        <v>2225</v>
      </c>
      <c r="B68" s="714" t="s">
        <v>121</v>
      </c>
      <c r="C68" s="714"/>
      <c r="D68" s="714"/>
      <c r="E68" s="714"/>
      <c r="F68" s="714"/>
      <c r="G68" s="714"/>
      <c r="H68" s="714"/>
      <c r="I68" s="714"/>
      <c r="J68" s="819">
        <v>1</v>
      </c>
      <c r="K68" s="819">
        <v>5</v>
      </c>
      <c r="L68" s="716"/>
      <c r="T68" s="2567"/>
      <c r="U68" s="2568"/>
      <c r="V68" s="2561">
        <v>3.48</v>
      </c>
      <c r="W68" s="2562"/>
      <c r="X68" s="2561">
        <v>3.46</v>
      </c>
      <c r="Y68" s="2562"/>
      <c r="Z68" s="2561">
        <v>3.5019999999999998</v>
      </c>
      <c r="AA68" s="2562"/>
      <c r="AB68" s="2561">
        <v>3.5009999999999999</v>
      </c>
      <c r="AC68" s="2562"/>
      <c r="AD68" s="2560" t="e">
        <f t="shared" si="5"/>
        <v>#VALUE!</v>
      </c>
      <c r="AE68" s="2353"/>
      <c r="AF68" s="2560" t="e">
        <f t="shared" si="7"/>
        <v>#VALUE!</v>
      </c>
      <c r="AG68" s="2353"/>
      <c r="AH68" s="723"/>
      <c r="AK68" s="2567"/>
      <c r="AL68" s="2568"/>
      <c r="AM68" s="2561">
        <v>3.48</v>
      </c>
      <c r="AN68" s="2562"/>
      <c r="AO68" s="2561">
        <v>3.46</v>
      </c>
      <c r="AP68" s="2562"/>
      <c r="AQ68" s="2561">
        <v>3.5019999999999998</v>
      </c>
      <c r="AR68" s="2562"/>
      <c r="AS68" s="2561">
        <v>3.5009999999999999</v>
      </c>
      <c r="AT68" s="2562"/>
      <c r="AU68" s="2560" t="e">
        <f t="shared" si="6"/>
        <v>#VALUE!</v>
      </c>
      <c r="AV68" s="2353"/>
      <c r="AW68" s="2560" t="e">
        <f t="shared" si="8"/>
        <v>#VALUE!</v>
      </c>
      <c r="AX68" s="2353"/>
    </row>
    <row r="69" spans="1:50" outlineLevel="1">
      <c r="A69" s="2381" t="s">
        <v>2205</v>
      </c>
      <c r="B69" s="2382"/>
      <c r="C69" s="2434" t="s">
        <v>2208</v>
      </c>
      <c r="D69" s="2434"/>
      <c r="E69" s="2434"/>
      <c r="F69" s="2385" t="s">
        <v>2206</v>
      </c>
      <c r="G69" s="2386"/>
      <c r="H69" s="2379"/>
      <c r="I69" s="2385" t="s">
        <v>2216</v>
      </c>
      <c r="J69" s="2386"/>
      <c r="K69" s="2379"/>
      <c r="L69" s="2431" t="s">
        <v>2226</v>
      </c>
      <c r="T69" s="2567"/>
      <c r="U69" s="2568"/>
      <c r="V69" s="2561">
        <v>4.4800000000000004</v>
      </c>
      <c r="W69" s="2562"/>
      <c r="X69" s="2561">
        <v>4.46</v>
      </c>
      <c r="Y69" s="2562"/>
      <c r="Z69" s="2561">
        <v>4.5019999999999998</v>
      </c>
      <c r="AA69" s="2562"/>
      <c r="AB69" s="2561">
        <v>4.5010000000000003</v>
      </c>
      <c r="AC69" s="2562"/>
      <c r="AD69" s="2560" t="e">
        <f t="shared" si="5"/>
        <v>#VALUE!</v>
      </c>
      <c r="AE69" s="2353"/>
      <c r="AF69" s="2560" t="e">
        <f t="shared" si="7"/>
        <v>#VALUE!</v>
      </c>
      <c r="AG69" s="2353"/>
      <c r="AH69" s="723"/>
      <c r="AK69" s="2567"/>
      <c r="AL69" s="2568"/>
      <c r="AM69" s="2561">
        <v>4.4800000000000004</v>
      </c>
      <c r="AN69" s="2562"/>
      <c r="AO69" s="2561">
        <v>4.46</v>
      </c>
      <c r="AP69" s="2562"/>
      <c r="AQ69" s="2561">
        <v>4.5019999999999998</v>
      </c>
      <c r="AR69" s="2562"/>
      <c r="AS69" s="2561">
        <v>4.5010000000000003</v>
      </c>
      <c r="AT69" s="2562"/>
      <c r="AU69" s="2560" t="e">
        <f t="shared" si="6"/>
        <v>#VALUE!</v>
      </c>
      <c r="AV69" s="2353"/>
      <c r="AW69" s="2560" t="e">
        <f t="shared" si="8"/>
        <v>#VALUE!</v>
      </c>
      <c r="AX69" s="2353"/>
    </row>
    <row r="70" spans="1:50" ht="18.75" outlineLevel="1">
      <c r="A70" s="2383"/>
      <c r="B70" s="2384"/>
      <c r="C70" s="698" t="s">
        <v>2227</v>
      </c>
      <c r="D70" s="698" t="s">
        <v>2228</v>
      </c>
      <c r="E70" s="698" t="s">
        <v>2229</v>
      </c>
      <c r="F70" s="698" t="s">
        <v>2227</v>
      </c>
      <c r="G70" s="698" t="s">
        <v>2228</v>
      </c>
      <c r="H70" s="698" t="s">
        <v>2229</v>
      </c>
      <c r="I70" s="698" t="s">
        <v>2227</v>
      </c>
      <c r="J70" s="698" t="s">
        <v>2228</v>
      </c>
      <c r="K70" s="698" t="s">
        <v>2229</v>
      </c>
      <c r="L70" s="2431"/>
      <c r="T70" s="2567"/>
      <c r="U70" s="2568"/>
      <c r="V70" s="2561">
        <v>5.48</v>
      </c>
      <c r="W70" s="2562"/>
      <c r="X70" s="2561">
        <v>5.46</v>
      </c>
      <c r="Y70" s="2562"/>
      <c r="Z70" s="2561">
        <v>5.5019999999999998</v>
      </c>
      <c r="AA70" s="2562"/>
      <c r="AB70" s="2561">
        <v>5.5010000000000003</v>
      </c>
      <c r="AC70" s="2562"/>
      <c r="AD70" s="2560" t="e">
        <f t="shared" si="5"/>
        <v>#VALUE!</v>
      </c>
      <c r="AE70" s="2353"/>
      <c r="AF70" s="2560" t="e">
        <f t="shared" si="7"/>
        <v>#VALUE!</v>
      </c>
      <c r="AG70" s="2353"/>
      <c r="AH70" s="723"/>
      <c r="AK70" s="2567"/>
      <c r="AL70" s="2568"/>
      <c r="AM70" s="2561">
        <v>5.48</v>
      </c>
      <c r="AN70" s="2562"/>
      <c r="AO70" s="2561">
        <v>5.46</v>
      </c>
      <c r="AP70" s="2562"/>
      <c r="AQ70" s="2561">
        <v>5.5019999999999998</v>
      </c>
      <c r="AR70" s="2562"/>
      <c r="AS70" s="2561">
        <v>5.5010000000000003</v>
      </c>
      <c r="AT70" s="2562"/>
      <c r="AU70" s="2560" t="e">
        <f t="shared" si="6"/>
        <v>#VALUE!</v>
      </c>
      <c r="AV70" s="2353"/>
      <c r="AW70" s="2560" t="e">
        <f t="shared" si="8"/>
        <v>#VALUE!</v>
      </c>
      <c r="AX70" s="2353"/>
    </row>
    <row r="71" spans="1:50" outlineLevel="1">
      <c r="A71" s="2565">
        <v>1</v>
      </c>
      <c r="B71" s="2566"/>
      <c r="C71" s="831">
        <v>1.00017</v>
      </c>
      <c r="D71" s="831">
        <v>1.0001599999999999</v>
      </c>
      <c r="E71" s="831">
        <v>1.0001100000000001</v>
      </c>
      <c r="F71" s="832">
        <v>1.0001100000000001</v>
      </c>
      <c r="G71" s="832">
        <v>1.00017</v>
      </c>
      <c r="H71" s="832">
        <v>0.99997000000000003</v>
      </c>
      <c r="I71" s="833" t="e">
        <f>(C71-F71)/$A$69*100</f>
        <v>#VALUE!</v>
      </c>
      <c r="J71" s="833" t="e">
        <f>(D71-G71)/$A$69*100</f>
        <v>#VALUE!</v>
      </c>
      <c r="K71" s="733" t="e">
        <f>(E71-H71)/$A$69*100</f>
        <v>#VALUE!</v>
      </c>
      <c r="L71" s="2416">
        <f>2*(0.00002^2+0.00005^2+0.00000029^2)^0.5</f>
        <v>1.07704857829162E-4</v>
      </c>
      <c r="T71" s="2563">
        <v>10</v>
      </c>
      <c r="U71" s="2564"/>
      <c r="V71" s="2561">
        <v>6.48</v>
      </c>
      <c r="W71" s="2562"/>
      <c r="X71" s="2561">
        <v>6.46</v>
      </c>
      <c r="Y71" s="2562"/>
      <c r="Z71" s="2561">
        <v>6.5019999999999998</v>
      </c>
      <c r="AA71" s="2562"/>
      <c r="AB71" s="2561">
        <v>6.5010000000000003</v>
      </c>
      <c r="AC71" s="2562"/>
      <c r="AD71" s="2560" t="e">
        <f t="shared" si="5"/>
        <v>#VALUE!</v>
      </c>
      <c r="AE71" s="2353"/>
      <c r="AF71" s="2560" t="e">
        <f t="shared" si="7"/>
        <v>#VALUE!</v>
      </c>
      <c r="AG71" s="2353"/>
      <c r="AH71" s="723"/>
      <c r="AK71" s="2563">
        <v>10</v>
      </c>
      <c r="AL71" s="2564"/>
      <c r="AM71" s="2561">
        <v>6.48</v>
      </c>
      <c r="AN71" s="2562"/>
      <c r="AO71" s="2561">
        <v>6.46</v>
      </c>
      <c r="AP71" s="2562"/>
      <c r="AQ71" s="2561">
        <v>6.5019999999999998</v>
      </c>
      <c r="AR71" s="2562"/>
      <c r="AS71" s="2561">
        <v>6.5010000000000003</v>
      </c>
      <c r="AT71" s="2562"/>
      <c r="AU71" s="2560" t="e">
        <f t="shared" si="6"/>
        <v>#VALUE!</v>
      </c>
      <c r="AV71" s="2353"/>
      <c r="AW71" s="2560" t="e">
        <f t="shared" si="8"/>
        <v>#VALUE!</v>
      </c>
      <c r="AX71" s="2353"/>
    </row>
    <row r="72" spans="1:50" outlineLevel="1">
      <c r="A72" s="2565"/>
      <c r="B72" s="2566"/>
      <c r="C72" s="831">
        <v>0.90015500000000004</v>
      </c>
      <c r="D72" s="831">
        <v>0.90012199999999998</v>
      </c>
      <c r="E72" s="831">
        <v>0.90010999999999997</v>
      </c>
      <c r="F72" s="832">
        <v>0.90012499999999995</v>
      </c>
      <c r="G72" s="832">
        <v>0.90017899999999995</v>
      </c>
      <c r="H72" s="832">
        <v>0.89993699999999999</v>
      </c>
      <c r="I72" s="833" t="e">
        <f t="shared" ref="I72:K88" si="9">(C72-F72)/$A$69*100</f>
        <v>#VALUE!</v>
      </c>
      <c r="J72" s="833" t="e">
        <f t="shared" si="9"/>
        <v>#VALUE!</v>
      </c>
      <c r="K72" s="733" t="e">
        <f t="shared" si="9"/>
        <v>#VALUE!</v>
      </c>
      <c r="L72" s="2417"/>
      <c r="T72" s="2563"/>
      <c r="U72" s="2564"/>
      <c r="V72" s="2561">
        <v>7.48</v>
      </c>
      <c r="W72" s="2562"/>
      <c r="X72" s="2561">
        <v>7.46</v>
      </c>
      <c r="Y72" s="2562"/>
      <c r="Z72" s="2561">
        <v>7.5019999999999998</v>
      </c>
      <c r="AA72" s="2562"/>
      <c r="AB72" s="2561">
        <v>7.5010000000000003</v>
      </c>
      <c r="AC72" s="2562"/>
      <c r="AD72" s="2560" t="e">
        <f t="shared" si="5"/>
        <v>#VALUE!</v>
      </c>
      <c r="AE72" s="2353"/>
      <c r="AF72" s="2560" t="e">
        <f t="shared" si="7"/>
        <v>#VALUE!</v>
      </c>
      <c r="AG72" s="2353"/>
      <c r="AH72" s="723"/>
      <c r="AK72" s="2563"/>
      <c r="AL72" s="2564"/>
      <c r="AM72" s="2561">
        <v>7.48</v>
      </c>
      <c r="AN72" s="2562"/>
      <c r="AO72" s="2561">
        <v>7.46</v>
      </c>
      <c r="AP72" s="2562"/>
      <c r="AQ72" s="2561">
        <v>7.5019999999999998</v>
      </c>
      <c r="AR72" s="2562"/>
      <c r="AS72" s="2561">
        <v>7.5010000000000003</v>
      </c>
      <c r="AT72" s="2562"/>
      <c r="AU72" s="2560" t="e">
        <f t="shared" si="6"/>
        <v>#VALUE!</v>
      </c>
      <c r="AV72" s="2353"/>
      <c r="AW72" s="2560" t="e">
        <f t="shared" si="8"/>
        <v>#VALUE!</v>
      </c>
      <c r="AX72" s="2353"/>
    </row>
    <row r="73" spans="1:50" outlineLevel="1">
      <c r="A73" s="2565"/>
      <c r="B73" s="2566"/>
      <c r="C73" s="831">
        <v>0.80009600000000003</v>
      </c>
      <c r="D73" s="831">
        <v>0.80010049999999999</v>
      </c>
      <c r="E73" s="831">
        <v>0.80010000000000003</v>
      </c>
      <c r="F73" s="832">
        <v>0.80006200000000005</v>
      </c>
      <c r="G73" s="832">
        <v>0.80015000000000003</v>
      </c>
      <c r="H73" s="832">
        <v>0.8</v>
      </c>
      <c r="I73" s="833" t="e">
        <f t="shared" si="9"/>
        <v>#VALUE!</v>
      </c>
      <c r="J73" s="833" t="e">
        <f t="shared" si="9"/>
        <v>#VALUE!</v>
      </c>
      <c r="K73" s="733" t="e">
        <f t="shared" si="9"/>
        <v>#VALUE!</v>
      </c>
      <c r="L73" s="2417"/>
      <c r="T73" s="2563"/>
      <c r="U73" s="2564"/>
      <c r="V73" s="2561">
        <v>8.48</v>
      </c>
      <c r="W73" s="2562"/>
      <c r="X73" s="2561">
        <v>8.4600000000000009</v>
      </c>
      <c r="Y73" s="2562"/>
      <c r="Z73" s="2561">
        <v>8.5020000000000007</v>
      </c>
      <c r="AA73" s="2562"/>
      <c r="AB73" s="2561">
        <v>8.5009999999999994</v>
      </c>
      <c r="AC73" s="2562"/>
      <c r="AD73" s="2560" t="e">
        <f t="shared" si="5"/>
        <v>#VALUE!</v>
      </c>
      <c r="AE73" s="2353"/>
      <c r="AF73" s="2560" t="e">
        <f t="shared" si="7"/>
        <v>#VALUE!</v>
      </c>
      <c r="AG73" s="2353"/>
      <c r="AH73" s="723"/>
      <c r="AK73" s="2563"/>
      <c r="AL73" s="2564"/>
      <c r="AM73" s="2561">
        <v>8.48</v>
      </c>
      <c r="AN73" s="2562"/>
      <c r="AO73" s="2561">
        <v>8.4600000000000009</v>
      </c>
      <c r="AP73" s="2562"/>
      <c r="AQ73" s="2561">
        <v>8.5020000000000007</v>
      </c>
      <c r="AR73" s="2562"/>
      <c r="AS73" s="2561">
        <v>8.5009999999999994</v>
      </c>
      <c r="AT73" s="2562"/>
      <c r="AU73" s="2560" t="e">
        <f t="shared" si="6"/>
        <v>#VALUE!</v>
      </c>
      <c r="AV73" s="2353"/>
      <c r="AW73" s="2560" t="e">
        <f t="shared" si="8"/>
        <v>#VALUE!</v>
      </c>
      <c r="AX73" s="2353"/>
    </row>
    <row r="74" spans="1:50" outlineLevel="1">
      <c r="A74" s="2565"/>
      <c r="B74" s="2566"/>
      <c r="C74" s="831">
        <v>0.70006999999999997</v>
      </c>
      <c r="D74" s="831">
        <v>0.70004</v>
      </c>
      <c r="E74" s="831">
        <v>0.70008099999999995</v>
      </c>
      <c r="F74" s="832">
        <v>0.70006999999999997</v>
      </c>
      <c r="G74" s="832">
        <v>0.70016</v>
      </c>
      <c r="H74" s="832">
        <v>0.70001000000000002</v>
      </c>
      <c r="I74" s="833" t="e">
        <f t="shared" si="9"/>
        <v>#VALUE!</v>
      </c>
      <c r="J74" s="833" t="e">
        <f t="shared" si="9"/>
        <v>#VALUE!</v>
      </c>
      <c r="K74" s="733" t="e">
        <f t="shared" si="9"/>
        <v>#VALUE!</v>
      </c>
      <c r="L74" s="2417"/>
    </row>
    <row r="75" spans="1:50" outlineLevel="1">
      <c r="A75" s="2565"/>
      <c r="B75" s="2566"/>
      <c r="C75" s="831">
        <v>0.60007999999999995</v>
      </c>
      <c r="D75" s="831">
        <v>0.60004999999999997</v>
      </c>
      <c r="E75" s="831">
        <v>0.60009999999999997</v>
      </c>
      <c r="F75" s="832">
        <v>0.60002500000000003</v>
      </c>
      <c r="G75" s="832">
        <v>0.60010699999999995</v>
      </c>
      <c r="H75" s="832">
        <v>0.59968999999999995</v>
      </c>
      <c r="I75" s="833" t="e">
        <f t="shared" si="9"/>
        <v>#VALUE!</v>
      </c>
      <c r="J75" s="833" t="e">
        <f t="shared" si="9"/>
        <v>#VALUE!</v>
      </c>
      <c r="K75" s="733" t="e">
        <f t="shared" si="9"/>
        <v>#VALUE!</v>
      </c>
      <c r="L75" s="2417"/>
    </row>
    <row r="76" spans="1:50" outlineLevel="1">
      <c r="A76" s="2565"/>
      <c r="B76" s="2566"/>
      <c r="C76" s="831">
        <v>0.49994</v>
      </c>
      <c r="D76" s="831">
        <v>0.49992999999999999</v>
      </c>
      <c r="E76" s="831">
        <v>0.5</v>
      </c>
      <c r="F76" s="832">
        <v>0.50002000000000002</v>
      </c>
      <c r="G76" s="832">
        <v>0.49997000000000003</v>
      </c>
      <c r="H76" s="832">
        <v>0.5</v>
      </c>
      <c r="I76" s="833" t="e">
        <f t="shared" si="9"/>
        <v>#VALUE!</v>
      </c>
      <c r="J76" s="833" t="e">
        <f t="shared" si="9"/>
        <v>#VALUE!</v>
      </c>
      <c r="K76" s="733" t="e">
        <f t="shared" si="9"/>
        <v>#VALUE!</v>
      </c>
      <c r="L76" s="2417"/>
    </row>
    <row r="77" spans="1:50" outlineLevel="1">
      <c r="A77" s="2565"/>
      <c r="B77" s="2566"/>
      <c r="C77" s="831">
        <v>0.40004000000000001</v>
      </c>
      <c r="D77" s="831">
        <v>0.40000999999999998</v>
      </c>
      <c r="E77" s="831">
        <v>0.40006000000000003</v>
      </c>
      <c r="F77" s="832">
        <v>0.40003</v>
      </c>
      <c r="G77" s="832">
        <v>0.40006000000000003</v>
      </c>
      <c r="H77" s="832">
        <v>0.39999000000000001</v>
      </c>
      <c r="I77" s="833" t="e">
        <f t="shared" si="9"/>
        <v>#VALUE!</v>
      </c>
      <c r="J77" s="833" t="e">
        <f t="shared" si="9"/>
        <v>#VALUE!</v>
      </c>
      <c r="K77" s="733" t="e">
        <f t="shared" si="9"/>
        <v>#VALUE!</v>
      </c>
      <c r="L77" s="2417"/>
    </row>
    <row r="78" spans="1:50" outlineLevel="1">
      <c r="A78" s="2565"/>
      <c r="B78" s="2566"/>
      <c r="C78" s="831">
        <v>0.30001</v>
      </c>
      <c r="D78" s="831">
        <v>0.30002000000000001</v>
      </c>
      <c r="E78" s="831">
        <v>0.29998000000000002</v>
      </c>
      <c r="F78" s="832">
        <v>0.30003000000000002</v>
      </c>
      <c r="G78" s="832">
        <v>0.30008400000000002</v>
      </c>
      <c r="H78" s="832">
        <v>0.29994999999999999</v>
      </c>
      <c r="I78" s="833" t="e">
        <f t="shared" si="9"/>
        <v>#VALUE!</v>
      </c>
      <c r="J78" s="833" t="e">
        <f t="shared" si="9"/>
        <v>#VALUE!</v>
      </c>
      <c r="K78" s="733" t="e">
        <f t="shared" si="9"/>
        <v>#VALUE!</v>
      </c>
      <c r="L78" s="2417"/>
    </row>
    <row r="79" spans="1:50" outlineLevel="1">
      <c r="A79" s="2565"/>
      <c r="B79" s="2566"/>
      <c r="C79" s="831">
        <v>0.20002</v>
      </c>
      <c r="D79" s="831">
        <v>0.20002</v>
      </c>
      <c r="E79" s="831">
        <v>0.20002500000000001</v>
      </c>
      <c r="F79" s="832">
        <v>0.20002</v>
      </c>
      <c r="G79" s="832">
        <v>0.20000999999999999</v>
      </c>
      <c r="H79" s="832">
        <v>0.2</v>
      </c>
      <c r="I79" s="833" t="e">
        <f t="shared" si="9"/>
        <v>#VALUE!</v>
      </c>
      <c r="J79" s="833" t="e">
        <f t="shared" si="9"/>
        <v>#VALUE!</v>
      </c>
      <c r="K79" s="733" t="e">
        <f t="shared" si="9"/>
        <v>#VALUE!</v>
      </c>
      <c r="L79" s="2417"/>
    </row>
    <row r="80" spans="1:50" outlineLevel="1">
      <c r="A80" s="2565"/>
      <c r="B80" s="2566"/>
      <c r="C80" s="831">
        <v>0.10012</v>
      </c>
      <c r="D80" s="831">
        <v>0.10009999999999999</v>
      </c>
      <c r="E80" s="831">
        <v>0.10002999999999999</v>
      </c>
      <c r="F80" s="832">
        <v>0.1</v>
      </c>
      <c r="G80" s="832">
        <v>9.9989999999999996E-2</v>
      </c>
      <c r="H80" s="832">
        <v>9.9989999999999996E-2</v>
      </c>
      <c r="I80" s="833" t="e">
        <f t="shared" si="9"/>
        <v>#VALUE!</v>
      </c>
      <c r="J80" s="833" t="e">
        <f t="shared" si="9"/>
        <v>#VALUE!</v>
      </c>
      <c r="K80" s="733" t="e">
        <f t="shared" si="9"/>
        <v>#VALUE!</v>
      </c>
      <c r="L80" s="2418"/>
    </row>
    <row r="81" spans="1:12" outlineLevel="1">
      <c r="A81" s="2565">
        <v>10</v>
      </c>
      <c r="B81" s="2566"/>
      <c r="C81" s="834">
        <v>9.9999699999999994</v>
      </c>
      <c r="D81" s="834">
        <v>10.0008</v>
      </c>
      <c r="E81" s="834">
        <v>9.9998100000000001</v>
      </c>
      <c r="F81" s="834">
        <v>10.0002</v>
      </c>
      <c r="G81" s="834">
        <v>10.001099999999999</v>
      </c>
      <c r="H81" s="834">
        <v>9.9995999999999992</v>
      </c>
      <c r="I81" s="833" t="e">
        <f t="shared" si="9"/>
        <v>#VALUE!</v>
      </c>
      <c r="J81" s="833" t="e">
        <f t="shared" si="9"/>
        <v>#VALUE!</v>
      </c>
      <c r="K81" s="733" t="e">
        <f t="shared" si="9"/>
        <v>#VALUE!</v>
      </c>
      <c r="L81" s="2416">
        <f>2*(0.00002^2+0.00005^2+0.0000029^2)^0.5</f>
        <v>1.0785935286288344E-4</v>
      </c>
    </row>
    <row r="82" spans="1:12" outlineLevel="1">
      <c r="A82" s="2565"/>
      <c r="B82" s="2566"/>
      <c r="C82" s="834">
        <v>8.0001200000000008</v>
      </c>
      <c r="D82" s="834">
        <v>8.0001200000000008</v>
      </c>
      <c r="E82" s="834">
        <v>8.0001200000000008</v>
      </c>
      <c r="F82" s="834">
        <v>8.0000999999999998</v>
      </c>
      <c r="G82" s="834">
        <v>8.0000599999999995</v>
      </c>
      <c r="H82" s="834">
        <v>8.0000300000000006</v>
      </c>
      <c r="I82" s="833" t="e">
        <f t="shared" si="9"/>
        <v>#VALUE!</v>
      </c>
      <c r="J82" s="833" t="e">
        <f t="shared" si="9"/>
        <v>#VALUE!</v>
      </c>
      <c r="K82" s="733" t="e">
        <f t="shared" si="9"/>
        <v>#VALUE!</v>
      </c>
      <c r="L82" s="2578"/>
    </row>
    <row r="83" spans="1:12" outlineLevel="1">
      <c r="A83" s="2565"/>
      <c r="B83" s="2566"/>
      <c r="C83" s="834">
        <v>6.0000099999999996</v>
      </c>
      <c r="D83" s="834">
        <v>6.0001699999999998</v>
      </c>
      <c r="E83" s="834">
        <v>5.9999399999999996</v>
      </c>
      <c r="F83" s="834">
        <v>6</v>
      </c>
      <c r="G83" s="834">
        <v>6.0001100000000003</v>
      </c>
      <c r="H83" s="834">
        <v>6.0007000000000001</v>
      </c>
      <c r="I83" s="833" t="e">
        <f t="shared" si="9"/>
        <v>#VALUE!</v>
      </c>
      <c r="J83" s="833" t="e">
        <f t="shared" si="9"/>
        <v>#VALUE!</v>
      </c>
      <c r="K83" s="733" t="e">
        <f t="shared" si="9"/>
        <v>#VALUE!</v>
      </c>
      <c r="L83" s="2578"/>
    </row>
    <row r="84" spans="1:12" outlineLevel="1">
      <c r="A84" s="2565"/>
      <c r="B84" s="2566"/>
      <c r="C84" s="834">
        <v>4.0000600000000004</v>
      </c>
      <c r="D84" s="834">
        <v>4.0003000000000002</v>
      </c>
      <c r="E84" s="834">
        <v>4.0001800000000003</v>
      </c>
      <c r="F84" s="834">
        <v>4.0000200000000001</v>
      </c>
      <c r="G84" s="834">
        <v>4</v>
      </c>
      <c r="H84" s="834">
        <v>4</v>
      </c>
      <c r="I84" s="833" t="e">
        <f t="shared" si="9"/>
        <v>#VALUE!</v>
      </c>
      <c r="J84" s="833" t="e">
        <f t="shared" si="9"/>
        <v>#VALUE!</v>
      </c>
      <c r="K84" s="733" t="e">
        <f t="shared" si="9"/>
        <v>#VALUE!</v>
      </c>
      <c r="L84" s="2578"/>
    </row>
    <row r="85" spans="1:12" outlineLevel="1">
      <c r="A85" s="2565"/>
      <c r="B85" s="2566"/>
      <c r="C85" s="834">
        <v>2.00007</v>
      </c>
      <c r="D85" s="834">
        <v>1.9999800000000001</v>
      </c>
      <c r="E85" s="834">
        <v>2.0000499999999999</v>
      </c>
      <c r="F85" s="834">
        <v>2</v>
      </c>
      <c r="G85" s="834">
        <v>2</v>
      </c>
      <c r="H85" s="834">
        <v>2</v>
      </c>
      <c r="I85" s="833" t="e">
        <f t="shared" si="9"/>
        <v>#VALUE!</v>
      </c>
      <c r="J85" s="833" t="e">
        <f t="shared" si="9"/>
        <v>#VALUE!</v>
      </c>
      <c r="K85" s="733" t="e">
        <f t="shared" si="9"/>
        <v>#VALUE!</v>
      </c>
      <c r="L85" s="2578"/>
    </row>
    <row r="86" spans="1:12" outlineLevel="1">
      <c r="A86" s="2563">
        <v>10</v>
      </c>
      <c r="B86" s="2564"/>
      <c r="C86" s="835">
        <v>10.010999999999999</v>
      </c>
      <c r="D86" s="836">
        <v>9.9751899999999996</v>
      </c>
      <c r="E86" s="836">
        <v>9.9853799999999993</v>
      </c>
      <c r="F86" s="835">
        <v>10.0113</v>
      </c>
      <c r="G86" s="836">
        <v>9.9754699999999996</v>
      </c>
      <c r="H86" s="836">
        <v>9.9851700000000001</v>
      </c>
      <c r="I86" s="833" t="e">
        <f t="shared" si="9"/>
        <v>#VALUE!</v>
      </c>
      <c r="J86" s="833" t="e">
        <f t="shared" si="9"/>
        <v>#VALUE!</v>
      </c>
      <c r="K86" s="733" t="e">
        <f t="shared" si="9"/>
        <v>#VALUE!</v>
      </c>
      <c r="L86" s="853"/>
    </row>
    <row r="87" spans="1:12" outlineLevel="1">
      <c r="A87" s="2563"/>
      <c r="B87" s="2564"/>
      <c r="C87" s="836">
        <v>6.0030200000000002</v>
      </c>
      <c r="D87" s="836">
        <v>5.98597</v>
      </c>
      <c r="E87" s="836">
        <v>5.9860100000000003</v>
      </c>
      <c r="F87" s="836">
        <v>6.0033000000000003</v>
      </c>
      <c r="G87" s="836">
        <v>5.9866099999999998</v>
      </c>
      <c r="H87" s="836">
        <v>5.9861000000000004</v>
      </c>
      <c r="I87" s="833" t="e">
        <f t="shared" si="9"/>
        <v>#VALUE!</v>
      </c>
      <c r="J87" s="833" t="e">
        <f t="shared" si="9"/>
        <v>#VALUE!</v>
      </c>
      <c r="K87" s="733" t="e">
        <f t="shared" si="9"/>
        <v>#VALUE!</v>
      </c>
      <c r="L87" s="854"/>
    </row>
    <row r="88" spans="1:12" outlineLevel="1">
      <c r="A88" s="2563"/>
      <c r="B88" s="2564"/>
      <c r="C88" s="836">
        <v>0.99368000000000001</v>
      </c>
      <c r="D88" s="836">
        <v>0.99804000000000004</v>
      </c>
      <c r="E88" s="836">
        <v>0.98719999999999997</v>
      </c>
      <c r="F88" s="836">
        <v>0.99387999999999999</v>
      </c>
      <c r="G88" s="836">
        <v>0.99778</v>
      </c>
      <c r="H88" s="836">
        <v>0.98719000000000001</v>
      </c>
      <c r="I88" s="833" t="e">
        <f t="shared" si="9"/>
        <v>#VALUE!</v>
      </c>
      <c r="J88" s="833" t="e">
        <f t="shared" si="9"/>
        <v>#VALUE!</v>
      </c>
      <c r="K88" s="733" t="e">
        <f t="shared" si="9"/>
        <v>#VALUE!</v>
      </c>
      <c r="L88" s="855"/>
    </row>
    <row r="89" spans="1:12" outlineLevel="1">
      <c r="A89" s="2575" t="s">
        <v>122</v>
      </c>
      <c r="B89" s="2576"/>
      <c r="C89" s="2576"/>
      <c r="D89" s="2576"/>
      <c r="E89" s="2576"/>
      <c r="F89" s="2576"/>
      <c r="G89" s="2576"/>
      <c r="H89" s="2576"/>
      <c r="I89" s="2576"/>
      <c r="J89" s="2576"/>
      <c r="K89" s="2576"/>
      <c r="L89" s="2577"/>
    </row>
  </sheetData>
  <mergeCells count="404">
    <mergeCell ref="A1:C1"/>
    <mergeCell ref="A3:C3"/>
    <mergeCell ref="A20:A21"/>
    <mergeCell ref="B20:B21"/>
    <mergeCell ref="D20:D21"/>
    <mergeCell ref="G44:H44"/>
    <mergeCell ref="F20:F21"/>
    <mergeCell ref="A22:A31"/>
    <mergeCell ref="A32:A34"/>
    <mergeCell ref="C20:C21"/>
    <mergeCell ref="L32:L34"/>
    <mergeCell ref="I47:J47"/>
    <mergeCell ref="A41:D41"/>
    <mergeCell ref="A43:B44"/>
    <mergeCell ref="C43:F43"/>
    <mergeCell ref="G43:J43"/>
    <mergeCell ref="K43:N43"/>
    <mergeCell ref="C44:D44"/>
    <mergeCell ref="E44:F44"/>
    <mergeCell ref="C47:D47"/>
    <mergeCell ref="I44:J44"/>
    <mergeCell ref="E47:F47"/>
    <mergeCell ref="G47:H47"/>
    <mergeCell ref="K44:L44"/>
    <mergeCell ref="M44:N44"/>
    <mergeCell ref="K46:L46"/>
    <mergeCell ref="M46:N46"/>
    <mergeCell ref="K47:L47"/>
    <mergeCell ref="K45:L45"/>
    <mergeCell ref="A45:B54"/>
    <mergeCell ref="C45:D45"/>
    <mergeCell ref="E45:F45"/>
    <mergeCell ref="G45:H45"/>
    <mergeCell ref="I45:J45"/>
    <mergeCell ref="C46:D46"/>
    <mergeCell ref="E46:F46"/>
    <mergeCell ref="G46:H46"/>
    <mergeCell ref="I46:J46"/>
    <mergeCell ref="C48:D48"/>
    <mergeCell ref="C50:D50"/>
    <mergeCell ref="E50:F50"/>
    <mergeCell ref="G50:H50"/>
    <mergeCell ref="I50:J50"/>
    <mergeCell ref="K50:L50"/>
    <mergeCell ref="M50:N50"/>
    <mergeCell ref="E48:F48"/>
    <mergeCell ref="G48:H48"/>
    <mergeCell ref="I48:J48"/>
    <mergeCell ref="K48:L48"/>
    <mergeCell ref="C49:D49"/>
    <mergeCell ref="E49:F49"/>
    <mergeCell ref="G49:H49"/>
    <mergeCell ref="I49:J49"/>
    <mergeCell ref="K49:L49"/>
    <mergeCell ref="C52:D52"/>
    <mergeCell ref="E52:F52"/>
    <mergeCell ref="G52:H52"/>
    <mergeCell ref="I52:J52"/>
    <mergeCell ref="K52:L52"/>
    <mergeCell ref="M52:N52"/>
    <mergeCell ref="C51:D51"/>
    <mergeCell ref="E51:F51"/>
    <mergeCell ref="G51:H51"/>
    <mergeCell ref="I51:J51"/>
    <mergeCell ref="K51:L51"/>
    <mergeCell ref="M51:N51"/>
    <mergeCell ref="C54:D54"/>
    <mergeCell ref="E54:F54"/>
    <mergeCell ref="G54:H54"/>
    <mergeCell ref="I54:J54"/>
    <mergeCell ref="K54:L54"/>
    <mergeCell ref="M54:N54"/>
    <mergeCell ref="C53:D53"/>
    <mergeCell ref="E53:F53"/>
    <mergeCell ref="G53:H53"/>
    <mergeCell ref="I53:J53"/>
    <mergeCell ref="K53:L53"/>
    <mergeCell ref="M53:N53"/>
    <mergeCell ref="C56:D56"/>
    <mergeCell ref="E56:F56"/>
    <mergeCell ref="G56:H56"/>
    <mergeCell ref="I56:J56"/>
    <mergeCell ref="K56:L56"/>
    <mergeCell ref="M56:N56"/>
    <mergeCell ref="A55:B59"/>
    <mergeCell ref="C55:D55"/>
    <mergeCell ref="E55:F55"/>
    <mergeCell ref="G55:H55"/>
    <mergeCell ref="I55:J55"/>
    <mergeCell ref="K55:L55"/>
    <mergeCell ref="C57:D57"/>
    <mergeCell ref="E57:F57"/>
    <mergeCell ref="G57:H57"/>
    <mergeCell ref="I57:J57"/>
    <mergeCell ref="C59:D59"/>
    <mergeCell ref="E59:F59"/>
    <mergeCell ref="G59:H59"/>
    <mergeCell ref="I59:J59"/>
    <mergeCell ref="K59:L59"/>
    <mergeCell ref="M59:N59"/>
    <mergeCell ref="K57:L57"/>
    <mergeCell ref="M57:N57"/>
    <mergeCell ref="C58:D58"/>
    <mergeCell ref="E58:F58"/>
    <mergeCell ref="G58:H58"/>
    <mergeCell ref="I58:J58"/>
    <mergeCell ref="K58:L58"/>
    <mergeCell ref="M58:N58"/>
    <mergeCell ref="A86:B88"/>
    <mergeCell ref="C61:D61"/>
    <mergeCell ref="E61:F61"/>
    <mergeCell ref="G61:H61"/>
    <mergeCell ref="I61:J61"/>
    <mergeCell ref="M60:N60"/>
    <mergeCell ref="K61:L61"/>
    <mergeCell ref="M61:N61"/>
    <mergeCell ref="A89:L89"/>
    <mergeCell ref="K62:L62"/>
    <mergeCell ref="M62:N62"/>
    <mergeCell ref="A63:O63"/>
    <mergeCell ref="A69:B70"/>
    <mergeCell ref="C69:E69"/>
    <mergeCell ref="F69:H69"/>
    <mergeCell ref="I69:K69"/>
    <mergeCell ref="L69:L70"/>
    <mergeCell ref="I62:J62"/>
    <mergeCell ref="C62:D62"/>
    <mergeCell ref="E62:F62"/>
    <mergeCell ref="G62:H62"/>
    <mergeCell ref="A71:B80"/>
    <mergeCell ref="L71:L80"/>
    <mergeCell ref="A81:B85"/>
    <mergeCell ref="L81:L85"/>
    <mergeCell ref="A60:B62"/>
    <mergeCell ref="I60:J60"/>
    <mergeCell ref="K60:L60"/>
    <mergeCell ref="C60:D60"/>
    <mergeCell ref="E60:F60"/>
    <mergeCell ref="G60:H60"/>
    <mergeCell ref="L22:L31"/>
    <mergeCell ref="T22:T31"/>
    <mergeCell ref="L20:L21"/>
    <mergeCell ref="M20:M21"/>
    <mergeCell ref="N20:N21"/>
    <mergeCell ref="O20:O21"/>
    <mergeCell ref="P20:P21"/>
    <mergeCell ref="T20:T21"/>
    <mergeCell ref="E20:E21"/>
    <mergeCell ref="G20:H21"/>
    <mergeCell ref="I20:I21"/>
    <mergeCell ref="M55:N55"/>
    <mergeCell ref="M48:N48"/>
    <mergeCell ref="M45:N45"/>
    <mergeCell ref="M47:N47"/>
    <mergeCell ref="O45:O54"/>
    <mergeCell ref="U20:U21"/>
    <mergeCell ref="V20:V21"/>
    <mergeCell ref="W20:W21"/>
    <mergeCell ref="X20:X21"/>
    <mergeCell ref="M49:N49"/>
    <mergeCell ref="V55:W55"/>
    <mergeCell ref="X55:Y55"/>
    <mergeCell ref="Z55:AA55"/>
    <mergeCell ref="AB55:AC55"/>
    <mergeCell ref="AD55:AE55"/>
    <mergeCell ref="AF55:AG55"/>
    <mergeCell ref="T32:T34"/>
    <mergeCell ref="T54:U55"/>
    <mergeCell ref="V54:Y54"/>
    <mergeCell ref="Z54:AC54"/>
    <mergeCell ref="AD54:AG54"/>
    <mergeCell ref="AU55:AV55"/>
    <mergeCell ref="AW55:AX55"/>
    <mergeCell ref="AK54:AL55"/>
    <mergeCell ref="AM54:AP54"/>
    <mergeCell ref="AQ54:AT54"/>
    <mergeCell ref="AS55:AT55"/>
    <mergeCell ref="AU54:AX54"/>
    <mergeCell ref="AM55:AN55"/>
    <mergeCell ref="AO55:AP55"/>
    <mergeCell ref="AQ55:AR55"/>
    <mergeCell ref="AS56:AT56"/>
    <mergeCell ref="AU56:AV56"/>
    <mergeCell ref="AW56:AX56"/>
    <mergeCell ref="V57:W57"/>
    <mergeCell ref="X57:Y57"/>
    <mergeCell ref="Z57:AA57"/>
    <mergeCell ref="AB57:AC57"/>
    <mergeCell ref="AD57:AE57"/>
    <mergeCell ref="AF57:AG57"/>
    <mergeCell ref="AM57:AN57"/>
    <mergeCell ref="AF56:AG56"/>
    <mergeCell ref="AH56:AH65"/>
    <mergeCell ref="AO57:AP57"/>
    <mergeCell ref="AQ57:AR57"/>
    <mergeCell ref="AO58:AP58"/>
    <mergeCell ref="AQ58:AR58"/>
    <mergeCell ref="AO59:AP59"/>
    <mergeCell ref="AQ59:AR59"/>
    <mergeCell ref="AO60:AP60"/>
    <mergeCell ref="AQ60:AR60"/>
    <mergeCell ref="V56:W56"/>
    <mergeCell ref="X56:Y56"/>
    <mergeCell ref="Z56:AA56"/>
    <mergeCell ref="AB56:AC56"/>
    <mergeCell ref="AS57:AT57"/>
    <mergeCell ref="AU57:AV57"/>
    <mergeCell ref="AW57:AX57"/>
    <mergeCell ref="V58:W58"/>
    <mergeCell ref="X58:Y58"/>
    <mergeCell ref="Z58:AA58"/>
    <mergeCell ref="AB58:AC58"/>
    <mergeCell ref="AD58:AE58"/>
    <mergeCell ref="AF58:AG58"/>
    <mergeCell ref="AM58:AN58"/>
    <mergeCell ref="AS58:AT58"/>
    <mergeCell ref="AU58:AV58"/>
    <mergeCell ref="AW58:AX58"/>
    <mergeCell ref="AW59:AX59"/>
    <mergeCell ref="AW61:AX61"/>
    <mergeCell ref="AO61:AP61"/>
    <mergeCell ref="AQ61:AR61"/>
    <mergeCell ref="AS61:AT61"/>
    <mergeCell ref="AU61:AV61"/>
    <mergeCell ref="V60:W60"/>
    <mergeCell ref="X60:Y60"/>
    <mergeCell ref="Z60:AA60"/>
    <mergeCell ref="AB60:AC60"/>
    <mergeCell ref="AD60:AE60"/>
    <mergeCell ref="AF60:AG60"/>
    <mergeCell ref="AM60:AN60"/>
    <mergeCell ref="V59:W59"/>
    <mergeCell ref="X59:Y59"/>
    <mergeCell ref="Z59:AA59"/>
    <mergeCell ref="AB59:AC59"/>
    <mergeCell ref="AD59:AE59"/>
    <mergeCell ref="AF59:AG59"/>
    <mergeCell ref="AM59:AN59"/>
    <mergeCell ref="AS59:AT59"/>
    <mergeCell ref="AU59:AV59"/>
    <mergeCell ref="AF62:AG62"/>
    <mergeCell ref="AM62:AN62"/>
    <mergeCell ref="AO62:AP62"/>
    <mergeCell ref="AQ62:AR62"/>
    <mergeCell ref="AK56:AL65"/>
    <mergeCell ref="AM56:AN56"/>
    <mergeCell ref="AO56:AP56"/>
    <mergeCell ref="AQ56:AR56"/>
    <mergeCell ref="V64:W64"/>
    <mergeCell ref="X64:Y64"/>
    <mergeCell ref="Z64:AA64"/>
    <mergeCell ref="AB64:AC64"/>
    <mergeCell ref="AD64:AE64"/>
    <mergeCell ref="AF64:AG64"/>
    <mergeCell ref="AM64:AN64"/>
    <mergeCell ref="AO64:AP64"/>
    <mergeCell ref="AQ64:AR64"/>
    <mergeCell ref="X61:Y61"/>
    <mergeCell ref="Z61:AA61"/>
    <mergeCell ref="AB61:AC61"/>
    <mergeCell ref="AD61:AE61"/>
    <mergeCell ref="AF61:AG61"/>
    <mergeCell ref="AM61:AN61"/>
    <mergeCell ref="AS62:AT62"/>
    <mergeCell ref="AU62:AV62"/>
    <mergeCell ref="AS60:AT60"/>
    <mergeCell ref="AU60:AV60"/>
    <mergeCell ref="AW60:AX60"/>
    <mergeCell ref="V61:W61"/>
    <mergeCell ref="AW62:AX62"/>
    <mergeCell ref="V63:W63"/>
    <mergeCell ref="X63:Y63"/>
    <mergeCell ref="Z63:AA63"/>
    <mergeCell ref="AB63:AC63"/>
    <mergeCell ref="AD63:AE63"/>
    <mergeCell ref="AF63:AG63"/>
    <mergeCell ref="AM63:AN63"/>
    <mergeCell ref="AO63:AP63"/>
    <mergeCell ref="AQ63:AR63"/>
    <mergeCell ref="AS63:AT63"/>
    <mergeCell ref="AU63:AV63"/>
    <mergeCell ref="AW63:AX63"/>
    <mergeCell ref="V62:W62"/>
    <mergeCell ref="X62:Y62"/>
    <mergeCell ref="Z62:AA62"/>
    <mergeCell ref="AB62:AC62"/>
    <mergeCell ref="AD62:AE62"/>
    <mergeCell ref="AS64:AT64"/>
    <mergeCell ref="AU64:AV64"/>
    <mergeCell ref="AW64:AX64"/>
    <mergeCell ref="V65:W65"/>
    <mergeCell ref="X65:Y65"/>
    <mergeCell ref="Z65:AA65"/>
    <mergeCell ref="AB65:AC65"/>
    <mergeCell ref="AD65:AE65"/>
    <mergeCell ref="AW65:AX65"/>
    <mergeCell ref="AF65:AG65"/>
    <mergeCell ref="AM65:AN65"/>
    <mergeCell ref="AO65:AP65"/>
    <mergeCell ref="AQ65:AR65"/>
    <mergeCell ref="AS65:AT65"/>
    <mergeCell ref="AU65:AV65"/>
    <mergeCell ref="AD66:AE66"/>
    <mergeCell ref="AF66:AG66"/>
    <mergeCell ref="AK66:AL70"/>
    <mergeCell ref="AM66:AN66"/>
    <mergeCell ref="V68:W68"/>
    <mergeCell ref="X68:Y68"/>
    <mergeCell ref="Z68:AA68"/>
    <mergeCell ref="AB68:AC68"/>
    <mergeCell ref="AD68:AE68"/>
    <mergeCell ref="V70:W70"/>
    <mergeCell ref="X70:Y70"/>
    <mergeCell ref="Z70:AA70"/>
    <mergeCell ref="AB70:AC70"/>
    <mergeCell ref="AD70:AE70"/>
    <mergeCell ref="T56:U65"/>
    <mergeCell ref="AD56:AE56"/>
    <mergeCell ref="AS66:AT66"/>
    <mergeCell ref="AU66:AV66"/>
    <mergeCell ref="AW66:AX66"/>
    <mergeCell ref="V67:W67"/>
    <mergeCell ref="X67:Y67"/>
    <mergeCell ref="Z67:AA67"/>
    <mergeCell ref="AB67:AC67"/>
    <mergeCell ref="AD67:AE67"/>
    <mergeCell ref="AO66:AP66"/>
    <mergeCell ref="AQ66:AR66"/>
    <mergeCell ref="AO67:AP67"/>
    <mergeCell ref="AQ67:AR67"/>
    <mergeCell ref="AF67:AG67"/>
    <mergeCell ref="AM67:AN67"/>
    <mergeCell ref="AS67:AT67"/>
    <mergeCell ref="AU67:AV67"/>
    <mergeCell ref="AW67:AX67"/>
    <mergeCell ref="T66:U70"/>
    <mergeCell ref="V66:W66"/>
    <mergeCell ref="X66:Y66"/>
    <mergeCell ref="Z66:AA66"/>
    <mergeCell ref="AB66:AC66"/>
    <mergeCell ref="AO68:AP68"/>
    <mergeCell ref="AQ68:AR68"/>
    <mergeCell ref="AF68:AG68"/>
    <mergeCell ref="AM68:AN68"/>
    <mergeCell ref="AS68:AT68"/>
    <mergeCell ref="AU68:AV68"/>
    <mergeCell ref="AW68:AX68"/>
    <mergeCell ref="V69:W69"/>
    <mergeCell ref="X69:Y69"/>
    <mergeCell ref="Z69:AA69"/>
    <mergeCell ref="AB69:AC69"/>
    <mergeCell ref="AD69:AE69"/>
    <mergeCell ref="AO69:AP69"/>
    <mergeCell ref="AQ69:AR69"/>
    <mergeCell ref="AF69:AG69"/>
    <mergeCell ref="AM69:AN69"/>
    <mergeCell ref="AS69:AT69"/>
    <mergeCell ref="AU69:AV69"/>
    <mergeCell ref="AW69:AX69"/>
    <mergeCell ref="AW70:AX70"/>
    <mergeCell ref="T71:U73"/>
    <mergeCell ref="V71:W71"/>
    <mergeCell ref="X71:Y71"/>
    <mergeCell ref="Z71:AA71"/>
    <mergeCell ref="AB71:AC71"/>
    <mergeCell ref="AD71:AE71"/>
    <mergeCell ref="AF71:AG71"/>
    <mergeCell ref="AK71:AL73"/>
    <mergeCell ref="AM71:AN71"/>
    <mergeCell ref="AF70:AG70"/>
    <mergeCell ref="AM70:AN70"/>
    <mergeCell ref="AO70:AP70"/>
    <mergeCell ref="AQ70:AR70"/>
    <mergeCell ref="AS70:AT70"/>
    <mergeCell ref="AU70:AV70"/>
    <mergeCell ref="AW71:AX71"/>
    <mergeCell ref="V72:W72"/>
    <mergeCell ref="X72:Y72"/>
    <mergeCell ref="Z72:AA72"/>
    <mergeCell ref="AB72:AC72"/>
    <mergeCell ref="AD72:AE72"/>
    <mergeCell ref="AS72:AT72"/>
    <mergeCell ref="AU72:AV72"/>
    <mergeCell ref="AW73:AX73"/>
    <mergeCell ref="AW72:AX72"/>
    <mergeCell ref="V73:W73"/>
    <mergeCell ref="X73:Y73"/>
    <mergeCell ref="Z73:AA73"/>
    <mergeCell ref="AB73:AC73"/>
    <mergeCell ref="AD73:AE73"/>
    <mergeCell ref="AF73:AG73"/>
    <mergeCell ref="AO71:AP71"/>
    <mergeCell ref="AQ71:AR71"/>
    <mergeCell ref="AS71:AT71"/>
    <mergeCell ref="AU71:AV71"/>
    <mergeCell ref="AM73:AN73"/>
    <mergeCell ref="AO73:AP73"/>
    <mergeCell ref="AQ73:AR73"/>
    <mergeCell ref="AF72:AG72"/>
    <mergeCell ref="AM72:AN72"/>
    <mergeCell ref="AO72:AP72"/>
    <mergeCell ref="AQ72:AR72"/>
    <mergeCell ref="AS73:AT73"/>
    <mergeCell ref="AU73:AV73"/>
  </mergeCells>
  <phoneticPr fontId="25" type="noConversion"/>
  <conditionalFormatting sqref="B22:E34">
    <cfRule type="expression" dxfId="78" priority="5" stopIfTrue="1">
      <formula>ABS(#REF!)&gt;#REF!</formula>
    </cfRule>
  </conditionalFormatting>
  <conditionalFormatting sqref="I71:K88">
    <cfRule type="cellIs" dxfId="77" priority="3" stopIfTrue="1" operator="greaterThan">
      <formula>0.05</formula>
    </cfRule>
    <cfRule type="cellIs" dxfId="76" priority="4" stopIfTrue="1" operator="lessThan">
      <formula>-0.05</formula>
    </cfRule>
  </conditionalFormatting>
  <conditionalFormatting sqref="M22:P34">
    <cfRule type="expression" dxfId="75" priority="2" stopIfTrue="1">
      <formula>ABS(#REF!)&gt;#REF!</formula>
    </cfRule>
  </conditionalFormatting>
  <conditionalFormatting sqref="U22:X34">
    <cfRule type="expression" dxfId="74" priority="1" stopIfTrue="1">
      <formula>ABS(#REF!)&gt;#REF!</formula>
    </cfRule>
  </conditionalFormatting>
  <pageMargins left="0.75" right="0.75" top="1" bottom="1" header="0.5" footer="0.5"/>
  <pageSetup paperSize="9" orientation="portrait" r:id="rId1"/>
  <drawing r:id="rId2"/>
  <legacyDrawing r:id="rId3"/>
</worksheet>
</file>

<file path=xl/worksheets/sheet34.xml><?xml version="1.0" encoding="utf-8"?>
<worksheet xmlns="http://schemas.openxmlformats.org/spreadsheetml/2006/main" xmlns:r="http://schemas.openxmlformats.org/officeDocument/2006/relationships">
  <dimension ref="A1:H34"/>
  <sheetViews>
    <sheetView workbookViewId="0">
      <selection sqref="A1:D1"/>
    </sheetView>
  </sheetViews>
  <sheetFormatPr defaultRowHeight="14.25"/>
  <cols>
    <col min="4" max="4" width="14.625" customWidth="1"/>
  </cols>
  <sheetData>
    <row r="1" spans="1:8">
      <c r="A1" s="2440" t="s">
        <v>4275</v>
      </c>
      <c r="B1" s="2120"/>
      <c r="C1" s="2120"/>
      <c r="D1" s="2120"/>
      <c r="E1" s="1614"/>
    </row>
    <row r="2" spans="1:8">
      <c r="A2" s="1749" t="s">
        <v>4276</v>
      </c>
      <c r="B2" s="1749" t="s">
        <v>4227</v>
      </c>
      <c r="C2" t="s">
        <v>4277</v>
      </c>
      <c r="D2" s="1749" t="s">
        <v>4247</v>
      </c>
      <c r="E2" s="1749" t="s">
        <v>4278</v>
      </c>
      <c r="F2" s="1749" t="s">
        <v>4279</v>
      </c>
      <c r="G2" s="1749"/>
      <c r="H2" s="1749" t="s">
        <v>4250</v>
      </c>
    </row>
    <row r="3" spans="1:8">
      <c r="A3" s="1749"/>
      <c r="B3" s="1749"/>
      <c r="D3" s="1749"/>
      <c r="E3" s="1749"/>
      <c r="F3" s="1749"/>
      <c r="G3" s="1749"/>
      <c r="H3" s="2298"/>
    </row>
    <row r="4" spans="1:8">
      <c r="A4" s="1749">
        <v>1</v>
      </c>
      <c r="B4">
        <v>1</v>
      </c>
      <c r="D4">
        <v>0.99977000000000005</v>
      </c>
      <c r="E4">
        <f ca="1">((H4/1.732)^2+((F4/1000000*ABS(D4)+G4)/2)^2)^0.5*2</f>
        <v>0.57736731773042782</v>
      </c>
      <c r="F4" s="2">
        <v>320</v>
      </c>
      <c r="G4" s="380">
        <v>4.0000000000000003E-5</v>
      </c>
      <c r="H4" s="2">
        <f ca="1">10^(-IF(CELL("format",D4)="G",0,VALUE(REPLACE(CELL("format",D4),1,1,))))/2</f>
        <v>0.5</v>
      </c>
    </row>
    <row r="5" spans="1:8">
      <c r="A5" s="1749"/>
      <c r="B5">
        <v>0.9</v>
      </c>
      <c r="D5">
        <v>0.89980000000000004</v>
      </c>
      <c r="E5">
        <f t="shared" ref="E5:E16" ca="1" si="0">((H5/1.732)^2+((F5/1000000*ABS(D5)+G5)/2)^2)^0.5*2</f>
        <v>0.57736729867410708</v>
      </c>
      <c r="F5" s="2">
        <v>320</v>
      </c>
      <c r="G5" s="380">
        <v>4.0000000000000003E-5</v>
      </c>
      <c r="H5" s="2">
        <f t="shared" ref="H5:H16" ca="1" si="1">10^(-IF(CELL("format",D5)="G",0,VALUE(REPLACE(CELL("format",D5),1,1,))))/2</f>
        <v>0.5</v>
      </c>
    </row>
    <row r="6" spans="1:8">
      <c r="A6" s="1749"/>
      <c r="B6">
        <v>0.8</v>
      </c>
      <c r="D6">
        <v>0.79978000000000005</v>
      </c>
      <c r="E6">
        <f t="shared" ca="1" si="0"/>
        <v>0.57736728138208837</v>
      </c>
      <c r="F6" s="2">
        <v>320</v>
      </c>
      <c r="G6" s="380">
        <v>4.0000000000000003E-5</v>
      </c>
      <c r="H6" s="2">
        <f t="shared" ca="1" si="1"/>
        <v>0.5</v>
      </c>
    </row>
    <row r="7" spans="1:8">
      <c r="A7" s="1749"/>
      <c r="B7">
        <v>0.7</v>
      </c>
      <c r="D7">
        <v>0.69979000000000002</v>
      </c>
      <c r="E7">
        <f t="shared" ca="1" si="0"/>
        <v>0.57736726586873488</v>
      </c>
      <c r="F7" s="2">
        <v>320</v>
      </c>
      <c r="G7" s="380">
        <v>4.0000000000000003E-5</v>
      </c>
      <c r="H7" s="2">
        <f t="shared" ca="1" si="1"/>
        <v>0.5</v>
      </c>
    </row>
    <row r="8" spans="1:8">
      <c r="A8" s="1749"/>
      <c r="B8">
        <v>0.6</v>
      </c>
      <c r="D8">
        <v>0.5998</v>
      </c>
      <c r="E8">
        <f t="shared" ca="1" si="0"/>
        <v>0.57736725212859408</v>
      </c>
      <c r="F8" s="2">
        <v>320</v>
      </c>
      <c r="G8" s="380">
        <v>4.0000000000000003E-5</v>
      </c>
      <c r="H8" s="2">
        <f t="shared" ca="1" si="1"/>
        <v>0.5</v>
      </c>
    </row>
    <row r="9" spans="1:8">
      <c r="A9" s="1749"/>
      <c r="B9">
        <v>0.5</v>
      </c>
      <c r="D9">
        <v>0.49981999999999999</v>
      </c>
      <c r="E9">
        <f t="shared" ca="1" si="0"/>
        <v>0.5773672401627743</v>
      </c>
      <c r="F9" s="2">
        <v>320</v>
      </c>
      <c r="G9" s="380">
        <v>4.0000000000000003E-5</v>
      </c>
      <c r="H9" s="2">
        <f t="shared" ca="1" si="1"/>
        <v>0.5</v>
      </c>
    </row>
    <row r="10" spans="1:8">
      <c r="A10" s="1749"/>
      <c r="B10">
        <v>0.4</v>
      </c>
      <c r="D10">
        <v>0.39984999999999998</v>
      </c>
      <c r="E10">
        <f t="shared" ca="1" si="0"/>
        <v>0.57736722997074374</v>
      </c>
      <c r="F10" s="2">
        <v>320</v>
      </c>
      <c r="G10" s="380">
        <v>4.0000000000000003E-5</v>
      </c>
      <c r="H10" s="2">
        <f t="shared" ca="1" si="1"/>
        <v>0.5</v>
      </c>
    </row>
    <row r="11" spans="1:8">
      <c r="A11" s="1749"/>
      <c r="B11">
        <v>0.3</v>
      </c>
      <c r="D11">
        <v>0.29988999999999999</v>
      </c>
      <c r="E11">
        <f t="shared" ca="1" si="0"/>
        <v>0.57736722155197062</v>
      </c>
      <c r="F11" s="2">
        <v>320</v>
      </c>
      <c r="G11" s="380">
        <v>4.0000000000000003E-5</v>
      </c>
      <c r="H11" s="2">
        <f t="shared" ca="1" si="1"/>
        <v>0.5</v>
      </c>
    </row>
    <row r="12" spans="1:8">
      <c r="A12" s="1749"/>
      <c r="B12">
        <v>0.2</v>
      </c>
      <c r="D12">
        <v>0.19994999999999999</v>
      </c>
      <c r="E12">
        <f t="shared" ca="1" si="0"/>
        <v>0.5773751456183609</v>
      </c>
      <c r="F12" s="2">
        <v>140</v>
      </c>
      <c r="G12">
        <v>3.0000000000000001E-3</v>
      </c>
      <c r="H12" s="2">
        <f t="shared" ca="1" si="1"/>
        <v>0.5</v>
      </c>
    </row>
    <row r="13" spans="1:8">
      <c r="A13" s="1749"/>
      <c r="B13">
        <v>0.1</v>
      </c>
      <c r="C13" s="73"/>
      <c r="D13" s="73">
        <v>0.10002</v>
      </c>
      <c r="E13">
        <f t="shared" ca="1" si="0"/>
        <v>3.0140083300642761E-3</v>
      </c>
      <c r="F13" s="2">
        <v>140</v>
      </c>
      <c r="G13">
        <v>3.0000000000000001E-3</v>
      </c>
      <c r="H13" s="2">
        <f t="shared" ca="1" si="1"/>
        <v>5.0000000000000004E-6</v>
      </c>
    </row>
    <row r="14" spans="1:8">
      <c r="A14" s="1749">
        <v>3</v>
      </c>
      <c r="B14">
        <v>3</v>
      </c>
      <c r="D14">
        <v>3.0009000000000001</v>
      </c>
      <c r="E14" s="95">
        <f t="shared" ca="1" si="0"/>
        <v>0.57736928721554526</v>
      </c>
      <c r="F14" s="2">
        <v>460</v>
      </c>
      <c r="G14" s="380">
        <v>1.7000000000000001E-4</v>
      </c>
      <c r="H14" s="2">
        <f t="shared" ca="1" si="1"/>
        <v>0.5</v>
      </c>
    </row>
    <row r="15" spans="1:8">
      <c r="A15" s="1749"/>
      <c r="B15">
        <v>2</v>
      </c>
      <c r="D15">
        <v>2.0005999999999999</v>
      </c>
      <c r="E15" s="95">
        <f t="shared" ca="1" si="0"/>
        <v>0.577367606207148</v>
      </c>
      <c r="F15" s="2">
        <v>320</v>
      </c>
      <c r="G15" s="380">
        <v>4.0000000000000003E-5</v>
      </c>
      <c r="H15" s="2">
        <f t="shared" ca="1" si="1"/>
        <v>0.5</v>
      </c>
    </row>
    <row r="16" spans="1:8">
      <c r="A16" s="1749"/>
      <c r="B16">
        <v>1</v>
      </c>
      <c r="D16">
        <v>0.99970000000000003</v>
      </c>
      <c r="E16" s="95">
        <f t="shared" ca="1" si="0"/>
        <v>0.57736731771646432</v>
      </c>
      <c r="F16" s="2">
        <v>320</v>
      </c>
      <c r="G16" s="380">
        <v>4.0000000000000003E-5</v>
      </c>
      <c r="H16" s="2">
        <f t="shared" ca="1" si="1"/>
        <v>0.5</v>
      </c>
    </row>
    <row r="18" spans="1:7">
      <c r="A18" s="1749" t="s">
        <v>4280</v>
      </c>
      <c r="B18" s="1749"/>
      <c r="C18" s="1749"/>
      <c r="D18" s="1749"/>
    </row>
    <row r="19" spans="1:7">
      <c r="A19" s="1749" t="s">
        <v>604</v>
      </c>
      <c r="B19" s="1749" t="s">
        <v>3530</v>
      </c>
      <c r="C19" s="1749" t="s">
        <v>4272</v>
      </c>
      <c r="D19" s="1749" t="s">
        <v>4074</v>
      </c>
      <c r="E19" t="s">
        <v>4075</v>
      </c>
      <c r="F19" t="s">
        <v>4076</v>
      </c>
      <c r="G19" t="s">
        <v>4077</v>
      </c>
    </row>
    <row r="20" spans="1:7">
      <c r="A20" s="1749"/>
      <c r="B20" s="1749"/>
      <c r="C20" s="1749"/>
      <c r="D20" s="1749"/>
      <c r="E20" t="s">
        <v>4078</v>
      </c>
      <c r="F20" t="s">
        <v>4079</v>
      </c>
      <c r="G20" t="s">
        <v>4080</v>
      </c>
    </row>
    <row r="21" spans="1:7">
      <c r="A21" s="1749">
        <v>1</v>
      </c>
      <c r="B21">
        <v>1</v>
      </c>
      <c r="C21">
        <v>0.99961999999999995</v>
      </c>
      <c r="D21">
        <v>-3.8000000000004697E-4</v>
      </c>
      <c r="E21">
        <v>0.1</v>
      </c>
      <c r="F21">
        <v>0.04</v>
      </c>
      <c r="G21">
        <v>1.3996200000000001E-3</v>
      </c>
    </row>
    <row r="22" spans="1:7">
      <c r="A22" s="1749"/>
      <c r="B22">
        <v>0.9</v>
      </c>
      <c r="C22">
        <v>0.89966000000000002</v>
      </c>
      <c r="D22">
        <v>-3.4000000000000696E-4</v>
      </c>
      <c r="G22">
        <v>1.29966E-3</v>
      </c>
    </row>
    <row r="23" spans="1:7">
      <c r="A23" s="1749"/>
      <c r="B23">
        <v>0.8</v>
      </c>
      <c r="C23">
        <v>0.79966999999999999</v>
      </c>
      <c r="D23">
        <v>-3.3000000000005247E-4</v>
      </c>
      <c r="G23">
        <v>1.1996700000000001E-3</v>
      </c>
    </row>
    <row r="24" spans="1:7">
      <c r="A24" s="1749"/>
      <c r="B24">
        <v>0.7</v>
      </c>
      <c r="C24">
        <v>0.69967999999999997</v>
      </c>
      <c r="D24">
        <v>-3.1999999999998696E-4</v>
      </c>
      <c r="G24">
        <v>1.09968E-3</v>
      </c>
    </row>
    <row r="25" spans="1:7">
      <c r="A25" s="1749"/>
      <c r="B25">
        <v>0.6</v>
      </c>
      <c r="C25">
        <v>0.59970000000000001</v>
      </c>
      <c r="D25">
        <v>-2.9999999999996696E-4</v>
      </c>
      <c r="G25">
        <v>9.9970000000000007E-4</v>
      </c>
    </row>
    <row r="26" spans="1:7">
      <c r="A26" s="1749"/>
      <c r="B26">
        <v>0.5</v>
      </c>
      <c r="C26">
        <v>0.49973000000000001</v>
      </c>
      <c r="D26">
        <v>-2.6999999999999247E-4</v>
      </c>
      <c r="G26">
        <v>8.9972999999999995E-4</v>
      </c>
    </row>
    <row r="27" spans="1:7">
      <c r="A27" s="1749"/>
      <c r="B27">
        <v>0.4</v>
      </c>
      <c r="C27">
        <v>0.39978000000000002</v>
      </c>
      <c r="D27">
        <v>-2.1999999999999797E-4</v>
      </c>
      <c r="G27">
        <v>7.9978000000000004E-4</v>
      </c>
    </row>
    <row r="28" spans="1:7">
      <c r="A28" s="1749"/>
      <c r="B28">
        <v>0.3</v>
      </c>
      <c r="C28">
        <v>0.29982999999999999</v>
      </c>
      <c r="D28">
        <v>-1.7000000000000348E-4</v>
      </c>
      <c r="G28">
        <v>6.9983000000000003E-4</v>
      </c>
    </row>
    <row r="29" spans="1:7">
      <c r="A29" s="1749"/>
      <c r="B29">
        <v>0.2</v>
      </c>
      <c r="C29">
        <v>0.19991</v>
      </c>
      <c r="D29">
        <v>-9.0000000000006741E-5</v>
      </c>
      <c r="G29">
        <v>5.9991000000000005E-4</v>
      </c>
    </row>
    <row r="30" spans="1:7">
      <c r="A30" s="1749"/>
      <c r="B30">
        <v>0.1</v>
      </c>
      <c r="C30">
        <v>9.9989999999999996E-2</v>
      </c>
      <c r="D30">
        <v>-1.0000000000010001E-5</v>
      </c>
      <c r="G30">
        <v>4.9999000000000007E-4</v>
      </c>
    </row>
    <row r="31" spans="1:7">
      <c r="A31" s="1749">
        <v>3</v>
      </c>
      <c r="B31">
        <v>3</v>
      </c>
      <c r="C31">
        <v>2.9977</v>
      </c>
      <c r="D31">
        <v>-2.2999999999999687E-3</v>
      </c>
      <c r="E31">
        <v>0.15</v>
      </c>
      <c r="F31">
        <v>0.06</v>
      </c>
      <c r="G31">
        <v>6.2965499999999997E-3</v>
      </c>
    </row>
    <row r="32" spans="1:7">
      <c r="A32" s="1749"/>
      <c r="B32">
        <v>2</v>
      </c>
      <c r="C32">
        <v>1.9984999999999999</v>
      </c>
      <c r="D32">
        <v>-1.5000000000000568E-3</v>
      </c>
      <c r="G32">
        <v>4.7977499999999999E-3</v>
      </c>
    </row>
    <row r="33" spans="1:7">
      <c r="A33" s="1749"/>
      <c r="B33">
        <v>1</v>
      </c>
      <c r="C33">
        <v>0.99963999999999997</v>
      </c>
      <c r="D33">
        <v>-3.6000000000002697E-4</v>
      </c>
      <c r="G33">
        <v>3.2994599999999997E-3</v>
      </c>
    </row>
    <row r="34" spans="1:7">
      <c r="A34" t="s">
        <v>4281</v>
      </c>
    </row>
  </sheetData>
  <mergeCells count="16">
    <mergeCell ref="A31:A33"/>
    <mergeCell ref="A18:D18"/>
    <mergeCell ref="A19:A20"/>
    <mergeCell ref="B19:B20"/>
    <mergeCell ref="C19:C20"/>
    <mergeCell ref="D19:D20"/>
    <mergeCell ref="F2:G3"/>
    <mergeCell ref="H2:H3"/>
    <mergeCell ref="A4:A13"/>
    <mergeCell ref="A14:A16"/>
    <mergeCell ref="A21:A30"/>
    <mergeCell ref="A1:D1"/>
    <mergeCell ref="A2:A3"/>
    <mergeCell ref="B2:B3"/>
    <mergeCell ref="D2:D3"/>
    <mergeCell ref="E2:E3"/>
  </mergeCells>
  <phoneticPr fontId="216" type="noConversion"/>
  <conditionalFormatting sqref="B4:D16">
    <cfRule type="expression" dxfId="73" priority="1" stopIfTrue="1">
      <formula>ABS(#REF!)&gt;#REF!</formula>
    </cfRule>
  </conditionalFormatting>
  <pageMargins left="0.7" right="0.7" top="0.75" bottom="0.75" header="0.3" footer="0.3"/>
  <pageSetup paperSize="9" orientation="portrait" r:id="rId1"/>
  <legacyDrawing r:id="rId2"/>
</worksheet>
</file>

<file path=xl/worksheets/sheet35.xml><?xml version="1.0" encoding="utf-8"?>
<worksheet xmlns="http://schemas.openxmlformats.org/spreadsheetml/2006/main" xmlns:r="http://schemas.openxmlformats.org/officeDocument/2006/relationships">
  <dimension ref="A1:P31"/>
  <sheetViews>
    <sheetView topLeftCell="A13" workbookViewId="0"/>
  </sheetViews>
  <sheetFormatPr defaultRowHeight="14.25"/>
  <sheetData>
    <row r="1" spans="1:16">
      <c r="A1" t="s">
        <v>4284</v>
      </c>
      <c r="B1" t="s">
        <v>121</v>
      </c>
      <c r="J1">
        <v>1</v>
      </c>
      <c r="K1">
        <v>5</v>
      </c>
    </row>
    <row r="2" spans="1:16">
      <c r="A2" s="1749" t="s">
        <v>4276</v>
      </c>
      <c r="B2" s="1749"/>
      <c r="C2" s="1749" t="s">
        <v>4247</v>
      </c>
      <c r="D2" s="1749"/>
      <c r="E2" s="1749"/>
      <c r="F2" s="1749"/>
      <c r="G2" s="1749" t="s">
        <v>4232</v>
      </c>
      <c r="H2" s="1749"/>
      <c r="I2" s="1749"/>
      <c r="J2" s="1749"/>
      <c r="K2" s="1749" t="s">
        <v>4285</v>
      </c>
      <c r="L2" s="1749"/>
      <c r="M2" s="1749"/>
      <c r="N2" s="1749"/>
      <c r="O2" s="1749" t="s">
        <v>4234</v>
      </c>
    </row>
    <row r="3" spans="1:16" ht="19.5" customHeight="1">
      <c r="A3" s="1749"/>
      <c r="B3" s="1749"/>
      <c r="C3" s="1749" t="s">
        <v>4283</v>
      </c>
      <c r="D3" s="1749"/>
      <c r="E3" s="1749" t="s">
        <v>4286</v>
      </c>
      <c r="F3" s="1749"/>
      <c r="G3" s="1749" t="s">
        <v>4287</v>
      </c>
      <c r="H3" s="1749"/>
      <c r="I3" s="1749" t="s">
        <v>4282</v>
      </c>
      <c r="J3" s="1749"/>
      <c r="K3" s="1749" t="s">
        <v>4287</v>
      </c>
      <c r="L3" s="1749"/>
      <c r="M3" s="1749" t="s">
        <v>4282</v>
      </c>
      <c r="N3" s="1749"/>
      <c r="O3" s="1749"/>
    </row>
    <row r="4" spans="1:16">
      <c r="A4" s="1749">
        <v>10</v>
      </c>
      <c r="B4" s="1749"/>
      <c r="C4" s="2583">
        <v>4.9400000000000004</v>
      </c>
      <c r="D4" s="1749"/>
      <c r="E4" s="2583">
        <v>4.96</v>
      </c>
      <c r="F4" s="1749"/>
      <c r="G4" s="2583">
        <v>5.0019999999999998</v>
      </c>
      <c r="H4" s="1749"/>
      <c r="I4" s="2583">
        <v>5.0030000000000001</v>
      </c>
      <c r="J4" s="1749"/>
      <c r="K4" s="1749">
        <f>(C4-G4)/$A$4*100</f>
        <v>-0.61999999999999389</v>
      </c>
      <c r="L4" s="1749"/>
      <c r="M4" s="1749">
        <f>(E4-I4)/$A$4*100</f>
        <v>-0.43000000000000149</v>
      </c>
      <c r="N4" s="1749"/>
      <c r="O4" s="1749">
        <f>2*(0.00002^2+0.00005^2+0.000029^2)^0.5</f>
        <v>1.2232742946698423E-4</v>
      </c>
    </row>
    <row r="5" spans="1:16">
      <c r="A5" s="1749"/>
      <c r="B5" s="1749"/>
      <c r="C5" s="2583">
        <v>4.4400000000000004</v>
      </c>
      <c r="D5" s="1749"/>
      <c r="E5" s="2583">
        <v>4.47</v>
      </c>
      <c r="F5" s="1749"/>
      <c r="G5" s="2583">
        <v>4.5030000000000001</v>
      </c>
      <c r="H5" s="1749"/>
      <c r="I5" s="2583">
        <v>4.5010000000000003</v>
      </c>
      <c r="J5" s="1749"/>
      <c r="K5" s="1749">
        <f t="shared" ref="K5:K13" si="0">(C5-G5)/$A$4*100</f>
        <v>-0.62999999999999723</v>
      </c>
      <c r="L5" s="1749"/>
      <c r="M5" s="1749">
        <f t="shared" ref="M5:M13" si="1">(E5-I5)/$A$4*100</f>
        <v>-0.31000000000000583</v>
      </c>
      <c r="N5" s="1749"/>
      <c r="O5" s="1749"/>
    </row>
    <row r="6" spans="1:16">
      <c r="A6" s="1749"/>
      <c r="B6" s="1749"/>
      <c r="C6" s="2583">
        <v>3.95</v>
      </c>
      <c r="D6" s="1749"/>
      <c r="E6" s="2583">
        <v>3.97</v>
      </c>
      <c r="F6" s="1749"/>
      <c r="G6" s="2583">
        <v>4.0019999999999998</v>
      </c>
      <c r="H6" s="1749"/>
      <c r="I6" s="2583">
        <v>4.0039999999999996</v>
      </c>
      <c r="J6" s="1749"/>
      <c r="K6" s="1749">
        <f t="shared" si="0"/>
        <v>-0.51999999999999602</v>
      </c>
      <c r="L6" s="1749"/>
      <c r="M6" s="1749">
        <f t="shared" si="1"/>
        <v>-0.33999999999999364</v>
      </c>
      <c r="N6" s="1749"/>
      <c r="O6" s="1749"/>
    </row>
    <row r="7" spans="1:16">
      <c r="A7" s="1749"/>
      <c r="B7" s="1749"/>
      <c r="C7" s="2583">
        <v>3.46</v>
      </c>
      <c r="D7" s="1749"/>
      <c r="E7" s="2583">
        <v>3.49</v>
      </c>
      <c r="F7" s="1749"/>
      <c r="G7" s="2583">
        <v>3.5019999999999998</v>
      </c>
      <c r="H7" s="1749"/>
      <c r="I7" s="2583">
        <v>3.504</v>
      </c>
      <c r="J7" s="1749"/>
      <c r="K7" s="1749">
        <f t="shared" si="0"/>
        <v>-0.41999999999999815</v>
      </c>
      <c r="L7" s="1749"/>
      <c r="M7" s="1749">
        <f t="shared" si="1"/>
        <v>-0.1399999999999979</v>
      </c>
      <c r="N7" s="1749"/>
      <c r="O7" s="1749"/>
    </row>
    <row r="8" spans="1:16">
      <c r="A8" s="1749"/>
      <c r="B8" s="1749"/>
      <c r="C8" s="2583">
        <v>2.97</v>
      </c>
      <c r="D8" s="1749"/>
      <c r="E8" s="2583">
        <v>2.96</v>
      </c>
      <c r="F8" s="1749"/>
      <c r="G8" s="2583">
        <v>3.0019999999999998</v>
      </c>
      <c r="H8" s="1749"/>
      <c r="I8" s="2583">
        <v>3.0019999999999998</v>
      </c>
      <c r="J8" s="1749"/>
      <c r="K8" s="1749">
        <f t="shared" si="0"/>
        <v>-0.31999999999999584</v>
      </c>
      <c r="L8" s="1749"/>
      <c r="M8" s="1749">
        <f t="shared" si="1"/>
        <v>-0.41999999999999815</v>
      </c>
      <c r="N8" s="1749"/>
      <c r="O8" s="1749"/>
    </row>
    <row r="9" spans="1:16">
      <c r="A9" s="1749"/>
      <c r="B9" s="1749"/>
      <c r="C9" s="2583">
        <v>2.46</v>
      </c>
      <c r="D9" s="1749"/>
      <c r="E9" s="2583">
        <v>2.4700000000000002</v>
      </c>
      <c r="F9" s="1749"/>
      <c r="G9" s="2583">
        <v>2.5030000000000001</v>
      </c>
      <c r="H9" s="1749"/>
      <c r="I9" s="2583">
        <v>2.5019999999999998</v>
      </c>
      <c r="J9" s="1749"/>
      <c r="K9" s="1749">
        <f t="shared" si="0"/>
        <v>-0.43000000000000149</v>
      </c>
      <c r="L9" s="1749"/>
      <c r="M9" s="1749">
        <f t="shared" si="1"/>
        <v>-0.31999999999999584</v>
      </c>
      <c r="N9" s="1749"/>
      <c r="O9" s="1749"/>
    </row>
    <row r="10" spans="1:16">
      <c r="A10" s="1749"/>
      <c r="B10" s="1749"/>
      <c r="C10" s="2583">
        <v>1.96</v>
      </c>
      <c r="D10" s="1749"/>
      <c r="E10" s="2583">
        <v>1.97</v>
      </c>
      <c r="F10" s="1749"/>
      <c r="G10" s="2583">
        <v>2.0030000000000001</v>
      </c>
      <c r="H10" s="1749"/>
      <c r="I10" s="2583">
        <v>2.0030000000000001</v>
      </c>
      <c r="J10" s="1749"/>
      <c r="K10" s="1749">
        <f t="shared" si="0"/>
        <v>-0.43000000000000149</v>
      </c>
      <c r="L10" s="1749"/>
      <c r="M10" s="1749">
        <f t="shared" si="1"/>
        <v>-0.3300000000000014</v>
      </c>
      <c r="N10" s="1749"/>
      <c r="O10" s="1749"/>
    </row>
    <row r="11" spans="1:16">
      <c r="A11" s="1749"/>
      <c r="B11" s="1749"/>
      <c r="C11" s="2583">
        <v>1.47</v>
      </c>
      <c r="D11" s="1749"/>
      <c r="E11" s="2583">
        <v>1.48</v>
      </c>
      <c r="F11" s="1749"/>
      <c r="G11" s="2583">
        <v>1.5029999999999999</v>
      </c>
      <c r="H11" s="1749"/>
      <c r="I11" s="2583">
        <v>1.5009999999999999</v>
      </c>
      <c r="J11" s="1749"/>
      <c r="K11" s="1749">
        <f t="shared" si="0"/>
        <v>-0.32999999999999918</v>
      </c>
      <c r="L11" s="1749"/>
      <c r="M11" s="1749">
        <f t="shared" si="1"/>
        <v>-0.20999999999999908</v>
      </c>
      <c r="N11" s="1749"/>
      <c r="O11" s="1749"/>
    </row>
    <row r="12" spans="1:16">
      <c r="A12" s="1749"/>
      <c r="B12" s="1749"/>
      <c r="C12" s="2583">
        <v>0.99</v>
      </c>
      <c r="D12" s="1749"/>
      <c r="E12" s="2583">
        <v>0.97</v>
      </c>
      <c r="F12" s="1749"/>
      <c r="G12" s="2583">
        <v>1.0029999999999999</v>
      </c>
      <c r="H12" s="1749"/>
      <c r="I12" s="2583">
        <v>1.0029999999999999</v>
      </c>
      <c r="J12" s="1749"/>
      <c r="K12" s="1749">
        <f t="shared" si="0"/>
        <v>-0.12999999999999901</v>
      </c>
      <c r="L12" s="1749"/>
      <c r="M12" s="1749">
        <f t="shared" si="1"/>
        <v>-0.32999999999999918</v>
      </c>
      <c r="N12" s="1749"/>
      <c r="O12" s="1749"/>
    </row>
    <row r="13" spans="1:16">
      <c r="A13" s="1749"/>
      <c r="B13" s="1749"/>
      <c r="C13" s="2583">
        <v>0.48</v>
      </c>
      <c r="D13" s="1749"/>
      <c r="E13" s="2583">
        <v>0.46</v>
      </c>
      <c r="F13" s="1749"/>
      <c r="G13" s="2583">
        <v>0.502</v>
      </c>
      <c r="H13" s="1749"/>
      <c r="I13" s="2583">
        <v>0.501</v>
      </c>
      <c r="J13" s="1749"/>
      <c r="K13" s="1749">
        <f t="shared" si="0"/>
        <v>-0.2200000000000002</v>
      </c>
      <c r="L13" s="1749"/>
      <c r="M13" s="1749">
        <f t="shared" si="1"/>
        <v>-0.40999999999999975</v>
      </c>
      <c r="N13" s="1749"/>
      <c r="O13" s="1749"/>
    </row>
    <row r="14" spans="1:16">
      <c r="A14" s="1749" t="s">
        <v>122</v>
      </c>
      <c r="B14" s="1749"/>
      <c r="C14" s="1749"/>
      <c r="D14" s="1749"/>
      <c r="E14" s="1749"/>
      <c r="F14" s="1749"/>
      <c r="G14" s="1749"/>
      <c r="H14" s="1749"/>
      <c r="I14" s="1749"/>
      <c r="J14" s="1749"/>
      <c r="K14" s="1749"/>
      <c r="L14" s="1749"/>
      <c r="M14" s="1749"/>
      <c r="N14" s="1749"/>
      <c r="O14" s="1749"/>
    </row>
    <row r="15" spans="1:16">
      <c r="A15" t="s">
        <v>4288</v>
      </c>
      <c r="B15" t="s">
        <v>4289</v>
      </c>
      <c r="P15" t="s">
        <v>4290</v>
      </c>
    </row>
    <row r="17" spans="1:15">
      <c r="A17" t="s">
        <v>4291</v>
      </c>
      <c r="B17" t="s">
        <v>121</v>
      </c>
      <c r="J17">
        <v>1</v>
      </c>
      <c r="K17">
        <v>5</v>
      </c>
    </row>
    <row r="18" spans="1:15">
      <c r="A18" s="1749" t="s">
        <v>4292</v>
      </c>
      <c r="B18" s="1749"/>
      <c r="C18" s="1749" t="s">
        <v>4247</v>
      </c>
      <c r="D18" s="1749"/>
      <c r="E18" s="1749"/>
      <c r="F18" s="1749"/>
      <c r="G18" s="1749" t="s">
        <v>4232</v>
      </c>
      <c r="H18" s="1749"/>
      <c r="I18" s="1749"/>
      <c r="J18" s="1749"/>
      <c r="K18" s="1749" t="s">
        <v>4285</v>
      </c>
      <c r="L18" s="1749"/>
      <c r="M18" s="1749"/>
      <c r="N18" s="1749"/>
      <c r="O18" s="1749" t="s">
        <v>4234</v>
      </c>
    </row>
    <row r="19" spans="1:15" ht="18.75">
      <c r="A19" s="1749"/>
      <c r="B19" s="1749"/>
      <c r="C19" s="1749" t="s">
        <v>4283</v>
      </c>
      <c r="D19" s="1749"/>
      <c r="E19" s="1749" t="s">
        <v>4293</v>
      </c>
      <c r="F19" s="1749"/>
      <c r="G19" s="1749" t="s">
        <v>4283</v>
      </c>
      <c r="H19" s="1749"/>
      <c r="I19" s="1749" t="s">
        <v>4293</v>
      </c>
      <c r="J19" s="1749"/>
      <c r="K19" s="1749" t="s">
        <v>4283</v>
      </c>
      <c r="L19" s="1749"/>
      <c r="M19" s="1749" t="s">
        <v>4282</v>
      </c>
      <c r="N19" s="1749"/>
      <c r="O19" s="1749"/>
    </row>
    <row r="20" spans="1:15">
      <c r="A20" s="1749">
        <v>10</v>
      </c>
      <c r="B20" s="1749"/>
      <c r="C20" s="2583">
        <v>4.9400000000000004</v>
      </c>
      <c r="D20" s="1749"/>
      <c r="E20" s="2583">
        <v>4.96</v>
      </c>
      <c r="F20" s="1749"/>
      <c r="G20" s="2583">
        <v>5.0019999999999998</v>
      </c>
      <c r="H20" s="1749"/>
      <c r="I20" s="2583">
        <v>5.0030000000000001</v>
      </c>
      <c r="J20" s="1749"/>
      <c r="K20" s="1749">
        <f>(C20-G20)/$A$20*100</f>
        <v>-0.61999999999999389</v>
      </c>
      <c r="L20" s="1749"/>
      <c r="M20" s="1749">
        <f>(E20-I20)/$A$20*100</f>
        <v>-0.43000000000000149</v>
      </c>
      <c r="N20" s="1749"/>
      <c r="O20" s="1749">
        <f>2*(0.00002^2+0.00005^2+0.000029^2)^0.5</f>
        <v>1.2232742946698423E-4</v>
      </c>
    </row>
    <row r="21" spans="1:15">
      <c r="A21" s="1749"/>
      <c r="B21" s="1749"/>
      <c r="C21" s="2583">
        <v>4.4400000000000004</v>
      </c>
      <c r="D21" s="1749"/>
      <c r="E21" s="2583">
        <v>4.47</v>
      </c>
      <c r="F21" s="1749"/>
      <c r="G21" s="2583">
        <v>4.5030000000000001</v>
      </c>
      <c r="H21" s="1749"/>
      <c r="I21" s="2583">
        <v>4.5010000000000003</v>
      </c>
      <c r="J21" s="1749"/>
      <c r="K21" s="1749">
        <f t="shared" ref="K21:K29" si="2">(C21-G21)/$A$20*100</f>
        <v>-0.62999999999999723</v>
      </c>
      <c r="L21" s="1749"/>
      <c r="M21" s="1749">
        <f t="shared" ref="M21:M29" si="3">(E21-I21)/$A$20*100</f>
        <v>-0.31000000000000583</v>
      </c>
      <c r="N21" s="1749"/>
      <c r="O21" s="1749"/>
    </row>
    <row r="22" spans="1:15">
      <c r="A22" s="1749"/>
      <c r="B22" s="1749"/>
      <c r="C22" s="2583">
        <v>3.95</v>
      </c>
      <c r="D22" s="1749"/>
      <c r="E22" s="2583">
        <v>3.97</v>
      </c>
      <c r="F22" s="1749"/>
      <c r="G22" s="2583">
        <v>4.0019999999999998</v>
      </c>
      <c r="H22" s="1749"/>
      <c r="I22" s="2583">
        <v>4.0039999999999996</v>
      </c>
      <c r="J22" s="1749"/>
      <c r="K22" s="1749">
        <f t="shared" si="2"/>
        <v>-0.51999999999999602</v>
      </c>
      <c r="L22" s="1749"/>
      <c r="M22" s="1749">
        <f t="shared" si="3"/>
        <v>-0.33999999999999364</v>
      </c>
      <c r="N22" s="1749"/>
      <c r="O22" s="1749"/>
    </row>
    <row r="23" spans="1:15">
      <c r="A23" s="1749"/>
      <c r="B23" s="1749"/>
      <c r="C23" s="2583">
        <v>3.46</v>
      </c>
      <c r="D23" s="1749"/>
      <c r="E23" s="2583">
        <v>3.49</v>
      </c>
      <c r="F23" s="1749"/>
      <c r="G23" s="2583">
        <v>3.5019999999999998</v>
      </c>
      <c r="H23" s="1749"/>
      <c r="I23" s="2583">
        <v>3.504</v>
      </c>
      <c r="J23" s="1749"/>
      <c r="K23" s="1749">
        <f t="shared" si="2"/>
        <v>-0.41999999999999815</v>
      </c>
      <c r="L23" s="1749"/>
      <c r="M23" s="1749">
        <f t="shared" si="3"/>
        <v>-0.1399999999999979</v>
      </c>
      <c r="N23" s="1749"/>
      <c r="O23" s="1749"/>
    </row>
    <row r="24" spans="1:15">
      <c r="A24" s="1749"/>
      <c r="B24" s="1749"/>
      <c r="C24" s="2583">
        <v>2.97</v>
      </c>
      <c r="D24" s="1749"/>
      <c r="E24" s="2583">
        <v>2.96</v>
      </c>
      <c r="F24" s="1749"/>
      <c r="G24" s="2583">
        <v>3.0019999999999998</v>
      </c>
      <c r="H24" s="1749"/>
      <c r="I24" s="2583">
        <v>3.0019999999999998</v>
      </c>
      <c r="J24" s="1749"/>
      <c r="K24" s="1749">
        <f t="shared" si="2"/>
        <v>-0.31999999999999584</v>
      </c>
      <c r="L24" s="1749"/>
      <c r="M24" s="1749">
        <f t="shared" si="3"/>
        <v>-0.41999999999999815</v>
      </c>
      <c r="N24" s="1749"/>
      <c r="O24" s="1749"/>
    </row>
    <row r="25" spans="1:15">
      <c r="A25" s="1749"/>
      <c r="B25" s="1749"/>
      <c r="C25" s="2583">
        <v>2.46</v>
      </c>
      <c r="D25" s="1749"/>
      <c r="E25" s="2583">
        <v>2.4700000000000002</v>
      </c>
      <c r="F25" s="1749"/>
      <c r="G25" s="2583">
        <v>2.5030000000000001</v>
      </c>
      <c r="H25" s="1749"/>
      <c r="I25" s="2583">
        <v>2.5019999999999998</v>
      </c>
      <c r="J25" s="1749"/>
      <c r="K25" s="1749">
        <f t="shared" si="2"/>
        <v>-0.43000000000000149</v>
      </c>
      <c r="L25" s="1749"/>
      <c r="M25" s="1749">
        <f t="shared" si="3"/>
        <v>-0.31999999999999584</v>
      </c>
      <c r="N25" s="1749"/>
      <c r="O25" s="1749"/>
    </row>
    <row r="26" spans="1:15">
      <c r="A26" s="1749"/>
      <c r="B26" s="1749"/>
      <c r="C26" s="2583">
        <v>1.96</v>
      </c>
      <c r="D26" s="1749"/>
      <c r="E26" s="2583">
        <v>1.97</v>
      </c>
      <c r="F26" s="1749"/>
      <c r="G26" s="2583">
        <v>2.0030000000000001</v>
      </c>
      <c r="H26" s="1749"/>
      <c r="I26" s="2583">
        <v>2.0030000000000001</v>
      </c>
      <c r="J26" s="1749"/>
      <c r="K26" s="1749">
        <f t="shared" si="2"/>
        <v>-0.43000000000000149</v>
      </c>
      <c r="L26" s="1749"/>
      <c r="M26" s="1749">
        <f t="shared" si="3"/>
        <v>-0.3300000000000014</v>
      </c>
      <c r="N26" s="1749"/>
      <c r="O26" s="1749"/>
    </row>
    <row r="27" spans="1:15">
      <c r="A27" s="1749"/>
      <c r="B27" s="1749"/>
      <c r="C27" s="2583">
        <v>1.47</v>
      </c>
      <c r="D27" s="1749"/>
      <c r="E27" s="2583">
        <v>1.48</v>
      </c>
      <c r="F27" s="1749"/>
      <c r="G27" s="2583">
        <v>1.5029999999999999</v>
      </c>
      <c r="H27" s="1749"/>
      <c r="I27" s="2583">
        <v>1.5009999999999999</v>
      </c>
      <c r="J27" s="1749"/>
      <c r="K27" s="1749">
        <f t="shared" si="2"/>
        <v>-0.32999999999999918</v>
      </c>
      <c r="L27" s="1749"/>
      <c r="M27" s="1749">
        <f t="shared" si="3"/>
        <v>-0.20999999999999908</v>
      </c>
      <c r="N27" s="1749"/>
      <c r="O27" s="1749"/>
    </row>
    <row r="28" spans="1:15">
      <c r="A28" s="1749"/>
      <c r="B28" s="1749"/>
      <c r="C28" s="2583">
        <v>0.99</v>
      </c>
      <c r="D28" s="1749"/>
      <c r="E28" s="2583">
        <v>0.97</v>
      </c>
      <c r="F28" s="1749"/>
      <c r="G28" s="2583">
        <v>1.0029999999999999</v>
      </c>
      <c r="H28" s="1749"/>
      <c r="I28" s="2583">
        <v>1.0029999999999999</v>
      </c>
      <c r="J28" s="1749"/>
      <c r="K28" s="1749">
        <f t="shared" si="2"/>
        <v>-0.12999999999999901</v>
      </c>
      <c r="L28" s="1749"/>
      <c r="M28" s="1749">
        <f t="shared" si="3"/>
        <v>-0.32999999999999918</v>
      </c>
      <c r="N28" s="1749"/>
      <c r="O28" s="1749"/>
    </row>
    <row r="29" spans="1:15">
      <c r="A29" s="1749"/>
      <c r="B29" s="1749"/>
      <c r="C29" s="2583">
        <v>0.48</v>
      </c>
      <c r="D29" s="1749"/>
      <c r="E29" s="2583">
        <v>0.46</v>
      </c>
      <c r="F29" s="1749"/>
      <c r="G29" s="2583">
        <v>0.502</v>
      </c>
      <c r="H29" s="1749"/>
      <c r="I29" s="2583">
        <v>0.501</v>
      </c>
      <c r="J29" s="1749"/>
      <c r="K29" s="1749">
        <f t="shared" si="2"/>
        <v>-0.2200000000000002</v>
      </c>
      <c r="L29" s="1749"/>
      <c r="M29" s="1749">
        <f t="shared" si="3"/>
        <v>-0.40999999999999975</v>
      </c>
      <c r="N29" s="1749"/>
      <c r="O29" s="1749"/>
    </row>
    <row r="30" spans="1:15">
      <c r="A30" s="1749" t="s">
        <v>122</v>
      </c>
      <c r="B30" s="1749"/>
      <c r="C30" s="1749"/>
      <c r="D30" s="1749"/>
      <c r="E30" s="1749"/>
      <c r="F30" s="1749"/>
      <c r="G30" s="1749"/>
      <c r="H30" s="1749"/>
      <c r="I30" s="1749"/>
      <c r="J30" s="1749"/>
      <c r="K30" s="1749"/>
      <c r="L30" s="1749"/>
      <c r="M30" s="1749"/>
      <c r="N30" s="1749"/>
      <c r="O30" s="1749"/>
    </row>
    <row r="31" spans="1:15">
      <c r="A31" t="s">
        <v>4288</v>
      </c>
      <c r="B31" t="s">
        <v>4294</v>
      </c>
    </row>
  </sheetData>
  <mergeCells count="148">
    <mergeCell ref="K19:L19"/>
    <mergeCell ref="M19:N19"/>
    <mergeCell ref="K21:L21"/>
    <mergeCell ref="M21:N21"/>
    <mergeCell ref="K22:L22"/>
    <mergeCell ref="M22:N22"/>
    <mergeCell ref="M20:N20"/>
    <mergeCell ref="A30:O30"/>
    <mergeCell ref="A14:O14"/>
    <mergeCell ref="A18:B19"/>
    <mergeCell ref="C18:F18"/>
    <mergeCell ref="G18:J18"/>
    <mergeCell ref="K18:N18"/>
    <mergeCell ref="C19:D19"/>
    <mergeCell ref="E19:F19"/>
    <mergeCell ref="G19:H19"/>
    <mergeCell ref="I19:J19"/>
    <mergeCell ref="A20:B29"/>
    <mergeCell ref="C20:D20"/>
    <mergeCell ref="E20:F20"/>
    <mergeCell ref="G20:H20"/>
    <mergeCell ref="I20:J20"/>
    <mergeCell ref="K20:L20"/>
    <mergeCell ref="C21:D21"/>
    <mergeCell ref="E21:F21"/>
    <mergeCell ref="G21:H21"/>
    <mergeCell ref="I21:J21"/>
    <mergeCell ref="K23:L23"/>
    <mergeCell ref="M23:N23"/>
    <mergeCell ref="C24:D24"/>
    <mergeCell ref="E24:F24"/>
    <mergeCell ref="G24:H24"/>
    <mergeCell ref="I24:J24"/>
    <mergeCell ref="K24:L24"/>
    <mergeCell ref="M24:N24"/>
    <mergeCell ref="C22:D22"/>
    <mergeCell ref="E22:F22"/>
    <mergeCell ref="G22:H22"/>
    <mergeCell ref="I22:J22"/>
    <mergeCell ref="C23:D23"/>
    <mergeCell ref="E23:F23"/>
    <mergeCell ref="G23:H23"/>
    <mergeCell ref="I23:J23"/>
    <mergeCell ref="C26:D26"/>
    <mergeCell ref="E26:F26"/>
    <mergeCell ref="G26:H26"/>
    <mergeCell ref="I26:J26"/>
    <mergeCell ref="K26:L26"/>
    <mergeCell ref="M26:N26"/>
    <mergeCell ref="C25:D25"/>
    <mergeCell ref="E25:F25"/>
    <mergeCell ref="G25:H25"/>
    <mergeCell ref="I25:J25"/>
    <mergeCell ref="K25:L25"/>
    <mergeCell ref="M25:N25"/>
    <mergeCell ref="G28:H28"/>
    <mergeCell ref="I28:J28"/>
    <mergeCell ref="K28:L28"/>
    <mergeCell ref="M28:N28"/>
    <mergeCell ref="C27:D27"/>
    <mergeCell ref="E27:F27"/>
    <mergeCell ref="G27:H27"/>
    <mergeCell ref="I27:J27"/>
    <mergeCell ref="K27:L27"/>
    <mergeCell ref="M27:N27"/>
    <mergeCell ref="C12:D12"/>
    <mergeCell ref="E12:F12"/>
    <mergeCell ref="G12:H12"/>
    <mergeCell ref="I12:J12"/>
    <mergeCell ref="K12:L12"/>
    <mergeCell ref="M12:N12"/>
    <mergeCell ref="O18:O19"/>
    <mergeCell ref="O20:O29"/>
    <mergeCell ref="O2:O3"/>
    <mergeCell ref="O4:O13"/>
    <mergeCell ref="C13:D13"/>
    <mergeCell ref="E13:F13"/>
    <mergeCell ref="G13:H13"/>
    <mergeCell ref="I13:J13"/>
    <mergeCell ref="K13:L13"/>
    <mergeCell ref="M13:N13"/>
    <mergeCell ref="C29:D29"/>
    <mergeCell ref="E29:F29"/>
    <mergeCell ref="G29:H29"/>
    <mergeCell ref="I29:J29"/>
    <mergeCell ref="K29:L29"/>
    <mergeCell ref="M29:N29"/>
    <mergeCell ref="C28:D28"/>
    <mergeCell ref="E28:F28"/>
    <mergeCell ref="C10:D10"/>
    <mergeCell ref="E10:F10"/>
    <mergeCell ref="G10:H10"/>
    <mergeCell ref="I10:J10"/>
    <mergeCell ref="K10:L10"/>
    <mergeCell ref="M10:N10"/>
    <mergeCell ref="C11:D11"/>
    <mergeCell ref="E11:F11"/>
    <mergeCell ref="G11:H11"/>
    <mergeCell ref="I11:J11"/>
    <mergeCell ref="K11:L11"/>
    <mergeCell ref="M11:N11"/>
    <mergeCell ref="C8:D8"/>
    <mergeCell ref="E8:F8"/>
    <mergeCell ref="G8:H8"/>
    <mergeCell ref="I8:J8"/>
    <mergeCell ref="K8:L8"/>
    <mergeCell ref="M8:N8"/>
    <mergeCell ref="C9:D9"/>
    <mergeCell ref="E9:F9"/>
    <mergeCell ref="G9:H9"/>
    <mergeCell ref="I9:J9"/>
    <mergeCell ref="K9:L9"/>
    <mergeCell ref="M9:N9"/>
    <mergeCell ref="K5:L5"/>
    <mergeCell ref="M5:N5"/>
    <mergeCell ref="I6:J6"/>
    <mergeCell ref="K6:L6"/>
    <mergeCell ref="M6:N6"/>
    <mergeCell ref="C7:D7"/>
    <mergeCell ref="E7:F7"/>
    <mergeCell ref="G7:H7"/>
    <mergeCell ref="I7:J7"/>
    <mergeCell ref="K7:L7"/>
    <mergeCell ref="M7:N7"/>
    <mergeCell ref="K3:L3"/>
    <mergeCell ref="M3:N3"/>
    <mergeCell ref="M4:N4"/>
    <mergeCell ref="C5:D5"/>
    <mergeCell ref="A2:B3"/>
    <mergeCell ref="C2:F2"/>
    <mergeCell ref="G2:J2"/>
    <mergeCell ref="K2:N2"/>
    <mergeCell ref="C3:D3"/>
    <mergeCell ref="E3:F3"/>
    <mergeCell ref="G3:H3"/>
    <mergeCell ref="I3:J3"/>
    <mergeCell ref="A4:B13"/>
    <mergeCell ref="C4:D4"/>
    <mergeCell ref="E4:F4"/>
    <mergeCell ref="G4:H4"/>
    <mergeCell ref="I4:J4"/>
    <mergeCell ref="C6:D6"/>
    <mergeCell ref="E6:F6"/>
    <mergeCell ref="G6:H6"/>
    <mergeCell ref="K4:L4"/>
    <mergeCell ref="E5:F5"/>
    <mergeCell ref="G5:H5"/>
    <mergeCell ref="I5:J5"/>
  </mergeCells>
  <phoneticPr fontId="216" type="noConversion"/>
  <pageMargins left="0.7" right="0.7" top="0.75" bottom="0.75" header="0.3" footer="0.3"/>
</worksheet>
</file>

<file path=xl/worksheets/sheet36.xml><?xml version="1.0" encoding="utf-8"?>
<worksheet xmlns="http://schemas.openxmlformats.org/spreadsheetml/2006/main" xmlns:r="http://schemas.openxmlformats.org/officeDocument/2006/relationships">
  <dimension ref="A1:L24"/>
  <sheetViews>
    <sheetView topLeftCell="A4" workbookViewId="0"/>
  </sheetViews>
  <sheetFormatPr defaultRowHeight="14.25"/>
  <cols>
    <col min="9" max="9" width="16.75" customWidth="1"/>
  </cols>
  <sheetData>
    <row r="1" spans="1:12">
      <c r="A1" t="s">
        <v>4295</v>
      </c>
      <c r="B1" t="s">
        <v>121</v>
      </c>
      <c r="J1">
        <v>1</v>
      </c>
      <c r="K1">
        <v>5</v>
      </c>
    </row>
    <row r="2" spans="1:12">
      <c r="A2" s="1749" t="s">
        <v>4296</v>
      </c>
      <c r="B2" s="1749"/>
      <c r="C2" s="1749" t="s">
        <v>4247</v>
      </c>
      <c r="D2" s="1749"/>
      <c r="E2" s="1749"/>
      <c r="F2" s="1749" t="s">
        <v>4297</v>
      </c>
      <c r="G2" s="1749"/>
      <c r="H2" s="1749"/>
      <c r="I2" s="1749" t="s">
        <v>4285</v>
      </c>
      <c r="J2" s="1749"/>
      <c r="K2" s="1749"/>
      <c r="L2" s="1749" t="s">
        <v>4234</v>
      </c>
    </row>
    <row r="3" spans="1:12">
      <c r="A3" s="1749"/>
      <c r="B3" s="1749"/>
      <c r="C3" t="s">
        <v>4298</v>
      </c>
      <c r="D3" t="s">
        <v>4236</v>
      </c>
      <c r="E3" t="s">
        <v>4299</v>
      </c>
      <c r="F3" t="s">
        <v>4298</v>
      </c>
      <c r="G3" t="s">
        <v>4236</v>
      </c>
      <c r="H3" t="s">
        <v>4300</v>
      </c>
      <c r="I3" t="s">
        <v>4238</v>
      </c>
      <c r="J3" t="s">
        <v>4236</v>
      </c>
      <c r="K3" t="s">
        <v>4299</v>
      </c>
      <c r="L3" s="1749"/>
    </row>
    <row r="4" spans="1:12">
      <c r="A4" s="1749">
        <v>1</v>
      </c>
      <c r="B4" s="1749"/>
      <c r="C4">
        <v>1.00017</v>
      </c>
      <c r="D4">
        <v>1.0001599999999999</v>
      </c>
      <c r="E4">
        <v>1.0001100000000001</v>
      </c>
      <c r="F4">
        <v>1.0001100000000001</v>
      </c>
      <c r="G4">
        <v>1.00017</v>
      </c>
      <c r="H4">
        <v>0.99997000000000003</v>
      </c>
      <c r="I4">
        <f>(C4-F4)/$A$4</f>
        <v>5.9999999999948983E-5</v>
      </c>
      <c r="J4">
        <f>(D4-G4)/$A$4*100</f>
        <v>-1.0000000000065512E-3</v>
      </c>
      <c r="K4">
        <f>(E4-H4)/$A$4*100</f>
        <v>1.4000000000002899E-2</v>
      </c>
      <c r="L4" s="1749">
        <f>2*(0.00002^2+0.00005^2+0.00000029^2)^0.5</f>
        <v>1.07704857829162E-4</v>
      </c>
    </row>
    <row r="5" spans="1:12">
      <c r="A5" s="1749"/>
      <c r="B5" s="1749"/>
      <c r="C5">
        <v>0.90015500000000004</v>
      </c>
      <c r="D5">
        <v>0.90012199999999998</v>
      </c>
      <c r="E5">
        <v>0.90010999999999997</v>
      </c>
      <c r="F5">
        <v>0.90012499999999995</v>
      </c>
      <c r="G5">
        <v>0.90017899999999995</v>
      </c>
      <c r="H5">
        <v>0.89993699999999999</v>
      </c>
      <c r="I5">
        <f t="shared" ref="I5:I13" si="0">(C5-F5)/$A$4</f>
        <v>3.0000000000085514E-5</v>
      </c>
      <c r="J5">
        <f t="shared" ref="J5:J13" si="1">(D5-G5)/$A$4*100</f>
        <v>-5.6999999999973738E-3</v>
      </c>
      <c r="K5">
        <f t="shared" ref="K5:K13" si="2">(E5-H5)/$A$4*100</f>
        <v>1.7299999999997873E-2</v>
      </c>
      <c r="L5" s="1749"/>
    </row>
    <row r="6" spans="1:12">
      <c r="A6" s="1749"/>
      <c r="B6" s="1749"/>
      <c r="C6">
        <v>0.80009600000000003</v>
      </c>
      <c r="D6">
        <v>0.80010049999999999</v>
      </c>
      <c r="E6">
        <v>0.80010000000000003</v>
      </c>
      <c r="F6">
        <v>0.80006200000000005</v>
      </c>
      <c r="G6">
        <v>0.80015000000000003</v>
      </c>
      <c r="H6">
        <v>0.8</v>
      </c>
      <c r="I6">
        <f t="shared" si="0"/>
        <v>3.3999999999978492E-5</v>
      </c>
      <c r="J6">
        <f t="shared" si="1"/>
        <v>-4.9500000000035627E-3</v>
      </c>
      <c r="K6">
        <f t="shared" si="2"/>
        <v>9.9999999999988987E-3</v>
      </c>
      <c r="L6" s="1749"/>
    </row>
    <row r="7" spans="1:12">
      <c r="A7" s="1749"/>
      <c r="B7" s="1749"/>
      <c r="C7">
        <v>0.70006999999999997</v>
      </c>
      <c r="D7">
        <v>0.70004</v>
      </c>
      <c r="E7">
        <v>0.70008099999999995</v>
      </c>
      <c r="F7">
        <v>0.70006999999999997</v>
      </c>
      <c r="G7">
        <v>0.70016</v>
      </c>
      <c r="H7">
        <v>0.70001000000000002</v>
      </c>
      <c r="I7">
        <f t="shared" si="0"/>
        <v>0</v>
      </c>
      <c r="J7">
        <f t="shared" si="1"/>
        <v>-1.2000000000000899E-2</v>
      </c>
      <c r="K7">
        <f t="shared" si="2"/>
        <v>7.0999999999932228E-3</v>
      </c>
      <c r="L7" s="1749"/>
    </row>
    <row r="8" spans="1:12">
      <c r="A8" s="1749"/>
      <c r="B8" s="1749"/>
      <c r="C8">
        <v>0.60007999999999995</v>
      </c>
      <c r="D8">
        <v>0.60004999999999997</v>
      </c>
      <c r="E8">
        <v>0.60009999999999997</v>
      </c>
      <c r="F8">
        <v>0.60002500000000003</v>
      </c>
      <c r="G8">
        <v>0.60010699999999995</v>
      </c>
      <c r="H8">
        <v>0.59968999999999995</v>
      </c>
      <c r="I8">
        <f t="shared" si="0"/>
        <v>5.4999999999916227E-5</v>
      </c>
      <c r="J8">
        <f t="shared" si="1"/>
        <v>-5.6999999999973738E-3</v>
      </c>
      <c r="K8">
        <f t="shared" si="2"/>
        <v>4.1000000000002146E-2</v>
      </c>
      <c r="L8" s="1749"/>
    </row>
    <row r="9" spans="1:12">
      <c r="A9" s="1749"/>
      <c r="B9" s="1749"/>
      <c r="C9">
        <v>0.49994</v>
      </c>
      <c r="D9">
        <v>0.49992999999999999</v>
      </c>
      <c r="E9">
        <v>0.5</v>
      </c>
      <c r="F9">
        <v>0.50002000000000002</v>
      </c>
      <c r="G9">
        <v>0.49997000000000003</v>
      </c>
      <c r="H9">
        <v>0.5</v>
      </c>
      <c r="I9">
        <f t="shared" si="0"/>
        <v>-8.0000000000024496E-5</v>
      </c>
      <c r="J9">
        <f t="shared" si="1"/>
        <v>-4.0000000000040004E-3</v>
      </c>
      <c r="K9">
        <f t="shared" si="2"/>
        <v>0</v>
      </c>
      <c r="L9" s="1749"/>
    </row>
    <row r="10" spans="1:12">
      <c r="A10" s="1749"/>
      <c r="B10" s="1749"/>
      <c r="C10">
        <v>0.40004000000000001</v>
      </c>
      <c r="D10">
        <v>0.40000999999999998</v>
      </c>
      <c r="E10">
        <v>0.40006000000000003</v>
      </c>
      <c r="F10">
        <v>0.40003</v>
      </c>
      <c r="G10">
        <v>0.40006000000000003</v>
      </c>
      <c r="H10">
        <v>0.39999000000000001</v>
      </c>
      <c r="I10">
        <f t="shared" si="0"/>
        <v>1.0000000000010001E-5</v>
      </c>
      <c r="J10">
        <f t="shared" si="1"/>
        <v>-5.0000000000050004E-3</v>
      </c>
      <c r="K10">
        <f t="shared" si="2"/>
        <v>7.0000000000014495E-3</v>
      </c>
      <c r="L10" s="1749"/>
    </row>
    <row r="11" spans="1:12">
      <c r="A11" s="1749"/>
      <c r="B11" s="1749"/>
      <c r="C11">
        <v>0.30001</v>
      </c>
      <c r="D11">
        <v>0.30002000000000001</v>
      </c>
      <c r="E11">
        <v>0.29998000000000002</v>
      </c>
      <c r="F11">
        <v>0.30003000000000002</v>
      </c>
      <c r="G11">
        <v>0.30008400000000002</v>
      </c>
      <c r="H11">
        <v>0.29994999999999999</v>
      </c>
      <c r="I11">
        <f t="shared" si="0"/>
        <v>-2.0000000000020002E-5</v>
      </c>
      <c r="J11">
        <f t="shared" si="1"/>
        <v>-6.4000000000008495E-3</v>
      </c>
      <c r="K11">
        <f t="shared" si="2"/>
        <v>3.0000000000030003E-3</v>
      </c>
      <c r="L11" s="1749"/>
    </row>
    <row r="12" spans="1:12">
      <c r="A12" s="1749"/>
      <c r="B12" s="1749"/>
      <c r="C12">
        <v>0.20002</v>
      </c>
      <c r="D12">
        <v>0.20002</v>
      </c>
      <c r="E12">
        <v>0.20002500000000001</v>
      </c>
      <c r="F12">
        <v>0.20002</v>
      </c>
      <c r="G12">
        <v>0.20000999999999999</v>
      </c>
      <c r="H12">
        <v>0.2</v>
      </c>
      <c r="I12">
        <f t="shared" si="0"/>
        <v>0</v>
      </c>
      <c r="J12">
        <f t="shared" si="1"/>
        <v>1.0000000000010001E-3</v>
      </c>
      <c r="K12">
        <f t="shared" si="2"/>
        <v>2.4999999999997247E-3</v>
      </c>
      <c r="L12" s="1749"/>
    </row>
    <row r="13" spans="1:12">
      <c r="A13" s="1749"/>
      <c r="B13" s="1749"/>
      <c r="C13">
        <v>0.10012</v>
      </c>
      <c r="D13">
        <v>0.10009999999999999</v>
      </c>
      <c r="E13">
        <v>0.10002999999999999</v>
      </c>
      <c r="F13">
        <v>0.1</v>
      </c>
      <c r="G13">
        <v>9.9989999999999996E-2</v>
      </c>
      <c r="H13">
        <v>9.9989999999999996E-2</v>
      </c>
      <c r="I13">
        <f t="shared" si="0"/>
        <v>1.1999999999999511E-4</v>
      </c>
      <c r="J13">
        <f t="shared" si="1"/>
        <v>1.0999999999999899E-2</v>
      </c>
      <c r="K13">
        <f t="shared" si="2"/>
        <v>3.999999999999837E-3</v>
      </c>
      <c r="L13" s="1749"/>
    </row>
    <row r="14" spans="1:12">
      <c r="A14" s="1749">
        <v>10</v>
      </c>
      <c r="B14" s="1749"/>
      <c r="C14">
        <v>9.9999699999999994</v>
      </c>
      <c r="D14">
        <v>10.0008</v>
      </c>
      <c r="E14">
        <v>9.9998100000000001</v>
      </c>
      <c r="F14">
        <v>10.0002</v>
      </c>
      <c r="G14">
        <v>10.001099999999999</v>
      </c>
      <c r="H14">
        <v>9.9995999999999992</v>
      </c>
      <c r="I14">
        <f t="shared" ref="I14:K18" si="3">(C14-F14)/$A$14*100</f>
        <v>-2.3000000000017451E-3</v>
      </c>
      <c r="J14">
        <f t="shared" si="3"/>
        <v>-2.9999999999930083E-3</v>
      </c>
      <c r="K14">
        <f t="shared" si="3"/>
        <v>2.1000000000093166E-3</v>
      </c>
      <c r="L14" s="1749">
        <f>2*(0.00002^2+0.00005^2+0.0000029^2)^0.5</f>
        <v>1.0785935286288344E-4</v>
      </c>
    </row>
    <row r="15" spans="1:12">
      <c r="A15" s="1749"/>
      <c r="B15" s="1749"/>
      <c r="C15">
        <v>8.0001200000000008</v>
      </c>
      <c r="D15">
        <v>8.0001200000000008</v>
      </c>
      <c r="E15">
        <v>8.0001200000000008</v>
      </c>
      <c r="F15">
        <v>8.0000999999999998</v>
      </c>
      <c r="G15">
        <v>8.0000599999999995</v>
      </c>
      <c r="H15">
        <v>8.0000300000000006</v>
      </c>
      <c r="I15">
        <f t="shared" si="3"/>
        <v>2.0000000001019205E-4</v>
      </c>
      <c r="J15">
        <f t="shared" si="3"/>
        <v>6.0000000001281251E-4</v>
      </c>
      <c r="K15">
        <f t="shared" si="3"/>
        <v>9.0000000000145519E-4</v>
      </c>
      <c r="L15" s="1749"/>
    </row>
    <row r="16" spans="1:12">
      <c r="A16" s="1749"/>
      <c r="B16" s="1749"/>
      <c r="C16">
        <v>6.0000099999999996</v>
      </c>
      <c r="D16">
        <v>6.0001699999999998</v>
      </c>
      <c r="E16">
        <v>5.9999399999999996</v>
      </c>
      <c r="F16">
        <v>6</v>
      </c>
      <c r="G16">
        <v>6.0001100000000003</v>
      </c>
      <c r="H16">
        <v>6.0007000000000001</v>
      </c>
      <c r="I16">
        <f t="shared" si="3"/>
        <v>9.9999999996214228E-5</v>
      </c>
      <c r="J16">
        <f t="shared" si="3"/>
        <v>5.9999999999504894E-4</v>
      </c>
      <c r="K16">
        <f t="shared" si="3"/>
        <v>-7.6000000000053811E-3</v>
      </c>
      <c r="L16" s="1749"/>
    </row>
    <row r="17" spans="1:12">
      <c r="A17" s="1749"/>
      <c r="B17" s="1749"/>
      <c r="C17">
        <v>4.0000600000000004</v>
      </c>
      <c r="D17">
        <v>4.0003000000000002</v>
      </c>
      <c r="E17">
        <v>4.0001800000000003</v>
      </c>
      <c r="F17">
        <v>4.0000200000000001</v>
      </c>
      <c r="G17">
        <v>4</v>
      </c>
      <c r="H17">
        <v>4</v>
      </c>
      <c r="I17">
        <f t="shared" si="3"/>
        <v>4.0000000000262043E-4</v>
      </c>
      <c r="J17">
        <f t="shared" si="3"/>
        <v>3.00000000000189E-3</v>
      </c>
      <c r="K17">
        <f t="shared" si="3"/>
        <v>1.8000000000029104E-3</v>
      </c>
      <c r="L17" s="1749"/>
    </row>
    <row r="18" spans="1:12">
      <c r="A18" s="1749"/>
      <c r="B18" s="1749"/>
      <c r="C18">
        <v>2.00007</v>
      </c>
      <c r="D18">
        <v>1.9999800000000001</v>
      </c>
      <c r="E18">
        <v>2.0000499999999999</v>
      </c>
      <c r="F18">
        <v>2</v>
      </c>
      <c r="G18">
        <v>2</v>
      </c>
      <c r="H18">
        <v>2</v>
      </c>
      <c r="I18">
        <f t="shared" si="3"/>
        <v>7.0000000000014495E-4</v>
      </c>
      <c r="J18">
        <f t="shared" si="3"/>
        <v>-1.9999999999908982E-4</v>
      </c>
      <c r="K18">
        <f t="shared" si="3"/>
        <v>4.9999999999883471E-4</v>
      </c>
      <c r="L18" s="1749"/>
    </row>
    <row r="19" spans="1:12">
      <c r="A19" s="1749">
        <v>10</v>
      </c>
      <c r="B19" s="1749"/>
      <c r="C19">
        <v>10.010999999999999</v>
      </c>
      <c r="D19">
        <v>9.9751899999999996</v>
      </c>
      <c r="E19">
        <v>9.9853799999999993</v>
      </c>
      <c r="F19">
        <v>10.0113</v>
      </c>
      <c r="G19">
        <v>9.9754699999999996</v>
      </c>
      <c r="H19">
        <v>9.9851700000000001</v>
      </c>
      <c r="I19">
        <f t="shared" ref="I19:K21" si="4">(C19-F19)/$A$19*100</f>
        <v>-3.0000000000107718E-3</v>
      </c>
      <c r="J19">
        <f t="shared" si="4"/>
        <v>-2.8000000000005798E-3</v>
      </c>
      <c r="K19">
        <f t="shared" si="4"/>
        <v>2.0999999999915531E-3</v>
      </c>
    </row>
    <row r="20" spans="1:12">
      <c r="A20" s="1749"/>
      <c r="B20" s="1749"/>
      <c r="C20">
        <v>6.0030200000000002</v>
      </c>
      <c r="D20">
        <v>5.98597</v>
      </c>
      <c r="E20">
        <v>5.9860100000000003</v>
      </c>
      <c r="F20">
        <v>6.0033000000000003</v>
      </c>
      <c r="G20">
        <v>5.9866099999999998</v>
      </c>
      <c r="H20">
        <v>5.9861000000000004</v>
      </c>
      <c r="I20">
        <f t="shared" si="4"/>
        <v>-2.8000000000005798E-3</v>
      </c>
      <c r="J20">
        <f t="shared" si="4"/>
        <v>-6.3999999999975179E-3</v>
      </c>
      <c r="K20">
        <f t="shared" si="4"/>
        <v>-9.0000000000145519E-4</v>
      </c>
    </row>
    <row r="21" spans="1:12">
      <c r="A21" s="1749"/>
      <c r="B21" s="1749"/>
      <c r="C21">
        <v>0.99368000000000001</v>
      </c>
      <c r="D21">
        <v>0.99804000000000004</v>
      </c>
      <c r="E21">
        <v>0.98719999999999997</v>
      </c>
      <c r="F21">
        <v>0.99387999999999999</v>
      </c>
      <c r="G21">
        <v>0.99778</v>
      </c>
      <c r="H21">
        <v>0.98719000000000001</v>
      </c>
      <c r="I21">
        <f t="shared" si="4"/>
        <v>-1.9999999999997797E-3</v>
      </c>
      <c r="J21">
        <f t="shared" si="4"/>
        <v>2.6000000000003798E-3</v>
      </c>
      <c r="K21">
        <f t="shared" si="4"/>
        <v>9.9999999999544911E-5</v>
      </c>
    </row>
    <row r="22" spans="1:12">
      <c r="A22" s="1749" t="s">
        <v>122</v>
      </c>
      <c r="B22" s="1749"/>
      <c r="C22" s="1749"/>
      <c r="D22" s="1749"/>
      <c r="E22" s="1749"/>
      <c r="F22" s="1749"/>
      <c r="G22" s="1749"/>
      <c r="H22" s="1749"/>
      <c r="I22" s="1749"/>
      <c r="J22" s="1749"/>
      <c r="K22" s="1749"/>
      <c r="L22" s="1749"/>
    </row>
    <row r="23" spans="1:12">
      <c r="A23" t="s">
        <v>4288</v>
      </c>
      <c r="B23" t="s">
        <v>4242</v>
      </c>
    </row>
    <row r="24" spans="1:12">
      <c r="H24">
        <v>88071506</v>
      </c>
    </row>
  </sheetData>
  <mergeCells count="11">
    <mergeCell ref="L2:L3"/>
    <mergeCell ref="A22:L22"/>
    <mergeCell ref="A4:B13"/>
    <mergeCell ref="L4:L13"/>
    <mergeCell ref="A14:B18"/>
    <mergeCell ref="L14:L18"/>
    <mergeCell ref="A19:B21"/>
    <mergeCell ref="A2:B3"/>
    <mergeCell ref="C2:E2"/>
    <mergeCell ref="F2:H2"/>
    <mergeCell ref="I2:K2"/>
  </mergeCells>
  <phoneticPr fontId="216" type="noConversion"/>
  <conditionalFormatting sqref="I4:K21">
    <cfRule type="cellIs" dxfId="72" priority="1" stopIfTrue="1" operator="greaterThan">
      <formula>0.05</formula>
    </cfRule>
    <cfRule type="cellIs" dxfId="71" priority="2" stopIfTrue="1" operator="lessThan">
      <formula>-0.05</formula>
    </cfRule>
  </conditionalFormatting>
  <pageMargins left="0.7" right="0.7" top="0.75" bottom="0.75" header="0.3" footer="0.3"/>
</worksheet>
</file>

<file path=xl/worksheets/sheet37.xml><?xml version="1.0" encoding="utf-8"?>
<worksheet xmlns="http://schemas.openxmlformats.org/spreadsheetml/2006/main" xmlns:r="http://schemas.openxmlformats.org/officeDocument/2006/relationships">
  <dimension ref="A1:U20"/>
  <sheetViews>
    <sheetView workbookViewId="0">
      <selection activeCell="E20" sqref="E20:G20"/>
    </sheetView>
  </sheetViews>
  <sheetFormatPr defaultRowHeight="14.25"/>
  <sheetData>
    <row r="1" spans="1:21">
      <c r="A1" t="s">
        <v>3889</v>
      </c>
    </row>
    <row r="2" spans="1:21" ht="15.75">
      <c r="A2" s="1605" t="s">
        <v>3938</v>
      </c>
      <c r="B2" s="1605"/>
      <c r="C2" s="1605"/>
      <c r="D2" s="1605"/>
      <c r="E2" s="1605"/>
      <c r="F2" s="1605"/>
      <c r="G2" s="1605"/>
      <c r="H2" s="1605"/>
      <c r="I2" s="1605"/>
      <c r="J2" s="1605"/>
      <c r="K2" s="1605"/>
      <c r="L2" s="1605"/>
      <c r="M2" s="1605"/>
      <c r="N2" s="1605"/>
      <c r="O2" s="1605"/>
      <c r="P2" s="1606"/>
      <c r="Q2" s="1605"/>
      <c r="R2" s="1605"/>
      <c r="S2" s="1605"/>
      <c r="T2" s="1605"/>
      <c r="U2" s="1605"/>
    </row>
    <row r="3" spans="1:21" ht="15.75">
      <c r="A3" s="2455" t="s">
        <v>3939</v>
      </c>
      <c r="B3" s="2455"/>
      <c r="C3" s="2455"/>
      <c r="D3" s="347" t="s">
        <v>3940</v>
      </c>
      <c r="E3" s="2455" t="s">
        <v>3941</v>
      </c>
      <c r="F3" s="2455"/>
      <c r="G3" s="2455"/>
      <c r="H3" s="2455"/>
      <c r="I3" s="2455" t="s">
        <v>3942</v>
      </c>
      <c r="J3" s="2455"/>
      <c r="K3" s="2455" t="s">
        <v>3943</v>
      </c>
      <c r="L3" s="2455"/>
      <c r="M3" s="2455"/>
      <c r="N3" s="1605"/>
      <c r="O3" s="1605"/>
      <c r="P3" s="1606"/>
      <c r="Q3" s="1605"/>
      <c r="R3" s="1605"/>
      <c r="S3" s="1605"/>
      <c r="T3" s="1605"/>
      <c r="U3" s="1605"/>
    </row>
    <row r="4" spans="1:21" ht="15.75">
      <c r="A4" s="2451">
        <v>0.99447300000000005</v>
      </c>
      <c r="B4" s="2451"/>
      <c r="C4" s="2451"/>
      <c r="D4" s="349">
        <v>0.99545300000000003</v>
      </c>
      <c r="E4" s="2451">
        <v>0.99447300000000005</v>
      </c>
      <c r="F4" s="2451"/>
      <c r="G4" s="2451"/>
      <c r="H4" s="2451"/>
      <c r="I4" s="2451">
        <v>0.99545300000000003</v>
      </c>
      <c r="J4" s="2451"/>
      <c r="K4" s="2451">
        <v>0.99447300000000005</v>
      </c>
      <c r="L4" s="2451"/>
      <c r="M4" s="2451"/>
      <c r="N4" s="1605"/>
      <c r="O4" s="1605"/>
      <c r="P4" s="1606"/>
      <c r="Q4" s="1605"/>
      <c r="R4" s="1605"/>
      <c r="S4" s="1605"/>
      <c r="T4" s="1605"/>
      <c r="U4" s="1605"/>
    </row>
    <row r="5" spans="1:21" ht="15.75">
      <c r="A5" s="2451">
        <v>0.99545300000000003</v>
      </c>
      <c r="B5" s="2451"/>
      <c r="C5" s="2451"/>
      <c r="D5" s="349">
        <v>0.99447300000000005</v>
      </c>
      <c r="E5" s="2451">
        <v>0.99545300000000003</v>
      </c>
      <c r="F5" s="2451"/>
      <c r="G5" s="2451"/>
      <c r="H5" s="2451"/>
      <c r="I5" s="2451">
        <v>0.99447300000000005</v>
      </c>
      <c r="J5" s="2451"/>
      <c r="K5" s="2451">
        <v>0.99545300000000003</v>
      </c>
      <c r="L5" s="2451"/>
      <c r="M5" s="2451"/>
      <c r="N5" s="1605"/>
      <c r="O5" s="1605"/>
      <c r="P5" s="1606"/>
      <c r="Q5" s="1605"/>
      <c r="R5" s="1605"/>
      <c r="S5" s="1605"/>
      <c r="T5" s="1605"/>
      <c r="U5" s="1605"/>
    </row>
    <row r="6" spans="1:21" ht="18.75">
      <c r="A6" s="2452" t="s">
        <v>3944</v>
      </c>
      <c r="B6" s="2453"/>
      <c r="C6" s="2454"/>
      <c r="D6" s="1814"/>
      <c r="E6" s="1713"/>
      <c r="F6" s="1713"/>
      <c r="G6" s="1713"/>
      <c r="H6" s="1713"/>
      <c r="I6" s="1713"/>
      <c r="J6" s="1713"/>
      <c r="K6" s="1713"/>
      <c r="L6" s="1713"/>
      <c r="M6" s="1714"/>
      <c r="N6" s="1605"/>
      <c r="O6" s="1605"/>
      <c r="P6" s="1606"/>
      <c r="Q6" s="1605"/>
      <c r="R6" s="1605"/>
      <c r="S6" s="1605"/>
      <c r="T6" s="1605"/>
      <c r="U6" s="1605"/>
    </row>
    <row r="7" spans="1:21" ht="15.75">
      <c r="A7" s="1605"/>
      <c r="B7" s="1605"/>
      <c r="C7" s="1605"/>
      <c r="D7" s="1605"/>
      <c r="E7" s="1605"/>
      <c r="F7" s="1605"/>
      <c r="G7" s="1605"/>
      <c r="H7" s="1605"/>
      <c r="I7" s="1605"/>
      <c r="J7" s="1605"/>
      <c r="K7" s="1605"/>
      <c r="L7" s="1605"/>
      <c r="M7" s="1605"/>
      <c r="N7" s="1605"/>
      <c r="O7" s="1605"/>
      <c r="P7" s="1606"/>
      <c r="Q7" s="1605"/>
      <c r="R7" s="1605"/>
      <c r="S7" s="1605"/>
      <c r="T7" s="1605"/>
      <c r="U7" s="1605"/>
    </row>
    <row r="8" spans="1:21" ht="15.75">
      <c r="A8" s="1605"/>
      <c r="B8" s="1605"/>
      <c r="C8" s="1605"/>
      <c r="D8" s="1605"/>
      <c r="E8" s="1605"/>
      <c r="F8" s="1605"/>
      <c r="G8" s="1605"/>
      <c r="H8" s="1605"/>
      <c r="I8" s="1605"/>
      <c r="J8" s="1605"/>
      <c r="K8" s="1605"/>
      <c r="L8" s="1605"/>
      <c r="M8" s="1605"/>
      <c r="N8" s="1605"/>
      <c r="O8" s="1605"/>
      <c r="P8" s="1606"/>
      <c r="Q8" s="1605"/>
      <c r="R8" s="1605"/>
      <c r="S8" s="1605"/>
      <c r="T8" s="1605"/>
      <c r="U8" s="1605"/>
    </row>
    <row r="9" spans="1:21" ht="15.75">
      <c r="A9" s="1605" t="s">
        <v>3945</v>
      </c>
      <c r="B9" s="1605"/>
      <c r="C9" s="1605"/>
      <c r="D9" s="1605"/>
      <c r="E9" s="1605"/>
      <c r="F9" s="1605"/>
      <c r="G9" s="1605"/>
      <c r="H9" s="1605"/>
      <c r="I9" s="1605"/>
      <c r="J9" s="1605"/>
      <c r="K9" s="1605"/>
      <c r="L9" s="1605"/>
      <c r="M9" s="1605"/>
      <c r="N9" s="1605"/>
      <c r="O9" s="1605"/>
      <c r="P9" s="1606"/>
      <c r="Q9" s="1605"/>
      <c r="R9" s="1605"/>
      <c r="S9" s="1605"/>
      <c r="T9" s="1605"/>
      <c r="U9" s="1605"/>
    </row>
    <row r="10" spans="1:21" ht="18.75">
      <c r="A10" t="s">
        <v>3946</v>
      </c>
      <c r="B10" s="1749" t="s">
        <v>3947</v>
      </c>
      <c r="C10" s="1749"/>
      <c r="D10" s="1749"/>
      <c r="E10" s="1749"/>
      <c r="F10" s="1749"/>
      <c r="G10" s="1749"/>
      <c r="H10" s="1749"/>
      <c r="I10" s="1749"/>
      <c r="J10" s="1749"/>
      <c r="K10" s="2450" t="s">
        <v>3948</v>
      </c>
      <c r="L10" s="2450"/>
      <c r="M10" s="1749" t="s">
        <v>3949</v>
      </c>
      <c r="N10" s="1749"/>
      <c r="O10" s="1749"/>
      <c r="P10" s="1749" t="s">
        <v>3950</v>
      </c>
      <c r="Q10" s="2450"/>
      <c r="R10" s="1749" t="s">
        <v>3951</v>
      </c>
      <c r="S10" s="2450"/>
      <c r="T10" s="2450"/>
      <c r="U10" s="2450"/>
    </row>
    <row r="11" spans="1:21" ht="18.75">
      <c r="A11">
        <v>1</v>
      </c>
      <c r="B11" s="1749" t="s">
        <v>3952</v>
      </c>
      <c r="C11" s="1749"/>
      <c r="D11" s="1749"/>
      <c r="E11" s="1749"/>
      <c r="F11" s="1749"/>
      <c r="G11" s="1749"/>
      <c r="H11" s="1749"/>
      <c r="I11" s="1749"/>
      <c r="J11" s="1749"/>
      <c r="K11" s="1749">
        <v>4.0000000000000003E-5</v>
      </c>
      <c r="L11" s="1749"/>
      <c r="M11" s="1749" t="s">
        <v>3953</v>
      </c>
      <c r="N11" s="1749"/>
      <c r="O11" s="1749"/>
      <c r="P11" s="2450">
        <v>2</v>
      </c>
      <c r="Q11" s="2450"/>
      <c r="R11" s="1749">
        <f>K11/P11</f>
        <v>2.0000000000000002E-5</v>
      </c>
      <c r="S11" s="1749"/>
      <c r="T11" s="1749"/>
      <c r="U11" s="1749"/>
    </row>
    <row r="12" spans="1:21" ht="18.75">
      <c r="A12">
        <v>2</v>
      </c>
      <c r="B12" s="1749" t="s">
        <v>3954</v>
      </c>
      <c r="C12" s="1749"/>
      <c r="D12" s="1749"/>
      <c r="E12" s="1749"/>
      <c r="F12" s="1749"/>
      <c r="G12" s="1749"/>
      <c r="H12" s="1749"/>
      <c r="I12" s="1749"/>
      <c r="J12" s="1749"/>
      <c r="K12" s="1749">
        <v>2.0000000000000001E-4</v>
      </c>
      <c r="L12" s="1749"/>
      <c r="M12" s="1749" t="s">
        <v>3955</v>
      </c>
      <c r="N12" s="1749"/>
      <c r="O12" s="1749"/>
      <c r="P12" s="2450">
        <v>2</v>
      </c>
      <c r="Q12" s="2450"/>
      <c r="R12" s="1749">
        <f>K12/P12</f>
        <v>1E-4</v>
      </c>
      <c r="S12" s="1749"/>
      <c r="T12" s="1749"/>
      <c r="U12" s="1749"/>
    </row>
    <row r="13" spans="1:21" ht="18.75">
      <c r="A13">
        <v>3</v>
      </c>
      <c r="B13" s="1749" t="s">
        <v>3956</v>
      </c>
      <c r="C13" s="1749"/>
      <c r="D13" s="1749"/>
      <c r="E13" s="1749"/>
      <c r="F13" s="1749"/>
      <c r="G13" s="1749"/>
      <c r="H13" s="1749"/>
      <c r="I13" s="1749"/>
      <c r="J13" s="1749"/>
      <c r="K13" s="1749">
        <v>5.0000000000000004E-6</v>
      </c>
      <c r="L13" s="1749"/>
      <c r="M13" s="1749" t="s">
        <v>3957</v>
      </c>
      <c r="N13" s="1749"/>
      <c r="O13" s="1749"/>
      <c r="P13" s="1749" t="s">
        <v>3958</v>
      </c>
      <c r="Q13" s="1749"/>
      <c r="R13" s="1749">
        <f>K13/SQRT(3)</f>
        <v>2.8867513459481293E-6</v>
      </c>
      <c r="S13" s="1749"/>
      <c r="T13" s="1749"/>
      <c r="U13" s="1749"/>
    </row>
    <row r="14" spans="1:21" ht="18.75">
      <c r="A14" t="s">
        <v>3959</v>
      </c>
      <c r="B14" s="1749"/>
      <c r="C14" s="1749"/>
      <c r="D14" s="1749"/>
      <c r="E14" s="1749"/>
      <c r="F14" s="1749"/>
      <c r="G14" s="1749"/>
      <c r="H14" s="1749"/>
      <c r="I14" s="1749"/>
      <c r="J14" s="1749"/>
      <c r="K14" s="1749"/>
      <c r="L14" s="1749"/>
      <c r="M14" s="1749"/>
      <c r="N14" s="1749"/>
      <c r="O14" s="1749"/>
      <c r="P14" s="1749"/>
      <c r="Q14" s="1749"/>
      <c r="R14" s="1749"/>
      <c r="S14" s="1749"/>
      <c r="T14" s="1749"/>
      <c r="U14" s="1749"/>
    </row>
    <row r="15" spans="1:21" ht="15.75">
      <c r="A15" s="1605" t="s">
        <v>3883</v>
      </c>
      <c r="B15" s="1605"/>
      <c r="C15" s="1605"/>
      <c r="D15" s="1605"/>
      <c r="E15" s="1605"/>
      <c r="F15" s="1605"/>
      <c r="G15" s="1605"/>
      <c r="H15" s="1605"/>
      <c r="I15" s="1605"/>
      <c r="J15" s="1605"/>
      <c r="L15" s="1605"/>
      <c r="M15" s="1605"/>
      <c r="N15" s="1605"/>
      <c r="O15" s="1605"/>
      <c r="P15" s="1606"/>
      <c r="Q15" s="1605"/>
      <c r="R15" s="1605"/>
      <c r="S15" s="1605"/>
      <c r="T15" s="1605"/>
      <c r="U15" s="1605"/>
    </row>
    <row r="16" spans="1:21" ht="18.75">
      <c r="A16" s="1605"/>
      <c r="B16" t="s">
        <v>3884</v>
      </c>
      <c r="C16" s="1605"/>
      <c r="D16" s="1749"/>
      <c r="E16" s="1749"/>
      <c r="F16" s="1605"/>
      <c r="G16" s="1605"/>
      <c r="H16" s="1605"/>
      <c r="I16" s="1605"/>
      <c r="J16" s="1605"/>
      <c r="L16" s="1605"/>
      <c r="M16" s="1605"/>
      <c r="N16" s="1605"/>
      <c r="O16" s="1605"/>
      <c r="P16" s="1606"/>
      <c r="Q16" s="1605"/>
      <c r="R16" s="1605"/>
      <c r="S16" s="1605"/>
      <c r="T16" s="1605"/>
      <c r="U16" s="1605"/>
    </row>
    <row r="17" spans="1:21" ht="15.75">
      <c r="A17" s="1605" t="s">
        <v>3885</v>
      </c>
      <c r="B17" s="1605"/>
      <c r="C17" s="1605"/>
      <c r="D17" s="1605"/>
      <c r="E17" s="1605"/>
      <c r="F17" s="1605"/>
      <c r="G17" s="1605"/>
      <c r="H17" s="1605"/>
      <c r="I17" s="1605"/>
      <c r="J17" s="1605"/>
      <c r="L17" s="1605"/>
      <c r="M17" s="1605"/>
      <c r="N17" s="1605"/>
      <c r="O17" s="1605"/>
      <c r="P17" s="1606"/>
      <c r="Q17" s="1605"/>
      <c r="R17" s="1605"/>
      <c r="S17" s="1605"/>
      <c r="T17" s="1605"/>
      <c r="U17" s="1605"/>
    </row>
    <row r="18" spans="1:21" ht="18.75">
      <c r="A18" s="1749" t="s">
        <v>3886</v>
      </c>
      <c r="B18" s="1749"/>
      <c r="E18" s="1605"/>
      <c r="F18" s="1605"/>
      <c r="G18" s="1605"/>
      <c r="H18" s="1605"/>
      <c r="I18" s="1605"/>
      <c r="J18" s="1605"/>
      <c r="L18" s="1605"/>
      <c r="M18" s="1605"/>
      <c r="N18" s="1605"/>
      <c r="O18" s="1605"/>
      <c r="P18" s="1606"/>
      <c r="Q18" s="1605"/>
      <c r="R18" s="1605"/>
      <c r="S18" s="1605"/>
      <c r="T18" s="1605"/>
      <c r="U18" s="1605"/>
    </row>
    <row r="19" spans="1:21" ht="15.75">
      <c r="A19" s="1605" t="s">
        <v>3887</v>
      </c>
      <c r="B19" s="1605"/>
      <c r="C19" s="1605"/>
      <c r="D19" s="1605"/>
      <c r="E19" s="1605"/>
      <c r="F19" s="1605"/>
      <c r="G19" s="1605"/>
      <c r="H19" s="1605"/>
      <c r="I19" s="1605"/>
      <c r="J19" s="1605"/>
      <c r="L19" s="1605"/>
      <c r="M19" s="1605"/>
      <c r="N19" s="1605"/>
      <c r="P19" s="1606"/>
      <c r="Q19" s="1605"/>
      <c r="R19" s="1605"/>
      <c r="S19" s="1605"/>
      <c r="T19" s="1605"/>
      <c r="U19" s="1605"/>
    </row>
    <row r="20" spans="1:21" ht="15.75">
      <c r="A20" t="s">
        <v>3937</v>
      </c>
      <c r="B20" s="1605"/>
      <c r="C20" s="1605"/>
      <c r="E20" s="1749"/>
      <c r="F20" s="1749"/>
      <c r="G20" s="1749"/>
      <c r="H20" s="1749"/>
      <c r="I20" s="1749"/>
      <c r="J20" s="1749"/>
      <c r="K20" s="1605"/>
      <c r="L20" s="1605"/>
      <c r="M20" s="1605"/>
      <c r="N20" s="1605"/>
      <c r="O20" s="1605"/>
      <c r="P20" s="1606"/>
      <c r="Q20" s="1605"/>
      <c r="R20" s="1605"/>
      <c r="S20" s="1605"/>
      <c r="T20" s="1605"/>
      <c r="U20" s="1605"/>
    </row>
  </sheetData>
  <mergeCells count="39">
    <mergeCell ref="A3:C3"/>
    <mergeCell ref="E3:H3"/>
    <mergeCell ref="I3:J3"/>
    <mergeCell ref="K3:M3"/>
    <mergeCell ref="A4:C4"/>
    <mergeCell ref="E4:H4"/>
    <mergeCell ref="I4:J4"/>
    <mergeCell ref="K4:M4"/>
    <mergeCell ref="A5:C5"/>
    <mergeCell ref="E5:H5"/>
    <mergeCell ref="I5:J5"/>
    <mergeCell ref="K5:M5"/>
    <mergeCell ref="A6:C6"/>
    <mergeCell ref="D6:M6"/>
    <mergeCell ref="B11:J11"/>
    <mergeCell ref="K11:L11"/>
    <mergeCell ref="M11:O11"/>
    <mergeCell ref="P11:Q11"/>
    <mergeCell ref="R11:U11"/>
    <mergeCell ref="B10:J10"/>
    <mergeCell ref="K10:L10"/>
    <mergeCell ref="M10:O10"/>
    <mergeCell ref="P10:Q10"/>
    <mergeCell ref="R10:U10"/>
    <mergeCell ref="B13:J13"/>
    <mergeCell ref="K13:L13"/>
    <mergeCell ref="M13:O13"/>
    <mergeCell ref="P13:Q13"/>
    <mergeCell ref="R13:U13"/>
    <mergeCell ref="B12:J12"/>
    <mergeCell ref="K12:L12"/>
    <mergeCell ref="M12:O12"/>
    <mergeCell ref="P12:Q12"/>
    <mergeCell ref="R12:U12"/>
    <mergeCell ref="B14:U14"/>
    <mergeCell ref="D16:E16"/>
    <mergeCell ref="A18:B18"/>
    <mergeCell ref="E20:G20"/>
    <mergeCell ref="H20:J20"/>
  </mergeCells>
  <phoneticPr fontId="2" type="noConversion"/>
  <pageMargins left="0.7" right="0.7" top="0.75" bottom="0.75" header="0.3" footer="0.3"/>
  <legacyDrawing r:id="rId1"/>
  <oleObjects>
    <oleObject progId="Equation.3" shapeId="243713" r:id="rId2"/>
  </oleObjects>
</worksheet>
</file>

<file path=xl/worksheets/sheet38.xml><?xml version="1.0" encoding="utf-8"?>
<worksheet xmlns="http://schemas.openxmlformats.org/spreadsheetml/2006/main" xmlns:r="http://schemas.openxmlformats.org/officeDocument/2006/relationships">
  <dimension ref="A1:AE43"/>
  <sheetViews>
    <sheetView topLeftCell="A25" workbookViewId="0">
      <selection sqref="A1:D1"/>
    </sheetView>
  </sheetViews>
  <sheetFormatPr defaultRowHeight="14.25" outlineLevelRow="1"/>
  <cols>
    <col min="2" max="2" width="15.125" customWidth="1"/>
    <col min="3" max="3" width="16.875" customWidth="1"/>
    <col min="4" max="4" width="37" customWidth="1"/>
    <col min="5" max="5" width="24.5" customWidth="1"/>
    <col min="7" max="7" width="24.875" customWidth="1"/>
  </cols>
  <sheetData>
    <row r="1" spans="1:7">
      <c r="A1" s="2432" t="s">
        <v>2160</v>
      </c>
      <c r="B1" s="2433"/>
      <c r="C1" s="2433"/>
      <c r="D1" s="2433"/>
    </row>
    <row r="2" spans="1:7">
      <c r="G2" s="803"/>
    </row>
    <row r="3" spans="1:7" outlineLevel="1">
      <c r="A3" s="2298" t="s">
        <v>2161</v>
      </c>
      <c r="B3" s="2298"/>
      <c r="C3" s="2298"/>
      <c r="D3" s="2"/>
    </row>
    <row r="4" spans="1:7" ht="18.75" outlineLevel="1">
      <c r="A4" s="699" t="s">
        <v>1920</v>
      </c>
      <c r="B4" s="6" t="s">
        <v>69</v>
      </c>
      <c r="C4" s="6" t="s">
        <v>70</v>
      </c>
      <c r="D4" s="700" t="s">
        <v>2162</v>
      </c>
    </row>
    <row r="5" spans="1:7" outlineLevel="1">
      <c r="A5" s="6" t="s">
        <v>2163</v>
      </c>
      <c r="B5" s="6" t="s">
        <v>72</v>
      </c>
      <c r="C5" s="6" t="s">
        <v>72</v>
      </c>
      <c r="D5" s="61" t="s">
        <v>2164</v>
      </c>
    </row>
    <row r="6" spans="1:7" outlineLevel="1">
      <c r="A6" s="6" t="s">
        <v>3821</v>
      </c>
      <c r="B6" s="6" t="s">
        <v>72</v>
      </c>
      <c r="C6" s="6" t="s">
        <v>72</v>
      </c>
      <c r="D6" s="837" t="s">
        <v>2166</v>
      </c>
    </row>
    <row r="7" spans="1:7" outlineLevel="1">
      <c r="A7" s="6"/>
      <c r="B7" s="7" t="s">
        <v>3449</v>
      </c>
      <c r="C7" s="6"/>
      <c r="D7" s="837"/>
    </row>
    <row r="8" spans="1:7" outlineLevel="1">
      <c r="A8" s="6"/>
      <c r="B8" s="7" t="s">
        <v>3822</v>
      </c>
      <c r="C8" s="6"/>
      <c r="D8" s="837"/>
    </row>
    <row r="9" spans="1:7" outlineLevel="1">
      <c r="A9" s="6" t="s">
        <v>2167</v>
      </c>
      <c r="B9" s="6" t="s">
        <v>72</v>
      </c>
      <c r="C9" s="6" t="s">
        <v>2168</v>
      </c>
      <c r="D9" s="74" t="s">
        <v>2169</v>
      </c>
    </row>
    <row r="10" spans="1:7" outlineLevel="1">
      <c r="A10" s="6" t="s">
        <v>2170</v>
      </c>
      <c r="B10" s="6" t="s">
        <v>72</v>
      </c>
      <c r="C10" s="6" t="s">
        <v>2168</v>
      </c>
      <c r="D10" s="61" t="s">
        <v>2164</v>
      </c>
    </row>
    <row r="11" spans="1:7" outlineLevel="1">
      <c r="A11" s="6" t="s">
        <v>2171</v>
      </c>
      <c r="B11" s="6" t="s">
        <v>72</v>
      </c>
      <c r="C11" s="6" t="s">
        <v>72</v>
      </c>
      <c r="D11" s="61" t="s">
        <v>2164</v>
      </c>
    </row>
    <row r="12" spans="1:7" outlineLevel="1">
      <c r="A12" s="6" t="s">
        <v>2172</v>
      </c>
      <c r="B12" s="6" t="s">
        <v>72</v>
      </c>
      <c r="C12" s="6" t="s">
        <v>2168</v>
      </c>
      <c r="D12" s="61" t="s">
        <v>2164</v>
      </c>
    </row>
    <row r="13" spans="1:7" outlineLevel="1">
      <c r="A13" s="6"/>
      <c r="B13" s="6"/>
      <c r="C13" s="6"/>
      <c r="D13" s="2"/>
    </row>
    <row r="14" spans="1:7" outlineLevel="1">
      <c r="A14" s="6"/>
      <c r="B14" s="6"/>
      <c r="C14" s="6"/>
      <c r="D14" s="2"/>
    </row>
    <row r="15" spans="1:7" outlineLevel="1">
      <c r="A15" s="6"/>
      <c r="B15" s="6"/>
      <c r="C15" s="6"/>
      <c r="D15" s="2"/>
    </row>
    <row r="16" spans="1:7" outlineLevel="1">
      <c r="A16" s="6"/>
      <c r="B16" s="6"/>
      <c r="C16" s="6"/>
      <c r="D16" s="2"/>
    </row>
    <row r="17" spans="1:31" outlineLevel="1">
      <c r="A17" s="6"/>
      <c r="B17" s="6"/>
      <c r="C17" s="6"/>
      <c r="D17" s="2"/>
    </row>
    <row r="18" spans="1:31" outlineLevel="1">
      <c r="A18" t="s">
        <v>73</v>
      </c>
    </row>
    <row r="19" spans="1:31">
      <c r="A19" s="702" t="s">
        <v>2173</v>
      </c>
    </row>
    <row r="20" spans="1:31">
      <c r="B20" s="838"/>
      <c r="C20" s="838"/>
      <c r="D20" s="838" t="s">
        <v>2174</v>
      </c>
      <c r="E20" s="838"/>
    </row>
    <row r="21" spans="1:31">
      <c r="A21" s="703" t="s">
        <v>2175</v>
      </c>
      <c r="B21" t="s">
        <v>3447</v>
      </c>
      <c r="K21" s="703" t="s">
        <v>2176</v>
      </c>
      <c r="R21" s="703" t="s">
        <v>2177</v>
      </c>
    </row>
    <row r="22" spans="1:31" ht="14.25" customHeight="1" outlineLevel="1">
      <c r="A22" s="2535" t="s">
        <v>1961</v>
      </c>
      <c r="B22" s="2535" t="s">
        <v>1963</v>
      </c>
      <c r="C22" s="2585" t="s">
        <v>1962</v>
      </c>
      <c r="D22" s="2471" t="s">
        <v>2178</v>
      </c>
      <c r="E22" s="2582" t="s">
        <v>2179</v>
      </c>
      <c r="F22" s="2437" t="s">
        <v>2180</v>
      </c>
      <c r="G22" s="2438"/>
      <c r="H22" s="2438" t="s">
        <v>2172</v>
      </c>
      <c r="K22" s="2535" t="s">
        <v>1961</v>
      </c>
      <c r="L22" s="2535" t="s">
        <v>1963</v>
      </c>
      <c r="M22" s="2585" t="s">
        <v>1962</v>
      </c>
      <c r="N22" s="2471" t="s">
        <v>2178</v>
      </c>
      <c r="O22" s="2582" t="s">
        <v>2179</v>
      </c>
      <c r="R22" s="2535" t="s">
        <v>1961</v>
      </c>
      <c r="S22" s="2535" t="s">
        <v>1963</v>
      </c>
      <c r="T22" s="2585" t="s">
        <v>1962</v>
      </c>
      <c r="U22" s="2471" t="s">
        <v>2178</v>
      </c>
    </row>
    <row r="23" spans="1:31" outlineLevel="1">
      <c r="A23" s="2331"/>
      <c r="B23" s="2331"/>
      <c r="C23" s="2586"/>
      <c r="D23" s="2584"/>
      <c r="E23" s="2582"/>
      <c r="F23" s="2437"/>
      <c r="G23" s="2438"/>
      <c r="H23" s="2439"/>
      <c r="K23" s="2331"/>
      <c r="L23" s="2331"/>
      <c r="M23" s="2586"/>
      <c r="N23" s="2584"/>
      <c r="O23" s="2582"/>
      <c r="R23" s="2331"/>
      <c r="S23" s="2331"/>
      <c r="T23" s="2586"/>
      <c r="U23" s="2584"/>
    </row>
    <row r="24" spans="1:31" outlineLevel="1">
      <c r="A24" s="839" t="s">
        <v>2181</v>
      </c>
      <c r="B24" s="840">
        <v>99.999039999999994</v>
      </c>
      <c r="C24" s="841">
        <v>99.986800000000002</v>
      </c>
      <c r="D24" s="842"/>
      <c r="E24" s="843">
        <f t="shared" ref="E24:E29" ca="1" si="0">((H24/1.732)^2+((F24/1000000*ABS(C24)+G24)/2)^2)^0.5*2</f>
        <v>1.1545946940204669E-3</v>
      </c>
      <c r="F24" s="2588">
        <v>10</v>
      </c>
      <c r="G24" s="2589"/>
      <c r="H24" s="686">
        <f t="shared" ref="H24:H29" ca="1" si="1">10^(-IF(CELL("format",D24)="G",0,VALUE(REPLACE(CELL("format",D24),1,1,))))/2</f>
        <v>5.0000000000000001E-4</v>
      </c>
      <c r="K24" s="839" t="s">
        <v>2181</v>
      </c>
      <c r="L24" s="840">
        <v>99.999039999999994</v>
      </c>
      <c r="M24" s="841">
        <v>99.986800000000002</v>
      </c>
      <c r="N24" s="842"/>
      <c r="O24" s="843" t="e">
        <f t="shared" ref="O24:O29" si="2">((R24/1.732)^2+((P24/1000000*ABS(M24)+Q24)/2)^2)^0.5*2</f>
        <v>#VALUE!</v>
      </c>
      <c r="R24" s="839" t="s">
        <v>2181</v>
      </c>
      <c r="S24" s="840">
        <v>99.999039999999994</v>
      </c>
      <c r="T24" s="841">
        <v>99.986800000000002</v>
      </c>
      <c r="U24" s="842"/>
    </row>
    <row r="25" spans="1:31" outlineLevel="1">
      <c r="A25" s="120" t="s">
        <v>2182</v>
      </c>
      <c r="B25" s="121">
        <v>1.0000144</v>
      </c>
      <c r="C25" s="122">
        <v>1.0000500000000001</v>
      </c>
      <c r="D25" s="383"/>
      <c r="E25" s="844">
        <f t="shared" ca="1" si="0"/>
        <v>1.0275821825248168E-5</v>
      </c>
      <c r="F25" s="2588">
        <v>8.5</v>
      </c>
      <c r="G25" s="2589"/>
      <c r="H25" s="686">
        <f t="shared" ca="1" si="1"/>
        <v>5.0000000000000004E-6</v>
      </c>
      <c r="K25" s="120" t="s">
        <v>2182</v>
      </c>
      <c r="L25" s="121">
        <v>1.0000144</v>
      </c>
      <c r="M25" s="122">
        <v>1.0000500000000001</v>
      </c>
      <c r="N25" s="383"/>
      <c r="O25" s="844" t="e">
        <f t="shared" si="2"/>
        <v>#VALUE!</v>
      </c>
      <c r="R25" s="120" t="s">
        <v>2182</v>
      </c>
      <c r="S25" s="121">
        <v>1.0000144</v>
      </c>
      <c r="T25" s="122">
        <v>1.0000500000000001</v>
      </c>
      <c r="U25" s="383"/>
    </row>
    <row r="26" spans="1:31" outlineLevel="1">
      <c r="A26" s="120" t="s">
        <v>2183</v>
      </c>
      <c r="B26" s="123">
        <v>9.9998950000000004</v>
      </c>
      <c r="C26" s="124">
        <v>10.000170000000001</v>
      </c>
      <c r="D26" s="384"/>
      <c r="E26" s="845">
        <f t="shared" ca="1" si="0"/>
        <v>1.0275589789618006E-4</v>
      </c>
      <c r="F26" s="2588">
        <v>8.5</v>
      </c>
      <c r="G26" s="2589"/>
      <c r="H26" s="686">
        <f t="shared" ca="1" si="1"/>
        <v>5.0000000000000002E-5</v>
      </c>
      <c r="K26" s="120" t="s">
        <v>2183</v>
      </c>
      <c r="L26" s="123">
        <v>9.9998950000000004</v>
      </c>
      <c r="M26" s="124">
        <v>10.000170000000001</v>
      </c>
      <c r="N26" s="384"/>
      <c r="O26" s="845" t="e">
        <f t="shared" si="2"/>
        <v>#VALUE!</v>
      </c>
      <c r="R26" s="120" t="s">
        <v>2183</v>
      </c>
      <c r="S26" s="123">
        <v>9.9998950000000004</v>
      </c>
      <c r="T26" s="124">
        <v>10.000170000000001</v>
      </c>
      <c r="U26" s="384"/>
    </row>
    <row r="27" spans="1:31" outlineLevel="1">
      <c r="A27" s="120" t="s">
        <v>2184</v>
      </c>
      <c r="B27" s="846">
        <v>99.997699999999995</v>
      </c>
      <c r="C27" s="847">
        <v>100.0022</v>
      </c>
      <c r="D27" s="848"/>
      <c r="E27" s="849">
        <f t="shared" ca="1" si="0"/>
        <v>1.2423389757316059E-3</v>
      </c>
      <c r="F27" s="2588">
        <v>11</v>
      </c>
      <c r="G27" s="2589"/>
      <c r="H27" s="686">
        <f t="shared" ca="1" si="1"/>
        <v>5.0000000000000001E-4</v>
      </c>
      <c r="K27" s="120" t="s">
        <v>2184</v>
      </c>
      <c r="L27" s="846">
        <v>99.997699999999995</v>
      </c>
      <c r="M27" s="847">
        <v>100.0022</v>
      </c>
      <c r="N27" s="848"/>
      <c r="O27" s="849" t="e">
        <f t="shared" si="2"/>
        <v>#VALUE!</v>
      </c>
      <c r="R27" s="120" t="s">
        <v>2184</v>
      </c>
      <c r="S27" s="846">
        <v>99.997699999999995</v>
      </c>
      <c r="T27" s="847">
        <v>100.0022</v>
      </c>
      <c r="U27" s="848"/>
    </row>
    <row r="28" spans="1:31" outlineLevel="1">
      <c r="A28" s="120" t="s">
        <v>2185</v>
      </c>
      <c r="B28" s="125">
        <v>0.99996050000000003</v>
      </c>
      <c r="C28" s="126">
        <v>1.0000039999999999</v>
      </c>
      <c r="D28" s="385"/>
      <c r="E28" s="850">
        <f t="shared" ca="1" si="0"/>
        <v>2.0816783829641444E-5</v>
      </c>
      <c r="F28" s="2588">
        <v>20</v>
      </c>
      <c r="G28" s="2589"/>
      <c r="H28" s="686">
        <f t="shared" ca="1" si="1"/>
        <v>5.0000000000000004E-6</v>
      </c>
      <c r="K28" s="120" t="s">
        <v>2185</v>
      </c>
      <c r="L28" s="125">
        <v>0.99996050000000003</v>
      </c>
      <c r="M28" s="126">
        <v>1.0000039999999999</v>
      </c>
      <c r="N28" s="385"/>
      <c r="O28" s="850" t="e">
        <f t="shared" si="2"/>
        <v>#VALUE!</v>
      </c>
      <c r="R28" s="120" t="s">
        <v>2185</v>
      </c>
      <c r="S28" s="125">
        <v>0.99996050000000003</v>
      </c>
      <c r="T28" s="126">
        <v>1.0000039999999999</v>
      </c>
      <c r="U28" s="385"/>
    </row>
    <row r="29" spans="1:31" outlineLevel="1">
      <c r="A29" s="40" t="s">
        <v>2186</v>
      </c>
      <c r="B29" s="127">
        <v>9.9987569999999995</v>
      </c>
      <c r="C29" s="128">
        <v>9.9980899999999995</v>
      </c>
      <c r="D29" s="386"/>
      <c r="E29" s="851">
        <f t="shared" ca="1" si="0"/>
        <v>4.0406981418725419E-4</v>
      </c>
      <c r="F29" s="2588">
        <v>40</v>
      </c>
      <c r="G29" s="2589"/>
      <c r="H29" s="686">
        <f t="shared" ca="1" si="1"/>
        <v>5.0000000000000002E-5</v>
      </c>
      <c r="K29" s="40" t="s">
        <v>2186</v>
      </c>
      <c r="L29" s="127">
        <v>9.9987569999999995</v>
      </c>
      <c r="M29" s="128">
        <v>9.9980899999999995</v>
      </c>
      <c r="N29" s="386"/>
      <c r="O29" s="851" t="e">
        <f t="shared" si="2"/>
        <v>#VALUE!</v>
      </c>
      <c r="R29" s="40" t="s">
        <v>2186</v>
      </c>
      <c r="S29" s="127">
        <v>9.9987569999999995</v>
      </c>
      <c r="T29" s="128">
        <v>9.9980899999999995</v>
      </c>
      <c r="U29" s="386"/>
    </row>
    <row r="31" spans="1:31">
      <c r="B31" t="s">
        <v>3448</v>
      </c>
      <c r="D31" s="702" t="s">
        <v>2187</v>
      </c>
      <c r="O31" s="703" t="s">
        <v>2176</v>
      </c>
      <c r="Y31" s="703" t="s">
        <v>2177</v>
      </c>
    </row>
    <row r="32" spans="1:31" ht="14.25" customHeight="1" outlineLevel="1">
      <c r="A32" s="2394" t="s">
        <v>1961</v>
      </c>
      <c r="B32" s="2302"/>
      <c r="C32" s="2394" t="s">
        <v>2188</v>
      </c>
      <c r="D32" s="2462"/>
      <c r="E32" s="2397" t="s">
        <v>2189</v>
      </c>
      <c r="F32" s="2457"/>
      <c r="G32" s="2471" t="s">
        <v>2178</v>
      </c>
      <c r="H32" s="2582" t="s">
        <v>2179</v>
      </c>
      <c r="I32" s="2587" t="s">
        <v>2180</v>
      </c>
      <c r="J32" s="2465"/>
      <c r="K32" s="2466" t="s">
        <v>2172</v>
      </c>
      <c r="L32" s="2466" t="s">
        <v>1961</v>
      </c>
      <c r="O32" s="2394" t="s">
        <v>1961</v>
      </c>
      <c r="P32" s="2302"/>
      <c r="Q32" s="2394" t="s">
        <v>2188</v>
      </c>
      <c r="R32" s="2462"/>
      <c r="S32" s="2397" t="s">
        <v>2189</v>
      </c>
      <c r="T32" s="2457"/>
      <c r="U32" s="2471" t="s">
        <v>2178</v>
      </c>
      <c r="V32" s="2582" t="s">
        <v>2179</v>
      </c>
      <c r="Y32" s="2394" t="s">
        <v>1961</v>
      </c>
      <c r="Z32" s="2302"/>
      <c r="AA32" s="2394" t="s">
        <v>2188</v>
      </c>
      <c r="AB32" s="2462"/>
      <c r="AC32" s="2397" t="s">
        <v>2189</v>
      </c>
      <c r="AD32" s="2457"/>
      <c r="AE32" s="2471" t="s">
        <v>2178</v>
      </c>
    </row>
    <row r="33" spans="1:31" outlineLevel="1">
      <c r="A33" s="2303"/>
      <c r="B33" s="2304"/>
      <c r="C33" s="2463"/>
      <c r="D33" s="2464"/>
      <c r="E33" s="2458"/>
      <c r="F33" s="2459"/>
      <c r="G33" s="2584"/>
      <c r="H33" s="2582"/>
      <c r="I33" s="2587"/>
      <c r="J33" s="2465"/>
      <c r="K33" s="2466"/>
      <c r="L33" s="2466"/>
      <c r="O33" s="2303"/>
      <c r="P33" s="2304"/>
      <c r="Q33" s="2463"/>
      <c r="R33" s="2464"/>
      <c r="S33" s="2458"/>
      <c r="T33" s="2459"/>
      <c r="U33" s="2584"/>
      <c r="V33" s="2582"/>
      <c r="Y33" s="2303"/>
      <c r="Z33" s="2304"/>
      <c r="AA33" s="2463"/>
      <c r="AB33" s="2464"/>
      <c r="AC33" s="2458"/>
      <c r="AD33" s="2459"/>
      <c r="AE33" s="2584"/>
    </row>
    <row r="34" spans="1:31" outlineLevel="1">
      <c r="A34" s="129">
        <v>100</v>
      </c>
      <c r="B34" s="130" t="s">
        <v>2190</v>
      </c>
      <c r="C34" s="133">
        <v>100</v>
      </c>
      <c r="D34" s="134" t="s">
        <v>2190</v>
      </c>
      <c r="E34" s="131">
        <v>100.04543</v>
      </c>
      <c r="F34" s="132" t="s">
        <v>2190</v>
      </c>
      <c r="G34" s="387"/>
      <c r="H34" s="843">
        <f t="shared" ref="H34:H39" ca="1" si="3">((K34/1.732)^2+((I34/1000000*ABS(E34)+J34/1000000*L34)/2)^2)^0.5*2</f>
        <v>0.57736720554272514</v>
      </c>
      <c r="I34" s="686"/>
      <c r="J34" s="686"/>
      <c r="K34" s="686">
        <f t="shared" ref="K34:K39" ca="1" si="4">10^(-IF(CELL("format",F34)="G",0,VALUE(REPLACE(CELL("format",F34),1,1,))))/2</f>
        <v>0.5</v>
      </c>
      <c r="L34" s="686"/>
      <c r="O34" s="129">
        <v>100</v>
      </c>
      <c r="P34" s="130" t="s">
        <v>2190</v>
      </c>
      <c r="Q34" s="133">
        <v>100</v>
      </c>
      <c r="R34" s="134" t="s">
        <v>2190</v>
      </c>
      <c r="S34" s="131">
        <v>100.04543</v>
      </c>
      <c r="T34" s="132" t="s">
        <v>2190</v>
      </c>
      <c r="U34" s="387"/>
      <c r="V34" s="843" t="e">
        <f t="shared" ref="V34:V39" si="5">((Y34/1.732)^2+((W34/1000000*ABS(S34)+X34/1000000*Z34)/2)^2)^0.5*2</f>
        <v>#VALUE!</v>
      </c>
      <c r="Y34" s="129">
        <v>100</v>
      </c>
      <c r="Z34" s="130" t="s">
        <v>2190</v>
      </c>
      <c r="AA34" s="133">
        <v>100</v>
      </c>
      <c r="AB34" s="134" t="s">
        <v>2190</v>
      </c>
      <c r="AC34" s="131">
        <v>100.04543</v>
      </c>
      <c r="AD34" s="132" t="s">
        <v>2190</v>
      </c>
      <c r="AE34" s="387"/>
    </row>
    <row r="35" spans="1:31" outlineLevel="1">
      <c r="A35" s="129">
        <v>1</v>
      </c>
      <c r="B35" s="130" t="s">
        <v>2191</v>
      </c>
      <c r="C35" s="135">
        <v>1</v>
      </c>
      <c r="D35" s="136" t="s">
        <v>2191</v>
      </c>
      <c r="E35" s="137">
        <v>1.0001579</v>
      </c>
      <c r="F35" s="132" t="s">
        <v>2191</v>
      </c>
      <c r="G35" s="387"/>
      <c r="H35" s="844">
        <f t="shared" ca="1" si="3"/>
        <v>0.57736720645750428</v>
      </c>
      <c r="I35" s="686">
        <v>7.5</v>
      </c>
      <c r="J35" s="686">
        <v>0.25</v>
      </c>
      <c r="K35" s="686">
        <f t="shared" ca="1" si="4"/>
        <v>0.5</v>
      </c>
      <c r="L35" s="686">
        <v>100</v>
      </c>
      <c r="O35" s="129">
        <v>1</v>
      </c>
      <c r="P35" s="130" t="s">
        <v>2191</v>
      </c>
      <c r="Q35" s="135">
        <v>1</v>
      </c>
      <c r="R35" s="136" t="s">
        <v>2191</v>
      </c>
      <c r="S35" s="137">
        <v>1.0001579</v>
      </c>
      <c r="T35" s="132" t="s">
        <v>2191</v>
      </c>
      <c r="U35" s="387"/>
      <c r="V35" s="844" t="e">
        <f t="shared" si="5"/>
        <v>#VALUE!</v>
      </c>
      <c r="Y35" s="129">
        <v>1</v>
      </c>
      <c r="Z35" s="130" t="s">
        <v>2191</v>
      </c>
      <c r="AA35" s="135">
        <v>1</v>
      </c>
      <c r="AB35" s="136" t="s">
        <v>2191</v>
      </c>
      <c r="AC35" s="137">
        <v>1.0001579</v>
      </c>
      <c r="AD35" s="132" t="s">
        <v>2191</v>
      </c>
      <c r="AE35" s="387"/>
    </row>
    <row r="36" spans="1:31" outlineLevel="1">
      <c r="A36" s="129">
        <v>10</v>
      </c>
      <c r="B36" s="130" t="s">
        <v>2191</v>
      </c>
      <c r="C36" s="138">
        <v>10</v>
      </c>
      <c r="D36" s="134" t="s">
        <v>2191</v>
      </c>
      <c r="E36" s="139">
        <v>10.000864999999999</v>
      </c>
      <c r="F36" s="132" t="s">
        <v>2191</v>
      </c>
      <c r="G36" s="387"/>
      <c r="H36" s="845">
        <f t="shared" ca="1" si="3"/>
        <v>0.57736721044734984</v>
      </c>
      <c r="I36" s="686">
        <v>7.5</v>
      </c>
      <c r="J36" s="686">
        <v>0.25</v>
      </c>
      <c r="K36" s="686">
        <f t="shared" ca="1" si="4"/>
        <v>0.5</v>
      </c>
      <c r="L36" s="686">
        <v>1</v>
      </c>
      <c r="O36" s="129">
        <v>10</v>
      </c>
      <c r="P36" s="130" t="s">
        <v>2191</v>
      </c>
      <c r="Q36" s="138">
        <v>10</v>
      </c>
      <c r="R36" s="134" t="s">
        <v>2191</v>
      </c>
      <c r="S36" s="139">
        <v>10.000864999999999</v>
      </c>
      <c r="T36" s="132" t="s">
        <v>2191</v>
      </c>
      <c r="U36" s="387"/>
      <c r="V36" s="845" t="e">
        <f t="shared" si="5"/>
        <v>#VALUE!</v>
      </c>
      <c r="Y36" s="129">
        <v>10</v>
      </c>
      <c r="Z36" s="130" t="s">
        <v>2191</v>
      </c>
      <c r="AA36" s="138">
        <v>10</v>
      </c>
      <c r="AB36" s="134" t="s">
        <v>2191</v>
      </c>
      <c r="AC36" s="139">
        <v>10.000864999999999</v>
      </c>
      <c r="AD36" s="132" t="s">
        <v>2191</v>
      </c>
      <c r="AE36" s="387"/>
    </row>
    <row r="37" spans="1:31" outlineLevel="1">
      <c r="A37" s="129">
        <v>100</v>
      </c>
      <c r="B37" s="130" t="s">
        <v>2191</v>
      </c>
      <c r="C37" s="133">
        <v>100</v>
      </c>
      <c r="D37" s="140" t="s">
        <v>2191</v>
      </c>
      <c r="E37" s="131">
        <v>100.00753</v>
      </c>
      <c r="F37" s="132" t="s">
        <v>2191</v>
      </c>
      <c r="G37" s="387"/>
      <c r="H37" s="849">
        <f t="shared" ca="1" si="3"/>
        <v>0.5773676959940377</v>
      </c>
      <c r="I37" s="686">
        <v>7.5</v>
      </c>
      <c r="J37" s="686">
        <v>0.25</v>
      </c>
      <c r="K37" s="686">
        <f t="shared" ca="1" si="4"/>
        <v>0.5</v>
      </c>
      <c r="L37" s="686">
        <v>10</v>
      </c>
      <c r="O37" s="129">
        <v>100</v>
      </c>
      <c r="P37" s="130" t="s">
        <v>2191</v>
      </c>
      <c r="Q37" s="133">
        <v>100</v>
      </c>
      <c r="R37" s="140" t="s">
        <v>2191</v>
      </c>
      <c r="S37" s="131">
        <v>100.00753</v>
      </c>
      <c r="T37" s="132" t="s">
        <v>2191</v>
      </c>
      <c r="U37" s="387"/>
      <c r="V37" s="849" t="e">
        <f t="shared" si="5"/>
        <v>#VALUE!</v>
      </c>
      <c r="Y37" s="129">
        <v>100</v>
      </c>
      <c r="Z37" s="130" t="s">
        <v>2191</v>
      </c>
      <c r="AA37" s="133">
        <v>100</v>
      </c>
      <c r="AB37" s="140" t="s">
        <v>2191</v>
      </c>
      <c r="AC37" s="131">
        <v>100.00753</v>
      </c>
      <c r="AD37" s="132" t="s">
        <v>2191</v>
      </c>
      <c r="AE37" s="387"/>
    </row>
    <row r="38" spans="1:31" outlineLevel="1">
      <c r="A38" s="141">
        <v>1</v>
      </c>
      <c r="B38" s="142" t="s">
        <v>2192</v>
      </c>
      <c r="C38" s="135">
        <v>1</v>
      </c>
      <c r="D38" s="143" t="s">
        <v>2192</v>
      </c>
      <c r="E38" s="137">
        <v>1.0000108000000001</v>
      </c>
      <c r="F38" s="144" t="s">
        <v>2192</v>
      </c>
      <c r="G38" s="388"/>
      <c r="H38" s="850" t="e">
        <f t="shared" ca="1" si="3"/>
        <v>#VALUE!</v>
      </c>
      <c r="I38" s="686">
        <v>7.5</v>
      </c>
      <c r="J38" s="686">
        <v>0.25</v>
      </c>
      <c r="K38" s="686" t="e">
        <f t="shared" ca="1" si="4"/>
        <v>#VALUE!</v>
      </c>
      <c r="L38" s="686">
        <v>100</v>
      </c>
      <c r="O38" s="141">
        <v>1</v>
      </c>
      <c r="P38" s="142" t="s">
        <v>2192</v>
      </c>
      <c r="Q38" s="135">
        <v>1</v>
      </c>
      <c r="R38" s="143" t="s">
        <v>2192</v>
      </c>
      <c r="S38" s="137">
        <v>1.0000108000000001</v>
      </c>
      <c r="T38" s="144" t="s">
        <v>2192</v>
      </c>
      <c r="U38" s="388"/>
      <c r="V38" s="850" t="e">
        <f t="shared" si="5"/>
        <v>#VALUE!</v>
      </c>
      <c r="Y38" s="141">
        <v>1</v>
      </c>
      <c r="Z38" s="142" t="s">
        <v>2192</v>
      </c>
      <c r="AA38" s="135">
        <v>1</v>
      </c>
      <c r="AB38" s="143" t="s">
        <v>2192</v>
      </c>
      <c r="AC38" s="137">
        <v>1.0000108000000001</v>
      </c>
      <c r="AD38" s="144" t="s">
        <v>2192</v>
      </c>
      <c r="AE38" s="388"/>
    </row>
    <row r="39" spans="1:31" outlineLevel="1">
      <c r="A39" s="141">
        <v>10</v>
      </c>
      <c r="B39" s="142" t="s">
        <v>2192</v>
      </c>
      <c r="C39" s="138">
        <v>10</v>
      </c>
      <c r="D39" s="143" t="s">
        <v>2192</v>
      </c>
      <c r="E39" s="139">
        <v>10.003784</v>
      </c>
      <c r="F39" s="144" t="s">
        <v>2192</v>
      </c>
      <c r="G39" s="388"/>
      <c r="H39" s="851" t="e">
        <f t="shared" ca="1" si="3"/>
        <v>#VALUE!</v>
      </c>
      <c r="I39" s="686">
        <v>8.5</v>
      </c>
      <c r="J39" s="686">
        <v>0.5</v>
      </c>
      <c r="K39" s="686" t="e">
        <f t="shared" ca="1" si="4"/>
        <v>#VALUE!</v>
      </c>
      <c r="L39" s="686">
        <v>1</v>
      </c>
      <c r="O39" s="141">
        <v>10</v>
      </c>
      <c r="P39" s="142" t="s">
        <v>2192</v>
      </c>
      <c r="Q39" s="138">
        <v>10</v>
      </c>
      <c r="R39" s="143" t="s">
        <v>2192</v>
      </c>
      <c r="S39" s="139">
        <v>10.003784</v>
      </c>
      <c r="T39" s="144" t="s">
        <v>2192</v>
      </c>
      <c r="U39" s="388"/>
      <c r="V39" s="851" t="e">
        <f t="shared" si="5"/>
        <v>#VALUE!</v>
      </c>
      <c r="Y39" s="141">
        <v>10</v>
      </c>
      <c r="Z39" s="142" t="s">
        <v>2192</v>
      </c>
      <c r="AA39" s="138">
        <v>10</v>
      </c>
      <c r="AB39" s="143" t="s">
        <v>2192</v>
      </c>
      <c r="AC39" s="139">
        <v>10.003784</v>
      </c>
      <c r="AD39" s="144" t="s">
        <v>2192</v>
      </c>
      <c r="AE39" s="388"/>
    </row>
    <row r="40" spans="1:31" outlineLevel="1">
      <c r="H40" s="398"/>
      <c r="I40" s="852"/>
      <c r="J40" s="852"/>
      <c r="K40" s="852"/>
      <c r="L40" s="852"/>
    </row>
    <row r="41" spans="1:31" outlineLevel="1"/>
    <row r="42" spans="1:31" outlineLevel="1">
      <c r="A42" s="702" t="s">
        <v>2193</v>
      </c>
      <c r="B42" s="145" t="s">
        <v>2194</v>
      </c>
    </row>
    <row r="43" spans="1:31" outlineLevel="1">
      <c r="B43" s="702" t="s">
        <v>2195</v>
      </c>
    </row>
  </sheetData>
  <mergeCells count="41">
    <mergeCell ref="E22:E23"/>
    <mergeCell ref="A32:B33"/>
    <mergeCell ref="C32:D33"/>
    <mergeCell ref="E32:F33"/>
    <mergeCell ref="H32:H33"/>
    <mergeCell ref="F29:G29"/>
    <mergeCell ref="G32:G33"/>
    <mergeCell ref="A1:D1"/>
    <mergeCell ref="A3:C3"/>
    <mergeCell ref="A22:A23"/>
    <mergeCell ref="B22:B23"/>
    <mergeCell ref="D22:D23"/>
    <mergeCell ref="C22:C23"/>
    <mergeCell ref="I32:J33"/>
    <mergeCell ref="K32:K33"/>
    <mergeCell ref="L32:L33"/>
    <mergeCell ref="H22:H23"/>
    <mergeCell ref="F24:G24"/>
    <mergeCell ref="F25:G25"/>
    <mergeCell ref="F26:G26"/>
    <mergeCell ref="F27:G27"/>
    <mergeCell ref="F28:G28"/>
    <mergeCell ref="K22:K23"/>
    <mergeCell ref="F22:G23"/>
    <mergeCell ref="L22:L23"/>
    <mergeCell ref="M22:M23"/>
    <mergeCell ref="N22:N23"/>
    <mergeCell ref="O22:O23"/>
    <mergeCell ref="R22:R23"/>
    <mergeCell ref="T22:T23"/>
    <mergeCell ref="U22:U23"/>
    <mergeCell ref="O32:P33"/>
    <mergeCell ref="Q32:R33"/>
    <mergeCell ref="S32:T33"/>
    <mergeCell ref="U32:U33"/>
    <mergeCell ref="S22:S23"/>
    <mergeCell ref="V32:V33"/>
    <mergeCell ref="Y32:Z33"/>
    <mergeCell ref="AA32:AB33"/>
    <mergeCell ref="AC32:AD33"/>
    <mergeCell ref="AE32:AE33"/>
  </mergeCells>
  <phoneticPr fontId="25" type="noConversion"/>
  <conditionalFormatting sqref="A24:D29">
    <cfRule type="expression" dxfId="70" priority="3" stopIfTrue="1">
      <formula>ABS(#REF!)&gt;#REF!</formula>
    </cfRule>
  </conditionalFormatting>
  <conditionalFormatting sqref="K24:N29">
    <cfRule type="expression" dxfId="69" priority="2" stopIfTrue="1">
      <formula>ABS(#REF!)&gt;#REF!</formula>
    </cfRule>
  </conditionalFormatting>
  <conditionalFormatting sqref="R24:U29">
    <cfRule type="expression" dxfId="68" priority="1" stopIfTrue="1">
      <formula>ABS(#REF!)&gt;#REF!</formula>
    </cfRule>
  </conditionalFormatting>
  <pageMargins left="0.75" right="0.75" top="1" bottom="1" header="0.5" footer="0.5"/>
  <drawing r:id="rId1"/>
  <legacyDrawing r:id="rId2"/>
</worksheet>
</file>

<file path=xl/worksheets/sheet39.xml><?xml version="1.0" encoding="utf-8"?>
<worksheet xmlns="http://schemas.openxmlformats.org/spreadsheetml/2006/main" xmlns:r="http://schemas.openxmlformats.org/officeDocument/2006/relationships">
  <dimension ref="A1:BO45"/>
  <sheetViews>
    <sheetView topLeftCell="D22" workbookViewId="0"/>
  </sheetViews>
  <sheetFormatPr defaultColWidth="9" defaultRowHeight="14.25" outlineLevelRow="1"/>
  <cols>
    <col min="1" max="1" width="18.25" customWidth="1"/>
    <col min="2" max="2" width="19.75" customWidth="1"/>
    <col min="3" max="3" width="13.875" customWidth="1"/>
    <col min="4" max="4" width="23.125" customWidth="1"/>
    <col min="5" max="5" width="1" hidden="1" customWidth="1"/>
    <col min="6" max="6" width="16.875" customWidth="1"/>
    <col min="7" max="7" width="22.75" bestFit="1" customWidth="1"/>
    <col min="8" max="8" width="9.5" bestFit="1" customWidth="1"/>
    <col min="9" max="9" width="6.5" customWidth="1"/>
    <col min="10" max="10" width="16.125" customWidth="1"/>
    <col min="11" max="11" width="6.125" customWidth="1"/>
    <col min="12" max="12" width="5" customWidth="1"/>
    <col min="13" max="13" width="6.625" bestFit="1" customWidth="1"/>
    <col min="14" max="14" width="2.875" customWidth="1"/>
    <col min="15" max="15" width="14.375" customWidth="1"/>
    <col min="16" max="16" width="3.375" customWidth="1"/>
    <col min="19" max="19" width="6.625" customWidth="1"/>
    <col min="20" max="20" width="5.5" customWidth="1"/>
    <col min="21" max="21" width="5.875" customWidth="1"/>
    <col min="23" max="23" width="2.75" hidden="1" customWidth="1"/>
    <col min="25" max="25" width="6.375" customWidth="1"/>
    <col min="26" max="26" width="9" hidden="1" customWidth="1"/>
    <col min="29" max="29" width="8.25" customWidth="1"/>
    <col min="30" max="30" width="9" hidden="1" customWidth="1"/>
    <col min="32" max="32" width="5.25" customWidth="1"/>
    <col min="33" max="33" width="9" hidden="1" customWidth="1"/>
    <col min="36" max="36" width="6.5" customWidth="1"/>
    <col min="37" max="37" width="9" hidden="1" customWidth="1"/>
    <col min="39" max="39" width="2.375" customWidth="1"/>
    <col min="41" max="41" width="0.75" customWidth="1"/>
    <col min="42" max="42" width="8.5" customWidth="1"/>
    <col min="43" max="43" width="2.125" customWidth="1"/>
    <col min="45" max="45" width="1.625" customWidth="1"/>
    <col min="46" max="46" width="12.625" customWidth="1"/>
    <col min="47" max="47" width="9" hidden="1" customWidth="1"/>
    <col min="49" max="49" width="0.375" customWidth="1"/>
    <col min="52" max="52" width="6.625" customWidth="1"/>
    <col min="53" max="53" width="4.125" customWidth="1"/>
    <col min="54" max="56" width="9" hidden="1" customWidth="1"/>
    <col min="58" max="58" width="1.875" customWidth="1"/>
    <col min="59" max="60" width="9" hidden="1" customWidth="1"/>
    <col min="61" max="61" width="1.625" customWidth="1"/>
    <col min="63" max="63" width="2.375" customWidth="1"/>
    <col min="65" max="65" width="1.5" customWidth="1"/>
    <col min="66" max="66" width="1.125" customWidth="1"/>
  </cols>
  <sheetData>
    <row r="1" spans="1:7">
      <c r="A1" s="702" t="s">
        <v>2438</v>
      </c>
      <c r="B1" s="803"/>
      <c r="D1" t="s">
        <v>2439</v>
      </c>
      <c r="G1" s="1367" t="s">
        <v>3474</v>
      </c>
    </row>
    <row r="2" spans="1:7" outlineLevel="1">
      <c r="A2" s="2385" t="s">
        <v>2440</v>
      </c>
      <c r="B2" s="1713"/>
      <c r="C2" s="1714"/>
      <c r="D2" s="6"/>
    </row>
    <row r="3" spans="1:7" ht="18.75" outlineLevel="1">
      <c r="A3" s="699" t="s">
        <v>1920</v>
      </c>
      <c r="B3" s="6"/>
      <c r="C3" s="6"/>
      <c r="D3" s="698" t="s">
        <v>2441</v>
      </c>
    </row>
    <row r="4" spans="1:7" outlineLevel="1">
      <c r="A4" s="698" t="s">
        <v>2442</v>
      </c>
      <c r="B4" s="6"/>
      <c r="C4" s="6"/>
      <c r="D4" s="2" t="s">
        <v>2443</v>
      </c>
    </row>
    <row r="5" spans="1:7" outlineLevel="1">
      <c r="A5" s="698" t="s">
        <v>2444</v>
      </c>
      <c r="B5" s="1365" t="s">
        <v>3475</v>
      </c>
      <c r="C5" s="6"/>
      <c r="D5" s="6" t="s">
        <v>2445</v>
      </c>
    </row>
    <row r="6" spans="1:7" outlineLevel="1">
      <c r="A6" s="698"/>
      <c r="B6" s="1365" t="s">
        <v>3476</v>
      </c>
      <c r="C6" s="6"/>
      <c r="D6" s="6"/>
    </row>
    <row r="7" spans="1:7" outlineLevel="1">
      <c r="A7" s="698" t="s">
        <v>2446</v>
      </c>
      <c r="B7" s="6"/>
      <c r="C7" s="6"/>
      <c r="D7" s="2" t="s">
        <v>2443</v>
      </c>
    </row>
    <row r="8" spans="1:7" outlineLevel="1">
      <c r="A8" s="698" t="s">
        <v>2447</v>
      </c>
      <c r="B8" s="6"/>
      <c r="C8" s="6"/>
      <c r="D8" s="2" t="s">
        <v>2443</v>
      </c>
    </row>
    <row r="9" spans="1:7" outlineLevel="1">
      <c r="A9" s="698" t="s">
        <v>2448</v>
      </c>
      <c r="B9" s="6"/>
      <c r="C9" s="6"/>
      <c r="D9" s="2" t="s">
        <v>2443</v>
      </c>
    </row>
    <row r="10" spans="1:7" outlineLevel="1">
      <c r="A10" s="698" t="s">
        <v>2449</v>
      </c>
      <c r="B10" s="1365" t="s">
        <v>3475</v>
      </c>
      <c r="C10" s="6"/>
      <c r="D10" s="2"/>
    </row>
    <row r="11" spans="1:7" outlineLevel="1">
      <c r="A11" s="698"/>
      <c r="B11" s="1365" t="s">
        <v>3476</v>
      </c>
      <c r="C11" s="6"/>
      <c r="D11" s="6" t="s">
        <v>2445</v>
      </c>
    </row>
    <row r="12" spans="1:7" outlineLevel="1">
      <c r="A12" s="698" t="s">
        <v>2450</v>
      </c>
      <c r="B12" s="6"/>
      <c r="C12" s="6"/>
      <c r="D12" s="2" t="s">
        <v>2443</v>
      </c>
    </row>
    <row r="13" spans="1:7" outlineLevel="1">
      <c r="A13" s="933" t="s">
        <v>2452</v>
      </c>
      <c r="B13" s="6"/>
      <c r="C13" s="6"/>
      <c r="D13" s="2" t="s">
        <v>2443</v>
      </c>
    </row>
    <row r="14" spans="1:7" outlineLevel="1">
      <c r="A14" s="933" t="s">
        <v>2451</v>
      </c>
      <c r="B14" s="6"/>
      <c r="C14" s="6"/>
      <c r="D14" s="2" t="s">
        <v>2443</v>
      </c>
    </row>
    <row r="15" spans="1:7" outlineLevel="1">
      <c r="A15" s="698" t="s">
        <v>2453</v>
      </c>
      <c r="B15" s="6"/>
      <c r="C15" s="6"/>
      <c r="D15" s="6" t="s">
        <v>2445</v>
      </c>
    </row>
    <row r="16" spans="1:7" outlineLevel="1">
      <c r="A16" s="698" t="s">
        <v>2454</v>
      </c>
      <c r="B16" s="6"/>
      <c r="C16" s="6"/>
      <c r="D16" s="2" t="s">
        <v>2443</v>
      </c>
    </row>
    <row r="17" spans="1:50" outlineLevel="1">
      <c r="A17" s="698" t="s">
        <v>2455</v>
      </c>
      <c r="B17" s="6"/>
      <c r="C17" s="6"/>
      <c r="D17" s="2" t="s">
        <v>2443</v>
      </c>
    </row>
    <row r="18" spans="1:50" outlineLevel="1">
      <c r="A18" s="933" t="s">
        <v>2456</v>
      </c>
      <c r="B18" s="6"/>
      <c r="C18" s="6"/>
      <c r="D18" s="2" t="s">
        <v>2443</v>
      </c>
    </row>
    <row r="19" spans="1:50" outlineLevel="1">
      <c r="A19" s="147"/>
      <c r="B19" s="934"/>
      <c r="S19" s="1749" t="s">
        <v>2457</v>
      </c>
      <c r="T19" s="2649"/>
      <c r="U19" s="2649"/>
      <c r="V19" s="2649"/>
      <c r="W19" s="2649"/>
      <c r="X19" s="2649"/>
      <c r="Y19" s="2649"/>
      <c r="AA19" s="2650" t="s">
        <v>2458</v>
      </c>
      <c r="AB19" s="2650"/>
      <c r="AC19" s="2650"/>
      <c r="AD19" s="2650"/>
      <c r="AE19" s="2650"/>
      <c r="AF19" s="2650"/>
      <c r="AG19" s="2650"/>
      <c r="AH19" s="2650"/>
      <c r="AI19" s="2650"/>
      <c r="AJ19" s="2650"/>
      <c r="AK19" s="2650"/>
      <c r="AL19" s="2650"/>
      <c r="AM19" s="670"/>
      <c r="AN19" s="670"/>
      <c r="AO19" s="670"/>
      <c r="AP19" s="670"/>
    </row>
    <row r="20" spans="1:50">
      <c r="A20" s="935" t="s">
        <v>2459</v>
      </c>
      <c r="B20" s="702"/>
      <c r="S20" s="2649"/>
      <c r="T20" s="2649"/>
      <c r="U20" s="2649"/>
      <c r="V20" s="2649"/>
      <c r="W20" s="2649"/>
      <c r="X20" s="2649"/>
      <c r="Y20" s="2649"/>
      <c r="AA20" s="2650"/>
      <c r="AB20" s="2650"/>
      <c r="AC20" s="2650"/>
      <c r="AD20" s="2650"/>
      <c r="AE20" s="2650"/>
      <c r="AF20" s="2650"/>
      <c r="AG20" s="2650"/>
      <c r="AH20" s="2650"/>
      <c r="AI20" s="2650"/>
      <c r="AJ20" s="2650"/>
      <c r="AK20" s="2650"/>
      <c r="AL20" s="2650"/>
      <c r="AM20" s="670"/>
      <c r="AN20" s="670"/>
      <c r="AO20" s="670"/>
      <c r="AP20" s="670"/>
    </row>
    <row r="21" spans="1:50">
      <c r="A21" s="702" t="s">
        <v>2460</v>
      </c>
      <c r="B21" s="702" t="s">
        <v>2461</v>
      </c>
      <c r="AI21" s="702" t="s">
        <v>2462</v>
      </c>
    </row>
    <row r="22" spans="1:50" ht="42.75" outlineLevel="1">
      <c r="A22" s="2585" t="s">
        <v>2463</v>
      </c>
      <c r="B22" s="2651"/>
      <c r="C22" s="2652"/>
      <c r="D22" s="2394" t="s">
        <v>2464</v>
      </c>
      <c r="E22" s="2653"/>
      <c r="F22" s="2585" t="s">
        <v>2465</v>
      </c>
      <c r="G22" s="2651"/>
      <c r="H22" s="2652"/>
      <c r="I22" s="2654" t="s">
        <v>2466</v>
      </c>
      <c r="J22" s="2655"/>
      <c r="K22" s="2656" t="s">
        <v>2467</v>
      </c>
      <c r="L22" s="2657"/>
      <c r="M22" s="2658" t="s">
        <v>2468</v>
      </c>
      <c r="N22" s="2659"/>
      <c r="O22" s="937" t="s">
        <v>2469</v>
      </c>
      <c r="Q22" s="702" t="s">
        <v>2470</v>
      </c>
      <c r="S22" s="2234" t="s">
        <v>2471</v>
      </c>
      <c r="T22" s="2338"/>
      <c r="U22" s="2338"/>
      <c r="V22" s="2234" t="s">
        <v>2472</v>
      </c>
      <c r="W22" s="2431"/>
      <c r="X22" s="2234" t="s">
        <v>2071</v>
      </c>
      <c r="Y22" s="2431"/>
      <c r="Z22" s="2431" t="s">
        <v>2071</v>
      </c>
      <c r="AA22" s="2234" t="s">
        <v>1932</v>
      </c>
      <c r="AB22" s="2645"/>
      <c r="AC22" s="2338" t="s">
        <v>2473</v>
      </c>
      <c r="AD22" s="2338"/>
      <c r="AE22" s="2234" t="s">
        <v>2474</v>
      </c>
      <c r="AF22" s="2338"/>
      <c r="AG22" s="2338"/>
      <c r="AH22" s="1377"/>
      <c r="AI22" s="2234" t="s">
        <v>2471</v>
      </c>
      <c r="AJ22" s="2338"/>
      <c r="AK22" s="2338"/>
      <c r="AL22" s="2234" t="s">
        <v>2472</v>
      </c>
      <c r="AM22" s="2431"/>
      <c r="AN22" s="2234" t="s">
        <v>2071</v>
      </c>
      <c r="AO22" s="2431"/>
      <c r="AP22" s="2431" t="s">
        <v>2071</v>
      </c>
      <c r="AQ22" s="2234" t="s">
        <v>1932</v>
      </c>
      <c r="AR22" s="2645"/>
      <c r="AS22" s="2338" t="s">
        <v>2473</v>
      </c>
      <c r="AT22" s="2338"/>
      <c r="AU22" s="2234" t="s">
        <v>2474</v>
      </c>
      <c r="AV22" s="2338"/>
      <c r="AW22" s="2338"/>
      <c r="AX22" s="937" t="s">
        <v>2469</v>
      </c>
    </row>
    <row r="23" spans="1:50" outlineLevel="1">
      <c r="A23" s="2660">
        <v>1</v>
      </c>
      <c r="B23" s="2663" t="s">
        <v>2475</v>
      </c>
      <c r="C23" s="2666">
        <v>10</v>
      </c>
      <c r="D23" s="2669" t="s">
        <v>2476</v>
      </c>
      <c r="E23" s="2670"/>
      <c r="F23" s="2675">
        <v>1</v>
      </c>
      <c r="G23" s="2676"/>
      <c r="H23" s="2677"/>
      <c r="I23" s="2675">
        <v>0.998</v>
      </c>
      <c r="J23" s="2676"/>
      <c r="K23" s="2678">
        <f>(I23-F23)/F23*100</f>
        <v>-0.20000000000000018</v>
      </c>
      <c r="L23" s="2679"/>
      <c r="M23" s="2680">
        <v>0.2</v>
      </c>
      <c r="N23" s="2681"/>
      <c r="O23" s="2627">
        <v>7.9000000000000001E-4</v>
      </c>
      <c r="S23" s="2630" t="e">
        <f>'[11]原始记录（直阻）'!S21</f>
        <v>#REF!</v>
      </c>
      <c r="T23" s="2633" t="s">
        <v>2477</v>
      </c>
      <c r="U23" s="2636" t="e">
        <f>'[11]原始记录（直阻）'!U21</f>
        <v>#REF!</v>
      </c>
      <c r="V23" s="2639">
        <v>0</v>
      </c>
      <c r="W23" s="2640"/>
      <c r="X23" s="2646" t="e">
        <f>'[11]原始记录（直阻）'!X21:Y21</f>
        <v>#REF!</v>
      </c>
      <c r="Y23" s="2647"/>
      <c r="Z23" s="2648" t="e">
        <f>'[11]原始记录（直阻）'!Z21</f>
        <v>#REF!</v>
      </c>
      <c r="AA23" s="2646" t="e">
        <f>'[11]原始记录（直阻）'!AA21:AB21</f>
        <v>#REF!</v>
      </c>
      <c r="AB23" s="2647"/>
      <c r="AC23" s="2616" t="e">
        <f>'[11]原始记录（直阻）'!AC21:AD21</f>
        <v>#REF!</v>
      </c>
      <c r="AD23" s="2617"/>
      <c r="AE23" s="2623" t="e">
        <f>'[11]原始记录（直阻）'!AE21:AF21</f>
        <v>#REF!</v>
      </c>
      <c r="AF23" s="2623"/>
      <c r="AG23" s="2234"/>
      <c r="AH23" s="1377"/>
      <c r="AI23" s="2630" t="e">
        <f>'[11]原始记录（直阻）'!AJ21</f>
        <v>#REF!</v>
      </c>
      <c r="AJ23" s="2633" t="s">
        <v>2478</v>
      </c>
      <c r="AK23" s="2636" t="e">
        <f>'[11]原始记录（直阻）'!AL21</f>
        <v>#REF!</v>
      </c>
      <c r="AL23" s="2639">
        <v>0</v>
      </c>
      <c r="AM23" s="2640"/>
      <c r="AN23" s="2646" t="e">
        <f>'[11]原始记录（直阻）'!AO21:AP21</f>
        <v>#VALUE!</v>
      </c>
      <c r="AO23" s="2647"/>
      <c r="AP23" s="2648" t="e">
        <f>'[11]原始记录（直阻）'!AQ21</f>
        <v>#REF!</v>
      </c>
      <c r="AQ23" s="2646" t="e">
        <f>'[11]原始记录（直阻）'!AR21:AS21</f>
        <v>#VALUE!</v>
      </c>
      <c r="AR23" s="2647"/>
      <c r="AS23" s="2616" t="e">
        <f>'[11]原始记录（直阻）'!AT21:AU21</f>
        <v>#VALUE!</v>
      </c>
      <c r="AT23" s="2617"/>
      <c r="AU23" s="2618" t="e">
        <f>'[11]原始记录（直阻）'!AV21:AW21</f>
        <v>#VALUE!</v>
      </c>
      <c r="AV23" s="2619"/>
      <c r="AW23" s="2619"/>
      <c r="AX23" s="2627">
        <v>7.9000000000000001E-4</v>
      </c>
    </row>
    <row r="24" spans="1:50" outlineLevel="1">
      <c r="A24" s="2661"/>
      <c r="B24" s="2664"/>
      <c r="C24" s="2667"/>
      <c r="D24" s="2671"/>
      <c r="E24" s="2672"/>
      <c r="F24" s="2675">
        <v>2</v>
      </c>
      <c r="G24" s="2676"/>
      <c r="H24" s="2677"/>
      <c r="I24" s="2675">
        <v>1.9990000000000001</v>
      </c>
      <c r="J24" s="2676"/>
      <c r="K24" s="2678">
        <f>(I24-F24)/F24*100</f>
        <v>-4.9999999999994493E-2</v>
      </c>
      <c r="L24" s="2679"/>
      <c r="M24" s="2680">
        <v>0.2</v>
      </c>
      <c r="N24" s="2681"/>
      <c r="O24" s="2628"/>
      <c r="S24" s="2631"/>
      <c r="T24" s="2634"/>
      <c r="U24" s="2637"/>
      <c r="V24" s="2641"/>
      <c r="W24" s="2642"/>
      <c r="X24" s="2624" t="e">
        <f>'[11]原始记录（直阻）'!X22:Y22</f>
        <v>#REF!</v>
      </c>
      <c r="Y24" s="2625"/>
      <c r="Z24" s="2626" t="e">
        <f>'[11]原始记录（直阻）'!Z22</f>
        <v>#REF!</v>
      </c>
      <c r="AA24" s="2624" t="e">
        <f>'[11]原始记录（直阻）'!AA22:AB22</f>
        <v>#REF!</v>
      </c>
      <c r="AB24" s="2625"/>
      <c r="AC24" s="2616" t="e">
        <f>'[11]原始记录（直阻）'!AC22:AD22</f>
        <v>#REF!</v>
      </c>
      <c r="AD24" s="2617"/>
      <c r="AE24" s="2623" t="e">
        <f>'[11]原始记录（直阻）'!AE22:AF22</f>
        <v>#REF!</v>
      </c>
      <c r="AF24" s="2623"/>
      <c r="AG24" s="2234"/>
      <c r="AH24" s="1377"/>
      <c r="AI24" s="2631"/>
      <c r="AJ24" s="2634"/>
      <c r="AK24" s="2637"/>
      <c r="AL24" s="2641"/>
      <c r="AM24" s="2642"/>
      <c r="AN24" s="2624" t="e">
        <f>'[11]原始记录（直阻）'!AO22:AP22</f>
        <v>#VALUE!</v>
      </c>
      <c r="AO24" s="2625"/>
      <c r="AP24" s="2626" t="e">
        <f>'[11]原始记录（直阻）'!AQ22</f>
        <v>#REF!</v>
      </c>
      <c r="AQ24" s="2624" t="e">
        <f>'[11]原始记录（直阻）'!AR22:AS22</f>
        <v>#VALUE!</v>
      </c>
      <c r="AR24" s="2625"/>
      <c r="AS24" s="2616" t="e">
        <f>'[11]原始记录（直阻）'!AT22:AU22</f>
        <v>#VALUE!</v>
      </c>
      <c r="AT24" s="2617"/>
      <c r="AU24" s="2618" t="e">
        <f>'[11]原始记录（直阻）'!AV22:AW22</f>
        <v>#VALUE!</v>
      </c>
      <c r="AV24" s="2619"/>
      <c r="AW24" s="2619"/>
      <c r="AX24" s="2628"/>
    </row>
    <row r="25" spans="1:50" outlineLevel="1">
      <c r="A25" s="2661"/>
      <c r="B25" s="2664"/>
      <c r="C25" s="2667"/>
      <c r="D25" s="2671"/>
      <c r="E25" s="2672"/>
      <c r="F25" s="2675">
        <v>3</v>
      </c>
      <c r="G25" s="2676"/>
      <c r="H25" s="2677"/>
      <c r="I25" s="2675">
        <v>3</v>
      </c>
      <c r="J25" s="2676"/>
      <c r="K25" s="2678">
        <f t="shared" ref="K25:K32" si="0">(I25-F25)/F25*100</f>
        <v>0</v>
      </c>
      <c r="L25" s="2679"/>
      <c r="M25" s="2680">
        <v>0.2</v>
      </c>
      <c r="N25" s="2681"/>
      <c r="O25" s="2628"/>
      <c r="S25" s="2631"/>
      <c r="T25" s="2634"/>
      <c r="U25" s="2637"/>
      <c r="V25" s="2641"/>
      <c r="W25" s="2642"/>
      <c r="X25" s="2624" t="e">
        <f>'[11]原始记录（直阻）'!X23:Y23</f>
        <v>#REF!</v>
      </c>
      <c r="Y25" s="2625"/>
      <c r="Z25" s="2626" t="e">
        <f>'[11]原始记录（直阻）'!Z23</f>
        <v>#REF!</v>
      </c>
      <c r="AA25" s="2624" t="e">
        <f>'[11]原始记录（直阻）'!AA23:AB23</f>
        <v>#REF!</v>
      </c>
      <c r="AB25" s="2625"/>
      <c r="AC25" s="2616" t="e">
        <f>'[11]原始记录（直阻）'!AC23:AD23</f>
        <v>#REF!</v>
      </c>
      <c r="AD25" s="2617"/>
      <c r="AE25" s="2623" t="e">
        <f>'[11]原始记录（直阻）'!AE23:AF23</f>
        <v>#REF!</v>
      </c>
      <c r="AF25" s="2623"/>
      <c r="AG25" s="2234"/>
      <c r="AH25" s="1377"/>
      <c r="AI25" s="2631"/>
      <c r="AJ25" s="2634"/>
      <c r="AK25" s="2637"/>
      <c r="AL25" s="2641"/>
      <c r="AM25" s="2642"/>
      <c r="AN25" s="2624" t="e">
        <f>'[11]原始记录（直阻）'!AO23:AP23</f>
        <v>#VALUE!</v>
      </c>
      <c r="AO25" s="2625"/>
      <c r="AP25" s="2626" t="e">
        <f>'[11]原始记录（直阻）'!AQ23</f>
        <v>#REF!</v>
      </c>
      <c r="AQ25" s="2624" t="e">
        <f>'[11]原始记录（直阻）'!AR23:AS23</f>
        <v>#VALUE!</v>
      </c>
      <c r="AR25" s="2625"/>
      <c r="AS25" s="2616" t="e">
        <f>'[11]原始记录（直阻）'!AT23:AU23</f>
        <v>#VALUE!</v>
      </c>
      <c r="AT25" s="2617"/>
      <c r="AU25" s="2618" t="e">
        <f>'[11]原始记录（直阻）'!AV23:AW23</f>
        <v>#VALUE!</v>
      </c>
      <c r="AV25" s="2619"/>
      <c r="AW25" s="2619"/>
      <c r="AX25" s="2628"/>
    </row>
    <row r="26" spans="1:50" outlineLevel="1">
      <c r="A26" s="2661"/>
      <c r="B26" s="2664"/>
      <c r="C26" s="2667"/>
      <c r="D26" s="2671"/>
      <c r="E26" s="2672"/>
      <c r="F26" s="2675">
        <v>4</v>
      </c>
      <c r="G26" s="2676"/>
      <c r="H26" s="2677"/>
      <c r="I26" s="2675">
        <v>4.0010000000000003</v>
      </c>
      <c r="J26" s="2676"/>
      <c r="K26" s="2678">
        <f t="shared" si="0"/>
        <v>2.5000000000008349E-2</v>
      </c>
      <c r="L26" s="2679"/>
      <c r="M26" s="2680">
        <v>0.2</v>
      </c>
      <c r="N26" s="2681"/>
      <c r="O26" s="2628"/>
      <c r="S26" s="2631"/>
      <c r="T26" s="2634"/>
      <c r="U26" s="2637"/>
      <c r="V26" s="2641"/>
      <c r="W26" s="2642"/>
      <c r="X26" s="2624" t="e">
        <f>'[11]原始记录（直阻）'!X24:Y24</f>
        <v>#REF!</v>
      </c>
      <c r="Y26" s="2625"/>
      <c r="Z26" s="2626" t="e">
        <f>'[11]原始记录（直阻）'!Z24</f>
        <v>#REF!</v>
      </c>
      <c r="AA26" s="2624" t="e">
        <f>'[11]原始记录（直阻）'!AA24:AB24</f>
        <v>#REF!</v>
      </c>
      <c r="AB26" s="2625"/>
      <c r="AC26" s="2616" t="e">
        <f>'[11]原始记录（直阻）'!AC24:AD24</f>
        <v>#REF!</v>
      </c>
      <c r="AD26" s="2617"/>
      <c r="AE26" s="2623" t="e">
        <f>'[11]原始记录（直阻）'!AE24:AF24</f>
        <v>#REF!</v>
      </c>
      <c r="AF26" s="2623"/>
      <c r="AG26" s="2234"/>
      <c r="AH26" s="1377"/>
      <c r="AI26" s="2631"/>
      <c r="AJ26" s="2634"/>
      <c r="AK26" s="2637"/>
      <c r="AL26" s="2641"/>
      <c r="AM26" s="2642"/>
      <c r="AN26" s="2624" t="e">
        <f>'[11]原始记录（直阻）'!AO24:AP24</f>
        <v>#VALUE!</v>
      </c>
      <c r="AO26" s="2625"/>
      <c r="AP26" s="2626" t="e">
        <f>'[11]原始记录（直阻）'!AQ24</f>
        <v>#REF!</v>
      </c>
      <c r="AQ26" s="2624" t="e">
        <f>'[11]原始记录（直阻）'!AR24:AS24</f>
        <v>#VALUE!</v>
      </c>
      <c r="AR26" s="2625"/>
      <c r="AS26" s="2616" t="e">
        <f>'[11]原始记录（直阻）'!AT24:AU24</f>
        <v>#VALUE!</v>
      </c>
      <c r="AT26" s="2617"/>
      <c r="AU26" s="2618" t="e">
        <f>'[11]原始记录（直阻）'!AV24:AW24</f>
        <v>#VALUE!</v>
      </c>
      <c r="AV26" s="2619"/>
      <c r="AW26" s="2619"/>
      <c r="AX26" s="2628"/>
    </row>
    <row r="27" spans="1:50" outlineLevel="1">
      <c r="A27" s="2661"/>
      <c r="B27" s="2664"/>
      <c r="C27" s="2667"/>
      <c r="D27" s="2671"/>
      <c r="E27" s="2672"/>
      <c r="F27" s="2675">
        <v>5</v>
      </c>
      <c r="G27" s="2676"/>
      <c r="H27" s="2677"/>
      <c r="I27" s="2675">
        <v>5.0010000000000003</v>
      </c>
      <c r="J27" s="2677"/>
      <c r="K27" s="2678">
        <f t="shared" si="0"/>
        <v>2.0000000000006679E-2</v>
      </c>
      <c r="L27" s="2679"/>
      <c r="M27" s="2680">
        <v>0.2</v>
      </c>
      <c r="N27" s="2681"/>
      <c r="O27" s="2628"/>
      <c r="S27" s="2631"/>
      <c r="T27" s="2634"/>
      <c r="U27" s="2637"/>
      <c r="V27" s="2641"/>
      <c r="W27" s="2642"/>
      <c r="X27" s="2624" t="e">
        <f>'[11]原始记录（直阻）'!X25:Y25</f>
        <v>#REF!</v>
      </c>
      <c r="Y27" s="2625"/>
      <c r="Z27" s="2626" t="e">
        <f>'[11]原始记录（直阻）'!Z25</f>
        <v>#REF!</v>
      </c>
      <c r="AA27" s="2624" t="e">
        <f>'[11]原始记录（直阻）'!AA25:AB25</f>
        <v>#REF!</v>
      </c>
      <c r="AB27" s="2625"/>
      <c r="AC27" s="2616" t="e">
        <f>'[11]原始记录（直阻）'!AC25:AD25</f>
        <v>#REF!</v>
      </c>
      <c r="AD27" s="2617"/>
      <c r="AE27" s="2623" t="e">
        <f>'[11]原始记录（直阻）'!AE25:AF25</f>
        <v>#REF!</v>
      </c>
      <c r="AF27" s="2623"/>
      <c r="AG27" s="2234"/>
      <c r="AH27" s="1377"/>
      <c r="AI27" s="2631"/>
      <c r="AJ27" s="2634"/>
      <c r="AK27" s="2637"/>
      <c r="AL27" s="2641"/>
      <c r="AM27" s="2642"/>
      <c r="AN27" s="2624" t="e">
        <f>'[11]原始记录（直阻）'!AO25:AP25</f>
        <v>#VALUE!</v>
      </c>
      <c r="AO27" s="2625"/>
      <c r="AP27" s="2626" t="e">
        <f>'[11]原始记录（直阻）'!AQ25</f>
        <v>#REF!</v>
      </c>
      <c r="AQ27" s="2624" t="e">
        <f>'[11]原始记录（直阻）'!AR25:AS25</f>
        <v>#VALUE!</v>
      </c>
      <c r="AR27" s="2625"/>
      <c r="AS27" s="2616" t="e">
        <f>'[11]原始记录（直阻）'!AT25:AU25</f>
        <v>#VALUE!</v>
      </c>
      <c r="AT27" s="2617"/>
      <c r="AU27" s="2618" t="e">
        <f>'[11]原始记录（直阻）'!AV25:AW25</f>
        <v>#VALUE!</v>
      </c>
      <c r="AV27" s="2619"/>
      <c r="AW27" s="2619"/>
      <c r="AX27" s="2628"/>
    </row>
    <row r="28" spans="1:50" outlineLevel="1">
      <c r="A28" s="2661"/>
      <c r="B28" s="2664"/>
      <c r="C28" s="2667"/>
      <c r="D28" s="2671"/>
      <c r="E28" s="2672"/>
      <c r="F28" s="2675">
        <v>6</v>
      </c>
      <c r="G28" s="2676"/>
      <c r="H28" s="2677"/>
      <c r="I28" s="2675">
        <v>6.0019999999999998</v>
      </c>
      <c r="J28" s="2677"/>
      <c r="K28" s="2678">
        <f t="shared" si="0"/>
        <v>3.3333333333329662E-2</v>
      </c>
      <c r="L28" s="2679"/>
      <c r="M28" s="2680">
        <v>0.2</v>
      </c>
      <c r="N28" s="2681"/>
      <c r="O28" s="2628"/>
      <c r="S28" s="2631"/>
      <c r="T28" s="2634"/>
      <c r="U28" s="2637"/>
      <c r="V28" s="2641"/>
      <c r="W28" s="2642"/>
      <c r="X28" s="2624" t="e">
        <f>'[11]原始记录（直阻）'!X26:Y26</f>
        <v>#REF!</v>
      </c>
      <c r="Y28" s="2625"/>
      <c r="Z28" s="2626" t="e">
        <f>'[11]原始记录（直阻）'!Z26</f>
        <v>#REF!</v>
      </c>
      <c r="AA28" s="2624" t="e">
        <f>'[11]原始记录（直阻）'!AA26:AB26</f>
        <v>#REF!</v>
      </c>
      <c r="AB28" s="2625"/>
      <c r="AC28" s="2616" t="e">
        <f>'[11]原始记录（直阻）'!AC26:AD26</f>
        <v>#REF!</v>
      </c>
      <c r="AD28" s="2617"/>
      <c r="AE28" s="2623" t="e">
        <f>'[11]原始记录（直阻）'!AE26:AF26</f>
        <v>#REF!</v>
      </c>
      <c r="AF28" s="2623"/>
      <c r="AG28" s="2234"/>
      <c r="AH28" s="1377"/>
      <c r="AI28" s="2631"/>
      <c r="AJ28" s="2634"/>
      <c r="AK28" s="2637"/>
      <c r="AL28" s="2641"/>
      <c r="AM28" s="2642"/>
      <c r="AN28" s="2624" t="e">
        <f>'[11]原始记录（直阻）'!AO26:AP26</f>
        <v>#VALUE!</v>
      </c>
      <c r="AO28" s="2625"/>
      <c r="AP28" s="2626" t="e">
        <f>'[11]原始记录（直阻）'!AQ26</f>
        <v>#REF!</v>
      </c>
      <c r="AQ28" s="2624" t="e">
        <f>'[11]原始记录（直阻）'!AR26:AS26</f>
        <v>#VALUE!</v>
      </c>
      <c r="AR28" s="2625"/>
      <c r="AS28" s="2616" t="e">
        <f>'[11]原始记录（直阻）'!AT26:AU26</f>
        <v>#VALUE!</v>
      </c>
      <c r="AT28" s="2617"/>
      <c r="AU28" s="2618" t="e">
        <f>'[11]原始记录（直阻）'!AV26:AW26</f>
        <v>#VALUE!</v>
      </c>
      <c r="AV28" s="2619"/>
      <c r="AW28" s="2619"/>
      <c r="AX28" s="2628"/>
    </row>
    <row r="29" spans="1:50" outlineLevel="1">
      <c r="A29" s="2661"/>
      <c r="B29" s="2664"/>
      <c r="C29" s="2667"/>
      <c r="D29" s="2671"/>
      <c r="E29" s="2672"/>
      <c r="F29" s="2675">
        <v>7</v>
      </c>
      <c r="G29" s="2676"/>
      <c r="H29" s="2677"/>
      <c r="I29" s="2675">
        <v>7.0019999999999998</v>
      </c>
      <c r="J29" s="2677"/>
      <c r="K29" s="2678">
        <f t="shared" si="0"/>
        <v>2.8571428571425424E-2</v>
      </c>
      <c r="L29" s="2679"/>
      <c r="M29" s="2680">
        <v>0.2</v>
      </c>
      <c r="N29" s="2681"/>
      <c r="O29" s="2628"/>
      <c r="S29" s="2631"/>
      <c r="T29" s="2634"/>
      <c r="U29" s="2637"/>
      <c r="V29" s="2641"/>
      <c r="W29" s="2642"/>
      <c r="X29" s="2624" t="e">
        <f>'[11]原始记录（直阻）'!X27:Y27</f>
        <v>#REF!</v>
      </c>
      <c r="Y29" s="2625"/>
      <c r="Z29" s="2626" t="e">
        <f>'[11]原始记录（直阻）'!Z27</f>
        <v>#REF!</v>
      </c>
      <c r="AA29" s="2624" t="e">
        <f>'[11]原始记录（直阻）'!AA27:AB27</f>
        <v>#REF!</v>
      </c>
      <c r="AB29" s="2625"/>
      <c r="AC29" s="2616" t="e">
        <f>'[11]原始记录（直阻）'!AC27:AD27</f>
        <v>#REF!</v>
      </c>
      <c r="AD29" s="2617"/>
      <c r="AE29" s="2623" t="e">
        <f>'[11]原始记录（直阻）'!AE27:AF27</f>
        <v>#REF!</v>
      </c>
      <c r="AF29" s="2623"/>
      <c r="AG29" s="2234"/>
      <c r="AH29" s="1377"/>
      <c r="AI29" s="2631"/>
      <c r="AJ29" s="2634"/>
      <c r="AK29" s="2637"/>
      <c r="AL29" s="2641"/>
      <c r="AM29" s="2642"/>
      <c r="AN29" s="2624" t="e">
        <f>'[11]原始记录（直阻）'!AO27:AP27</f>
        <v>#VALUE!</v>
      </c>
      <c r="AO29" s="2625"/>
      <c r="AP29" s="2626" t="e">
        <f>'[11]原始记录（直阻）'!AQ27</f>
        <v>#REF!</v>
      </c>
      <c r="AQ29" s="2624" t="e">
        <f>'[11]原始记录（直阻）'!AR27:AS27</f>
        <v>#VALUE!</v>
      </c>
      <c r="AR29" s="2625"/>
      <c r="AS29" s="2616" t="e">
        <f>'[11]原始记录（直阻）'!AT27:AU27</f>
        <v>#VALUE!</v>
      </c>
      <c r="AT29" s="2617"/>
      <c r="AU29" s="2618" t="e">
        <f>'[11]原始记录（直阻）'!AV27:AW27</f>
        <v>#VALUE!</v>
      </c>
      <c r="AV29" s="2619"/>
      <c r="AW29" s="2619"/>
      <c r="AX29" s="2628"/>
    </row>
    <row r="30" spans="1:50" outlineLevel="1">
      <c r="A30" s="2661"/>
      <c r="B30" s="2664"/>
      <c r="C30" s="2667"/>
      <c r="D30" s="2671"/>
      <c r="E30" s="2672"/>
      <c r="F30" s="2675">
        <v>8</v>
      </c>
      <c r="G30" s="2676"/>
      <c r="H30" s="2677"/>
      <c r="I30" s="2675">
        <v>8.0030000000000001</v>
      </c>
      <c r="J30" s="2677"/>
      <c r="K30" s="2678">
        <f t="shared" si="0"/>
        <v>3.7500000000001421E-2</v>
      </c>
      <c r="L30" s="2679"/>
      <c r="M30" s="2680">
        <v>0.2</v>
      </c>
      <c r="N30" s="2681"/>
      <c r="O30" s="2628"/>
      <c r="S30" s="2631"/>
      <c r="T30" s="2634"/>
      <c r="U30" s="2637"/>
      <c r="V30" s="2641"/>
      <c r="W30" s="2642"/>
      <c r="X30" s="2624" t="e">
        <f>'[11]原始记录（直阻）'!X28:Y28</f>
        <v>#REF!</v>
      </c>
      <c r="Y30" s="2625"/>
      <c r="Z30" s="2626" t="e">
        <f>'[11]原始记录（直阻）'!Z28</f>
        <v>#REF!</v>
      </c>
      <c r="AA30" s="2624" t="e">
        <f>'[11]原始记录（直阻）'!AA28:AB28</f>
        <v>#REF!</v>
      </c>
      <c r="AB30" s="2625"/>
      <c r="AC30" s="2616" t="e">
        <f>'[11]原始记录（直阻）'!AC28:AD28</f>
        <v>#REF!</v>
      </c>
      <c r="AD30" s="2617"/>
      <c r="AE30" s="2623" t="e">
        <f>'[11]原始记录（直阻）'!AE28:AF28</f>
        <v>#REF!</v>
      </c>
      <c r="AF30" s="2623"/>
      <c r="AG30" s="2234"/>
      <c r="AH30" s="1377"/>
      <c r="AI30" s="2631"/>
      <c r="AJ30" s="2634"/>
      <c r="AK30" s="2637"/>
      <c r="AL30" s="2641"/>
      <c r="AM30" s="2642"/>
      <c r="AN30" s="2624" t="e">
        <f>'[11]原始记录（直阻）'!AO28:AP28</f>
        <v>#VALUE!</v>
      </c>
      <c r="AO30" s="2625"/>
      <c r="AP30" s="2626" t="e">
        <f>'[11]原始记录（直阻）'!AQ28</f>
        <v>#REF!</v>
      </c>
      <c r="AQ30" s="2624" t="e">
        <f>'[11]原始记录（直阻）'!AR28:AS28</f>
        <v>#VALUE!</v>
      </c>
      <c r="AR30" s="2625"/>
      <c r="AS30" s="2616" t="e">
        <f>'[11]原始记录（直阻）'!AT28:AU28</f>
        <v>#VALUE!</v>
      </c>
      <c r="AT30" s="2617"/>
      <c r="AU30" s="2618" t="e">
        <f>'[11]原始记录（直阻）'!AV28:AW28</f>
        <v>#VALUE!</v>
      </c>
      <c r="AV30" s="2619"/>
      <c r="AW30" s="2619"/>
      <c r="AX30" s="2628"/>
    </row>
    <row r="31" spans="1:50" outlineLevel="1">
      <c r="A31" s="2661"/>
      <c r="B31" s="2664"/>
      <c r="C31" s="2667"/>
      <c r="D31" s="2671"/>
      <c r="E31" s="2672"/>
      <c r="F31" s="2675">
        <v>9</v>
      </c>
      <c r="G31" s="2676"/>
      <c r="H31" s="2677"/>
      <c r="I31" s="2675">
        <v>9.0030000000000001</v>
      </c>
      <c r="J31" s="2677"/>
      <c r="K31" s="2678">
        <f t="shared" si="0"/>
        <v>3.3333333333334596E-2</v>
      </c>
      <c r="L31" s="2679"/>
      <c r="M31" s="2680">
        <v>0.2</v>
      </c>
      <c r="N31" s="2681"/>
      <c r="O31" s="2628"/>
      <c r="S31" s="2631"/>
      <c r="T31" s="2634"/>
      <c r="U31" s="2637"/>
      <c r="V31" s="2641"/>
      <c r="W31" s="2642"/>
      <c r="X31" s="2624" t="e">
        <f>'[11]原始记录（直阻）'!X29:Y29</f>
        <v>#REF!</v>
      </c>
      <c r="Y31" s="2625"/>
      <c r="Z31" s="2626" t="e">
        <f>'[11]原始记录（直阻）'!Z29</f>
        <v>#REF!</v>
      </c>
      <c r="AA31" s="2624" t="e">
        <f>'[11]原始记录（直阻）'!AA29:AB29</f>
        <v>#REF!</v>
      </c>
      <c r="AB31" s="2625"/>
      <c r="AC31" s="2616" t="e">
        <f>'[11]原始记录（直阻）'!AC29:AD29</f>
        <v>#REF!</v>
      </c>
      <c r="AD31" s="2617"/>
      <c r="AE31" s="2623" t="e">
        <f>'[11]原始记录（直阻）'!AE29:AF29</f>
        <v>#REF!</v>
      </c>
      <c r="AF31" s="2623"/>
      <c r="AG31" s="2234"/>
      <c r="AH31" s="1377"/>
      <c r="AI31" s="2631"/>
      <c r="AJ31" s="2634"/>
      <c r="AK31" s="2637"/>
      <c r="AL31" s="2641"/>
      <c r="AM31" s="2642"/>
      <c r="AN31" s="2624" t="e">
        <f>'[11]原始记录（直阻）'!AO29:AP29</f>
        <v>#VALUE!</v>
      </c>
      <c r="AO31" s="2625"/>
      <c r="AP31" s="2626" t="e">
        <f>'[11]原始记录（直阻）'!AQ29</f>
        <v>#REF!</v>
      </c>
      <c r="AQ31" s="2624" t="e">
        <f>'[11]原始记录（直阻）'!AR29:AS29</f>
        <v>#VALUE!</v>
      </c>
      <c r="AR31" s="2625"/>
      <c r="AS31" s="2616" t="e">
        <f>'[11]原始记录（直阻）'!AT29:AU29</f>
        <v>#VALUE!</v>
      </c>
      <c r="AT31" s="2617"/>
      <c r="AU31" s="2618" t="e">
        <f>'[11]原始记录（直阻）'!AV29:AW29</f>
        <v>#VALUE!</v>
      </c>
      <c r="AV31" s="2619"/>
      <c r="AW31" s="2619"/>
      <c r="AX31" s="2628"/>
    </row>
    <row r="32" spans="1:50" outlineLevel="1">
      <c r="A32" s="2662"/>
      <c r="B32" s="2665"/>
      <c r="C32" s="2668"/>
      <c r="D32" s="2673"/>
      <c r="E32" s="2674"/>
      <c r="F32" s="2701">
        <v>10</v>
      </c>
      <c r="G32" s="2702"/>
      <c r="H32" s="2703"/>
      <c r="I32" s="2701">
        <v>10</v>
      </c>
      <c r="J32" s="2703"/>
      <c r="K32" s="2678">
        <f t="shared" si="0"/>
        <v>0</v>
      </c>
      <c r="L32" s="2679"/>
      <c r="M32" s="2680">
        <v>0.2</v>
      </c>
      <c r="N32" s="2681"/>
      <c r="O32" s="2629"/>
      <c r="S32" s="2632"/>
      <c r="T32" s="2635"/>
      <c r="U32" s="2638"/>
      <c r="V32" s="2643"/>
      <c r="W32" s="2644"/>
      <c r="X32" s="2620" t="e">
        <f>'[11]原始记录（直阻）'!X30:Y30</f>
        <v>#REF!</v>
      </c>
      <c r="Y32" s="2621"/>
      <c r="Z32" s="2622" t="e">
        <f>'[11]原始记录（直阻）'!Z30</f>
        <v>#REF!</v>
      </c>
      <c r="AA32" s="2620" t="e">
        <f>'[11]原始记录（直阻）'!AA30:AB30</f>
        <v>#REF!</v>
      </c>
      <c r="AB32" s="2621"/>
      <c r="AC32" s="2616" t="e">
        <f>'[11]原始记录（直阻）'!AC30:AD30</f>
        <v>#REF!</v>
      </c>
      <c r="AD32" s="2617"/>
      <c r="AE32" s="2623" t="e">
        <f>'[11]原始记录（直阻）'!AE30:AF30</f>
        <v>#REF!</v>
      </c>
      <c r="AF32" s="2623"/>
      <c r="AG32" s="2234"/>
      <c r="AH32" s="1377"/>
      <c r="AI32" s="2632"/>
      <c r="AJ32" s="2635"/>
      <c r="AK32" s="2638"/>
      <c r="AL32" s="2643"/>
      <c r="AM32" s="2644"/>
      <c r="AN32" s="2620" t="e">
        <f>'[11]原始记录（直阻）'!AO30:AP30</f>
        <v>#VALUE!</v>
      </c>
      <c r="AO32" s="2621"/>
      <c r="AP32" s="2622" t="e">
        <f>'[11]原始记录（直阻）'!AQ30</f>
        <v>#REF!</v>
      </c>
      <c r="AQ32" s="2620" t="e">
        <f>'[11]原始记录（直阻）'!AR30:AS30</f>
        <v>#VALUE!</v>
      </c>
      <c r="AR32" s="2621"/>
      <c r="AS32" s="2616" t="e">
        <f>'[11]原始记录（直阻）'!AT30:AU30</f>
        <v>#VALUE!</v>
      </c>
      <c r="AT32" s="2617"/>
      <c r="AU32" s="2618" t="e">
        <f>'[11]原始记录（直阻）'!AV30:AW30</f>
        <v>#VALUE!</v>
      </c>
      <c r="AV32" s="2619"/>
      <c r="AW32" s="2619"/>
      <c r="AX32" s="2629"/>
    </row>
    <row r="33" spans="1:67" outlineLevel="1">
      <c r="A33" s="2686" t="s">
        <v>2479</v>
      </c>
      <c r="B33" s="2686"/>
      <c r="C33" s="2686"/>
      <c r="D33" s="2686"/>
      <c r="E33" s="2686"/>
      <c r="F33" s="2686"/>
      <c r="G33" s="2686"/>
      <c r="H33" s="2686"/>
      <c r="I33" s="2686"/>
      <c r="J33" s="2686"/>
      <c r="K33" s="2686"/>
      <c r="L33" s="2686"/>
      <c r="M33" s="2686"/>
      <c r="N33" s="2686"/>
      <c r="O33" s="2686"/>
    </row>
    <row r="34" spans="1:67">
      <c r="A34" t="s">
        <v>2480</v>
      </c>
      <c r="B34" s="889"/>
      <c r="C34" s="702" t="s">
        <v>2481</v>
      </c>
      <c r="D34" s="889"/>
      <c r="E34" s="28"/>
      <c r="F34" s="938"/>
      <c r="G34" s="938"/>
      <c r="H34" s="107"/>
      <c r="I34" s="148"/>
      <c r="J34" s="107"/>
      <c r="K34" s="107"/>
      <c r="L34" s="107"/>
      <c r="M34" s="107"/>
      <c r="N34" s="149"/>
      <c r="S34" s="702" t="s">
        <v>2482</v>
      </c>
      <c r="AJ34" s="702" t="s">
        <v>2483</v>
      </c>
    </row>
    <row r="35" spans="1:67" ht="42.75" outlineLevel="1">
      <c r="A35" s="2585" t="s">
        <v>2484</v>
      </c>
      <c r="B35" s="2651"/>
      <c r="C35" s="2652"/>
      <c r="D35" s="2651" t="s">
        <v>2485</v>
      </c>
      <c r="E35" s="2651"/>
      <c r="F35" s="2652"/>
      <c r="G35" s="2693" t="s">
        <v>2486</v>
      </c>
      <c r="H35" s="2694"/>
      <c r="I35" s="2695" t="s">
        <v>2487</v>
      </c>
      <c r="J35" s="2696"/>
      <c r="K35" s="2697" t="s">
        <v>2488</v>
      </c>
      <c r="L35" s="2696"/>
      <c r="M35" s="2585" t="s">
        <v>2489</v>
      </c>
      <c r="N35" s="2652"/>
      <c r="O35" s="941" t="s">
        <v>2490</v>
      </c>
      <c r="S35" s="1183"/>
      <c r="T35" s="1183"/>
      <c r="U35" s="1183"/>
      <c r="V35" s="1183"/>
      <c r="W35" s="1183"/>
      <c r="X35" s="1183"/>
      <c r="Y35" s="1183"/>
      <c r="Z35" s="1183"/>
      <c r="AA35" s="1183"/>
      <c r="AB35" s="1183"/>
      <c r="AC35" s="1183"/>
      <c r="AD35" s="1183"/>
      <c r="AE35" s="1183"/>
      <c r="AF35" s="1183"/>
      <c r="AG35" s="943"/>
      <c r="AH35" s="317"/>
      <c r="AJ35" s="1814" t="s">
        <v>2491</v>
      </c>
      <c r="AK35" s="1714"/>
      <c r="AL35" s="2493" t="s">
        <v>2484</v>
      </c>
      <c r="AM35" s="2611"/>
      <c r="AN35" s="2493" t="s">
        <v>2492</v>
      </c>
      <c r="AO35" s="2611"/>
      <c r="AP35" s="2493" t="s">
        <v>2486</v>
      </c>
      <c r="AQ35" s="2611"/>
      <c r="AR35" s="2493" t="s">
        <v>2487</v>
      </c>
      <c r="AS35" s="2611"/>
      <c r="AT35" s="2612" t="s">
        <v>2488</v>
      </c>
      <c r="AU35" s="2611"/>
      <c r="AV35" s="2493" t="s">
        <v>2489</v>
      </c>
      <c r="AW35" s="2611"/>
      <c r="AX35" s="944" t="s">
        <v>2490</v>
      </c>
      <c r="AZ35" s="2613"/>
      <c r="BA35" s="2613"/>
      <c r="BB35" s="2613"/>
      <c r="BC35" s="2613"/>
      <c r="BD35" s="2613"/>
      <c r="BE35" s="2613"/>
      <c r="BF35" s="2613"/>
      <c r="BG35" s="2613"/>
      <c r="BH35" s="2613"/>
      <c r="BI35" s="2613"/>
      <c r="BJ35" s="2613"/>
      <c r="BK35" s="2613"/>
      <c r="BL35" s="2613"/>
      <c r="BM35" s="2613"/>
      <c r="BN35" s="2613"/>
      <c r="BO35" s="1380"/>
    </row>
    <row r="36" spans="1:67" outlineLevel="1">
      <c r="A36" s="2698">
        <v>30.2149</v>
      </c>
      <c r="B36" s="2699"/>
      <c r="C36" s="2700"/>
      <c r="D36" s="2682">
        <v>10</v>
      </c>
      <c r="E36" s="2682"/>
      <c r="F36" s="2683"/>
      <c r="G36" s="2684">
        <v>3</v>
      </c>
      <c r="H36" s="2685"/>
      <c r="I36" s="2687">
        <f>A36/D36</f>
        <v>3.02149</v>
      </c>
      <c r="J36" s="2688"/>
      <c r="K36" s="2689">
        <f>(G36-I36)/I36*100</f>
        <v>-0.71123849491476088</v>
      </c>
      <c r="L36" s="2690"/>
      <c r="M36" s="2691">
        <v>2</v>
      </c>
      <c r="N36" s="2692"/>
      <c r="O36" s="945">
        <f>'[12]不确定度评定过程 (2)'!$M$26</f>
        <v>7.280088524797716E-4</v>
      </c>
      <c r="Q36" s="946" t="s">
        <v>2493</v>
      </c>
      <c r="S36" s="9"/>
      <c r="T36" s="9"/>
      <c r="U36" s="9"/>
      <c r="V36" s="9"/>
      <c r="W36" s="9"/>
      <c r="X36" s="9"/>
      <c r="Y36" s="9"/>
      <c r="Z36" s="9"/>
      <c r="AA36" s="9"/>
      <c r="AB36" s="9"/>
      <c r="AC36" s="1378"/>
      <c r="AD36" s="1378"/>
      <c r="AE36" s="1379"/>
      <c r="AF36" s="1379"/>
      <c r="AG36" s="1358"/>
      <c r="AJ36" s="1814">
        <v>1</v>
      </c>
      <c r="AK36" s="1714"/>
      <c r="AL36" s="2605" t="e">
        <f>'[13]原始记录（回路）'!AL33:AM33</f>
        <v>#REF!</v>
      </c>
      <c r="AM36" s="2606"/>
      <c r="AN36" s="2591" t="e">
        <f>'[13]原始记录（回路）'!AN33:AO33</f>
        <v>#REF!</v>
      </c>
      <c r="AO36" s="2592"/>
      <c r="AP36" s="2593" t="e">
        <f>'[13]原始记录（回路）'!AP33:AQ33</f>
        <v>#REF!</v>
      </c>
      <c r="AQ36" s="2594"/>
      <c r="AR36" s="2595" t="e">
        <f>'[13]原始记录（回路）'!AR33:AS33</f>
        <v>#REF!</v>
      </c>
      <c r="AS36" s="2596"/>
      <c r="AT36" s="2597" t="e">
        <f>(AP36-AR36)/AR36*100</f>
        <v>#REF!</v>
      </c>
      <c r="AU36" s="2598"/>
      <c r="AV36" s="2600">
        <v>2</v>
      </c>
      <c r="AW36" s="2601"/>
      <c r="AX36" s="945">
        <f>'[13]不确定度评定过程 (2)'!$M$26</f>
        <v>7.280088524797716E-4</v>
      </c>
      <c r="AZ36" s="2343"/>
      <c r="BA36" s="2343"/>
      <c r="BB36" s="2343"/>
      <c r="BC36" s="2343"/>
      <c r="BD36" s="2343"/>
      <c r="BE36" s="2343"/>
      <c r="BF36" s="2343"/>
      <c r="BG36" s="2343"/>
      <c r="BH36" s="2343"/>
      <c r="BI36" s="2343"/>
      <c r="BJ36" s="2615"/>
      <c r="BK36" s="2615"/>
      <c r="BL36" s="2614"/>
      <c r="BM36" s="2614"/>
      <c r="BN36" s="2614"/>
      <c r="BO36" s="1381"/>
    </row>
    <row r="37" spans="1:67" outlineLevel="1">
      <c r="A37" s="803" t="s">
        <v>2494</v>
      </c>
      <c r="S37" t="s">
        <v>2495</v>
      </c>
    </row>
    <row r="38" spans="1:67" ht="36.75" customHeight="1">
      <c r="S38" s="1814" t="s">
        <v>2496</v>
      </c>
      <c r="T38" s="1714"/>
      <c r="U38" s="2493" t="s">
        <v>2497</v>
      </c>
      <c r="V38" s="2611"/>
      <c r="W38" s="2493" t="s">
        <v>2498</v>
      </c>
      <c r="X38" s="2611"/>
      <c r="Y38" s="2493" t="s">
        <v>2499</v>
      </c>
      <c r="Z38" s="2611"/>
      <c r="AA38" s="2493" t="s">
        <v>2500</v>
      </c>
      <c r="AB38" s="2611"/>
      <c r="AC38" s="2612" t="s">
        <v>2501</v>
      </c>
      <c r="AD38" s="2611"/>
      <c r="AE38" s="2493" t="s">
        <v>2502</v>
      </c>
      <c r="AF38" s="2611"/>
    </row>
    <row r="39" spans="1:67">
      <c r="S39" s="1814">
        <v>1</v>
      </c>
      <c r="T39" s="1714"/>
      <c r="U39" s="2605" t="e">
        <f>'[13]原始记录（回路）'!U41:V41</f>
        <v>#REF!</v>
      </c>
      <c r="V39" s="2606"/>
      <c r="W39" s="2591" t="e">
        <f>'[13]原始记录（回路）'!W41:X41</f>
        <v>#REF!</v>
      </c>
      <c r="X39" s="2592"/>
      <c r="Y39" s="2593" t="e">
        <f>'[13]原始记录（回路）'!Y41:Z41</f>
        <v>#REF!</v>
      </c>
      <c r="Z39" s="2594"/>
      <c r="AA39" s="2595" t="e">
        <f>'[13]原始记录（回路）'!AA41:AB41</f>
        <v>#REF!</v>
      </c>
      <c r="AB39" s="2596"/>
      <c r="AC39" s="2597" t="e">
        <f>(Y39-AA39)/AA39*100</f>
        <v>#REF!</v>
      </c>
      <c r="AD39" s="2598"/>
      <c r="AE39" s="2600">
        <v>2</v>
      </c>
      <c r="AF39" s="2601"/>
    </row>
    <row r="42" spans="1:67">
      <c r="A42" s="713" t="s">
        <v>2503</v>
      </c>
      <c r="B42" s="714"/>
      <c r="C42" s="714"/>
      <c r="D42" s="105"/>
      <c r="E42" s="714"/>
      <c r="F42" s="714"/>
      <c r="G42" s="819" t="s">
        <v>2504</v>
      </c>
      <c r="H42" s="819"/>
      <c r="I42" s="947"/>
      <c r="J42" s="819"/>
      <c r="K42" s="819"/>
      <c r="L42" s="714"/>
      <c r="M42" s="883"/>
      <c r="N42" s="884"/>
      <c r="S42" s="702" t="s">
        <v>2505</v>
      </c>
      <c r="AJ42" t="s">
        <v>23</v>
      </c>
    </row>
    <row r="43" spans="1:67" outlineLevel="1">
      <c r="A43" s="1749" t="s">
        <v>2506</v>
      </c>
      <c r="B43" s="2602"/>
      <c r="C43" s="2602"/>
      <c r="D43" s="2603"/>
      <c r="E43" s="950"/>
      <c r="F43" s="1749" t="s">
        <v>2507</v>
      </c>
      <c r="G43" s="2604"/>
      <c r="H43" s="2604"/>
      <c r="I43" s="2604"/>
      <c r="J43" s="2604"/>
      <c r="K43" s="1749" t="s">
        <v>2508</v>
      </c>
      <c r="L43" s="2503"/>
      <c r="M43" s="2503"/>
      <c r="N43" s="2503"/>
      <c r="S43" s="2434" t="s">
        <v>2509</v>
      </c>
      <c r="T43" s="2434"/>
      <c r="U43" s="2434"/>
      <c r="V43" s="2434"/>
      <c r="W43" s="2434"/>
      <c r="X43" s="2434" t="s">
        <v>2507</v>
      </c>
      <c r="Y43" s="2434"/>
      <c r="Z43" s="2434"/>
      <c r="AA43" s="2434"/>
      <c r="AB43" s="2434"/>
      <c r="AC43" s="2434" t="s">
        <v>2508</v>
      </c>
      <c r="AD43" s="2298"/>
      <c r="AE43" s="2298"/>
      <c r="AF43" s="2298"/>
      <c r="AG43" s="2298"/>
      <c r="AH43" s="2298"/>
      <c r="AJ43" s="2434" t="s">
        <v>2509</v>
      </c>
      <c r="AK43" s="2434"/>
      <c r="AL43" s="2434"/>
      <c r="AM43" s="2434"/>
      <c r="AN43" s="2434"/>
      <c r="AO43" s="2434" t="s">
        <v>2507</v>
      </c>
      <c r="AP43" s="2434"/>
      <c r="AQ43" s="2434"/>
      <c r="AR43" s="2434"/>
      <c r="AS43" s="2434"/>
      <c r="AT43" s="2434" t="s">
        <v>2508</v>
      </c>
      <c r="AU43" s="2298"/>
      <c r="AV43" s="2298"/>
      <c r="AW43" s="2298"/>
      <c r="AX43" s="2298"/>
      <c r="AY43" s="2298"/>
    </row>
    <row r="44" spans="1:67" outlineLevel="1">
      <c r="A44" s="2607">
        <v>29.9</v>
      </c>
      <c r="B44" s="2608"/>
      <c r="C44" s="2608"/>
      <c r="D44" s="2609"/>
      <c r="E44" s="150"/>
      <c r="F44" s="2610">
        <v>29.9</v>
      </c>
      <c r="G44" s="2610"/>
      <c r="H44" s="2610"/>
      <c r="I44" s="2610"/>
      <c r="J44" s="2610"/>
      <c r="K44" s="106"/>
      <c r="L44" s="952" t="s">
        <v>2510</v>
      </c>
      <c r="M44" s="953">
        <v>20</v>
      </c>
      <c r="S44" s="2599" t="e">
        <f>'[11]原始记录（直阻）'!S39:W39</f>
        <v>#REF!</v>
      </c>
      <c r="T44" s="2599"/>
      <c r="U44" s="2599"/>
      <c r="V44" s="2599"/>
      <c r="W44" s="2599"/>
      <c r="X44" s="2599" t="e">
        <f>'[11]原始记录（直阻）'!X39:AB39</f>
        <v>#REF!</v>
      </c>
      <c r="Y44" s="2599"/>
      <c r="Z44" s="2599"/>
      <c r="AA44" s="2599"/>
      <c r="AB44" s="2599"/>
      <c r="AC44" s="954"/>
      <c r="AE44" s="955" t="s">
        <v>2510</v>
      </c>
      <c r="AF44" s="2590">
        <v>20</v>
      </c>
      <c r="AG44" s="2590"/>
      <c r="AH44" s="638"/>
      <c r="AJ44" s="2599" t="e">
        <f>'[11]原始记录（直阻）'!AJ39:AN39</f>
        <v>#REF!</v>
      </c>
      <c r="AK44" s="2599"/>
      <c r="AL44" s="2599"/>
      <c r="AM44" s="2599"/>
      <c r="AN44" s="2599"/>
      <c r="AO44" s="2599" t="e">
        <f>'[11]原始记录（直阻）'!AO39:AS39</f>
        <v>#REF!</v>
      </c>
      <c r="AP44" s="2599"/>
      <c r="AQ44" s="2599"/>
      <c r="AR44" s="2599"/>
      <c r="AS44" s="2599"/>
      <c r="AT44" s="954"/>
      <c r="AV44" s="955" t="s">
        <v>2510</v>
      </c>
      <c r="AW44" s="2590">
        <v>20</v>
      </c>
      <c r="AX44" s="2590"/>
      <c r="AY44" s="638"/>
    </row>
    <row r="45" spans="1:67" outlineLevel="1">
      <c r="A45" s="803" t="s">
        <v>2511</v>
      </c>
    </row>
  </sheetData>
  <mergeCells count="221">
    <mergeCell ref="D36:F36"/>
    <mergeCell ref="G36:H36"/>
    <mergeCell ref="A33:O33"/>
    <mergeCell ref="O23:O32"/>
    <mergeCell ref="F24:H24"/>
    <mergeCell ref="I24:J24"/>
    <mergeCell ref="K24:L24"/>
    <mergeCell ref="F31:H31"/>
    <mergeCell ref="I31:J31"/>
    <mergeCell ref="K31:L31"/>
    <mergeCell ref="I36:J36"/>
    <mergeCell ref="K36:L36"/>
    <mergeCell ref="M36:N36"/>
    <mergeCell ref="A35:C35"/>
    <mergeCell ref="D35:F35"/>
    <mergeCell ref="G35:H35"/>
    <mergeCell ref="I35:J35"/>
    <mergeCell ref="K35:L35"/>
    <mergeCell ref="M35:N35"/>
    <mergeCell ref="A36:C36"/>
    <mergeCell ref="M31:N31"/>
    <mergeCell ref="F32:H32"/>
    <mergeCell ref="I32:J32"/>
    <mergeCell ref="K32:L32"/>
    <mergeCell ref="M32:N32"/>
    <mergeCell ref="F29:H29"/>
    <mergeCell ref="I29:J29"/>
    <mergeCell ref="K29:L29"/>
    <mergeCell ref="M29:N29"/>
    <mergeCell ref="F30:H30"/>
    <mergeCell ref="M26:N26"/>
    <mergeCell ref="I30:J30"/>
    <mergeCell ref="K30:L30"/>
    <mergeCell ref="M30:N30"/>
    <mergeCell ref="F27:H27"/>
    <mergeCell ref="I27:J27"/>
    <mergeCell ref="K27:L27"/>
    <mergeCell ref="M27:N27"/>
    <mergeCell ref="F28:H28"/>
    <mergeCell ref="I28:J28"/>
    <mergeCell ref="K28:L28"/>
    <mergeCell ref="A2:C2"/>
    <mergeCell ref="A22:C22"/>
    <mergeCell ref="D22:E22"/>
    <mergeCell ref="F22:H22"/>
    <mergeCell ref="I22:J22"/>
    <mergeCell ref="K22:L22"/>
    <mergeCell ref="M22:N22"/>
    <mergeCell ref="A23:A32"/>
    <mergeCell ref="B23:B32"/>
    <mergeCell ref="C23:C32"/>
    <mergeCell ref="D23:E32"/>
    <mergeCell ref="F23:H23"/>
    <mergeCell ref="I23:J23"/>
    <mergeCell ref="K23:L23"/>
    <mergeCell ref="M23:N23"/>
    <mergeCell ref="M28:N28"/>
    <mergeCell ref="M24:N24"/>
    <mergeCell ref="F25:H25"/>
    <mergeCell ref="I25:J25"/>
    <mergeCell ref="K25:L25"/>
    <mergeCell ref="M25:N25"/>
    <mergeCell ref="F26:H26"/>
    <mergeCell ref="I26:J26"/>
    <mergeCell ref="K26:L26"/>
    <mergeCell ref="S19:Y20"/>
    <mergeCell ref="AA19:AL20"/>
    <mergeCell ref="S22:U22"/>
    <mergeCell ref="V22:W22"/>
    <mergeCell ref="X22:Z22"/>
    <mergeCell ref="AA22:AB22"/>
    <mergeCell ref="AC22:AD22"/>
    <mergeCell ref="AE22:AG22"/>
    <mergeCell ref="AI22:AK22"/>
    <mergeCell ref="AL22:AM22"/>
    <mergeCell ref="AN22:AP22"/>
    <mergeCell ref="AQ22:AR22"/>
    <mergeCell ref="AS22:AT22"/>
    <mergeCell ref="AU22:AW22"/>
    <mergeCell ref="S23:S32"/>
    <mergeCell ref="T23:T32"/>
    <mergeCell ref="U23:U32"/>
    <mergeCell ref="V23:W32"/>
    <mergeCell ref="X23:Z23"/>
    <mergeCell ref="AA23:AB23"/>
    <mergeCell ref="AN23:AP23"/>
    <mergeCell ref="AQ23:AR23"/>
    <mergeCell ref="AS23:AT23"/>
    <mergeCell ref="AU23:AW23"/>
    <mergeCell ref="AA26:AB26"/>
    <mergeCell ref="AC26:AD26"/>
    <mergeCell ref="AE26:AG26"/>
    <mergeCell ref="AN26:AP26"/>
    <mergeCell ref="AQ26:AR26"/>
    <mergeCell ref="AS26:AT26"/>
    <mergeCell ref="AU26:AW26"/>
    <mergeCell ref="AS27:AT27"/>
    <mergeCell ref="AU27:AW27"/>
    <mergeCell ref="X28:Z28"/>
    <mergeCell ref="AX23:AX32"/>
    <mergeCell ref="X24:Z24"/>
    <mergeCell ref="AA24:AB24"/>
    <mergeCell ref="AC24:AD24"/>
    <mergeCell ref="AE24:AG24"/>
    <mergeCell ref="AN24:AP24"/>
    <mergeCell ref="AC23:AD23"/>
    <mergeCell ref="AE23:AG23"/>
    <mergeCell ref="AI23:AI32"/>
    <mergeCell ref="AJ23:AJ32"/>
    <mergeCell ref="AK23:AK32"/>
    <mergeCell ref="AL23:AM32"/>
    <mergeCell ref="AQ24:AR24"/>
    <mergeCell ref="AS24:AT24"/>
    <mergeCell ref="AU24:AW24"/>
    <mergeCell ref="X25:Z25"/>
    <mergeCell ref="AA25:AB25"/>
    <mergeCell ref="AC25:AD25"/>
    <mergeCell ref="AE25:AG25"/>
    <mergeCell ref="AN25:AP25"/>
    <mergeCell ref="AQ25:AR25"/>
    <mergeCell ref="AS25:AT25"/>
    <mergeCell ref="AU25:AW25"/>
    <mergeCell ref="X26:Z26"/>
    <mergeCell ref="AA28:AB28"/>
    <mergeCell ref="AC28:AD28"/>
    <mergeCell ref="AE28:AG28"/>
    <mergeCell ref="AN28:AP28"/>
    <mergeCell ref="AQ28:AR28"/>
    <mergeCell ref="AS28:AT28"/>
    <mergeCell ref="AU28:AW28"/>
    <mergeCell ref="X27:Z27"/>
    <mergeCell ref="AA27:AB27"/>
    <mergeCell ref="AC27:AD27"/>
    <mergeCell ref="AE27:AG27"/>
    <mergeCell ref="AN27:AP27"/>
    <mergeCell ref="AQ27:AR27"/>
    <mergeCell ref="AS29:AT29"/>
    <mergeCell ref="AU29:AW29"/>
    <mergeCell ref="X30:Z30"/>
    <mergeCell ref="AA30:AB30"/>
    <mergeCell ref="AC30:AD30"/>
    <mergeCell ref="AE30:AG30"/>
    <mergeCell ref="AN30:AP30"/>
    <mergeCell ref="AQ30:AR30"/>
    <mergeCell ref="AS30:AT30"/>
    <mergeCell ref="AU30:AW30"/>
    <mergeCell ref="X29:Z29"/>
    <mergeCell ref="AA29:AB29"/>
    <mergeCell ref="AC29:AD29"/>
    <mergeCell ref="AE29:AG29"/>
    <mergeCell ref="AN29:AP29"/>
    <mergeCell ref="AQ29:AR29"/>
    <mergeCell ref="X32:Z32"/>
    <mergeCell ref="AA32:AB32"/>
    <mergeCell ref="AC32:AD32"/>
    <mergeCell ref="AE32:AG32"/>
    <mergeCell ref="AN32:AP32"/>
    <mergeCell ref="AQ32:AR32"/>
    <mergeCell ref="X31:Z31"/>
    <mergeCell ref="AA31:AB31"/>
    <mergeCell ref="AC31:AD31"/>
    <mergeCell ref="AE31:AG31"/>
    <mergeCell ref="AN31:AP31"/>
    <mergeCell ref="AQ31:AR31"/>
    <mergeCell ref="AS31:AT31"/>
    <mergeCell ref="AU31:AW31"/>
    <mergeCell ref="AS32:AT32"/>
    <mergeCell ref="AU32:AW32"/>
    <mergeCell ref="AN35:AO35"/>
    <mergeCell ref="AP35:AQ35"/>
    <mergeCell ref="AR35:AS35"/>
    <mergeCell ref="AT35:AU35"/>
    <mergeCell ref="AV35:AW35"/>
    <mergeCell ref="BE35:BI35"/>
    <mergeCell ref="BJ35:BK35"/>
    <mergeCell ref="AJ35:AK35"/>
    <mergeCell ref="AL35:AM35"/>
    <mergeCell ref="BL35:BN35"/>
    <mergeCell ref="AZ35:BD35"/>
    <mergeCell ref="BL36:BN36"/>
    <mergeCell ref="BJ36:BK36"/>
    <mergeCell ref="BE36:BI36"/>
    <mergeCell ref="AN36:AO36"/>
    <mergeCell ref="AJ36:AK36"/>
    <mergeCell ref="AE38:AF38"/>
    <mergeCell ref="AP36:AQ36"/>
    <mergeCell ref="AZ36:BD36"/>
    <mergeCell ref="AR36:AS36"/>
    <mergeCell ref="AT36:AU36"/>
    <mergeCell ref="S38:T38"/>
    <mergeCell ref="U38:V38"/>
    <mergeCell ref="W38:X38"/>
    <mergeCell ref="Y38:Z38"/>
    <mergeCell ref="AA38:AB38"/>
    <mergeCell ref="AL36:AM36"/>
    <mergeCell ref="AC38:AD38"/>
    <mergeCell ref="AV36:AW36"/>
    <mergeCell ref="A43:D43"/>
    <mergeCell ref="F43:J43"/>
    <mergeCell ref="K43:N43"/>
    <mergeCell ref="S43:W43"/>
    <mergeCell ref="X43:AB43"/>
    <mergeCell ref="AC43:AH43"/>
    <mergeCell ref="S39:T39"/>
    <mergeCell ref="U39:V39"/>
    <mergeCell ref="A44:D44"/>
    <mergeCell ref="F44:J44"/>
    <mergeCell ref="S44:W44"/>
    <mergeCell ref="X44:AB44"/>
    <mergeCell ref="AF44:AG44"/>
    <mergeCell ref="AW44:AX44"/>
    <mergeCell ref="AJ43:AN43"/>
    <mergeCell ref="AO43:AS43"/>
    <mergeCell ref="AT43:AY43"/>
    <mergeCell ref="W39:X39"/>
    <mergeCell ref="Y39:Z39"/>
    <mergeCell ref="AA39:AB39"/>
    <mergeCell ref="AC39:AD39"/>
    <mergeCell ref="AO44:AS44"/>
    <mergeCell ref="AE39:AF39"/>
    <mergeCell ref="AJ44:AN44"/>
  </mergeCells>
  <phoneticPr fontId="25" type="noConversion"/>
  <conditionalFormatting sqref="K23:L32">
    <cfRule type="expression" dxfId="67" priority="3" stopIfTrue="1">
      <formula>ABS($K23)&gt;$M23</formula>
    </cfRule>
  </conditionalFormatting>
  <conditionalFormatting sqref="AC23:AD32">
    <cfRule type="expression" dxfId="66" priority="2" stopIfTrue="1">
      <formula>ABS($K23)&gt;$M23</formula>
    </cfRule>
  </conditionalFormatting>
  <conditionalFormatting sqref="AS23:AT32">
    <cfRule type="expression" dxfId="65" priority="1" stopIfTrue="1">
      <formula>ABS($K23)&gt;$M23</formula>
    </cfRule>
  </conditionalFormatting>
  <pageMargins left="0.75" right="0.75" top="1" bottom="1" header="0.5" footer="0.5"/>
  <drawing r:id="rId1"/>
  <legacyDrawing r:id="rId2"/>
</worksheet>
</file>

<file path=xl/worksheets/sheet40.xml><?xml version="1.0" encoding="utf-8"?>
<worksheet xmlns="http://schemas.openxmlformats.org/spreadsheetml/2006/main" xmlns:r="http://schemas.openxmlformats.org/officeDocument/2006/relationships">
  <dimension ref="B3:V40"/>
  <sheetViews>
    <sheetView topLeftCell="A22" workbookViewId="0"/>
  </sheetViews>
  <sheetFormatPr defaultRowHeight="14.25"/>
  <sheetData>
    <row r="3" spans="2:21">
      <c r="C3" s="454" t="s">
        <v>1165</v>
      </c>
      <c r="D3" s="506" t="s">
        <v>1197</v>
      </c>
      <c r="E3" s="2704" t="s">
        <v>1198</v>
      </c>
      <c r="F3" s="2704"/>
      <c r="G3" s="507"/>
      <c r="H3" s="8"/>
      <c r="I3" s="315"/>
      <c r="J3" s="315"/>
      <c r="K3" s="315"/>
      <c r="L3" s="315"/>
      <c r="M3" s="315"/>
      <c r="N3" s="508"/>
      <c r="O3" s="508"/>
      <c r="P3" s="508"/>
      <c r="Q3" s="508"/>
      <c r="R3" s="508"/>
      <c r="S3" s="508"/>
      <c r="T3" s="508"/>
    </row>
    <row r="4" spans="2:21">
      <c r="C4" s="13"/>
      <c r="D4" s="509"/>
      <c r="E4" s="395"/>
      <c r="F4" s="395"/>
      <c r="G4" s="395"/>
      <c r="H4" s="496"/>
      <c r="I4" s="315"/>
      <c r="J4" s="315"/>
      <c r="K4" s="315"/>
      <c r="L4" s="315"/>
      <c r="M4" s="315"/>
      <c r="N4" s="13"/>
      <c r="O4" s="13"/>
      <c r="P4" s="13"/>
      <c r="Q4" s="13"/>
      <c r="R4" s="13"/>
      <c r="S4" s="13"/>
      <c r="T4" s="13"/>
    </row>
    <row r="5" spans="2:21">
      <c r="C5" s="13"/>
      <c r="D5" s="510" t="s">
        <v>1167</v>
      </c>
      <c r="E5" s="13"/>
      <c r="F5" s="13" t="s">
        <v>1168</v>
      </c>
      <c r="G5" s="13"/>
      <c r="H5" s="13"/>
      <c r="I5" s="13"/>
      <c r="J5" s="13"/>
      <c r="K5" s="13"/>
      <c r="L5" s="13"/>
      <c r="M5" s="13"/>
      <c r="N5" s="13"/>
      <c r="O5" s="13"/>
      <c r="P5" s="13"/>
      <c r="Q5" s="13"/>
      <c r="R5" s="13"/>
      <c r="S5" s="13"/>
      <c r="T5" s="13"/>
    </row>
    <row r="6" spans="2:21">
      <c r="C6" s="13"/>
      <c r="D6" s="510"/>
      <c r="E6" s="510" t="s">
        <v>1199</v>
      </c>
      <c r="F6" s="510">
        <v>10</v>
      </c>
      <c r="G6" s="510" t="s">
        <v>1236</v>
      </c>
      <c r="H6" s="13"/>
      <c r="I6" s="13"/>
      <c r="J6" s="13"/>
      <c r="K6" s="13"/>
      <c r="L6" s="13"/>
      <c r="M6" s="13"/>
      <c r="N6" s="13"/>
      <c r="O6" s="13"/>
      <c r="P6" s="13"/>
      <c r="Q6" s="13"/>
      <c r="R6" s="13"/>
      <c r="S6" s="13"/>
      <c r="T6" s="13"/>
    </row>
    <row r="7" spans="2:21" ht="15.75">
      <c r="C7" s="13"/>
      <c r="D7" s="347" t="s">
        <v>1201</v>
      </c>
      <c r="E7" s="347" t="s">
        <v>1202</v>
      </c>
      <c r="F7" s="347" t="s">
        <v>1203</v>
      </c>
      <c r="G7" s="347" t="s">
        <v>1204</v>
      </c>
      <c r="H7" s="347" t="s">
        <v>1205</v>
      </c>
      <c r="I7" s="347" t="s">
        <v>1206</v>
      </c>
      <c r="J7" s="347" t="s">
        <v>1207</v>
      </c>
      <c r="K7" s="348" t="s">
        <v>1208</v>
      </c>
      <c r="L7" s="348" t="s">
        <v>1209</v>
      </c>
      <c r="M7" s="347" t="s">
        <v>1210</v>
      </c>
      <c r="N7" s="13"/>
      <c r="O7" s="13"/>
      <c r="P7" s="13"/>
      <c r="Q7" s="13"/>
      <c r="R7" s="13"/>
      <c r="S7" s="13"/>
      <c r="T7" s="13"/>
    </row>
    <row r="8" spans="2:21">
      <c r="C8" s="13"/>
      <c r="D8" s="523">
        <v>9.9969999999999999</v>
      </c>
      <c r="E8" s="523">
        <v>10</v>
      </c>
      <c r="F8" s="524">
        <v>9.9979999999999993</v>
      </c>
      <c r="G8" s="525">
        <v>10</v>
      </c>
      <c r="H8" s="524">
        <v>9.9990000000000006</v>
      </c>
      <c r="I8" s="523">
        <v>9.9979999999999993</v>
      </c>
      <c r="J8" s="524">
        <v>9.9969999999999999</v>
      </c>
      <c r="K8" s="525">
        <v>9.9979999999999993</v>
      </c>
      <c r="L8" s="524">
        <v>9.9990000000000006</v>
      </c>
      <c r="M8" s="524">
        <v>9.9969999999999999</v>
      </c>
      <c r="N8" s="13"/>
      <c r="O8" s="13"/>
      <c r="P8" s="13"/>
      <c r="Q8" s="13"/>
      <c r="R8" s="13"/>
      <c r="S8" s="13"/>
      <c r="T8" s="13"/>
    </row>
    <row r="9" spans="2:21" ht="18.75">
      <c r="C9" s="13"/>
      <c r="D9" s="394" t="s">
        <v>1211</v>
      </c>
      <c r="E9" s="2705">
        <f>STDEV(D8:M8)/F6</f>
        <v>1.1595018087285803E-4</v>
      </c>
      <c r="F9" s="2706"/>
      <c r="G9" s="2706"/>
      <c r="H9" s="2706"/>
      <c r="I9" s="2706"/>
      <c r="J9" s="2706"/>
      <c r="K9" s="2706"/>
      <c r="L9" s="2706"/>
      <c r="M9" s="2707"/>
      <c r="N9" s="13"/>
      <c r="O9" s="13"/>
      <c r="P9" s="13"/>
      <c r="Q9" s="13"/>
      <c r="R9" s="13"/>
      <c r="S9" s="13"/>
      <c r="T9" s="13"/>
    </row>
    <row r="11" spans="2:21">
      <c r="C11" s="512" t="s">
        <v>1212</v>
      </c>
      <c r="D11" s="153" t="s">
        <v>1213</v>
      </c>
    </row>
    <row r="13" spans="2:21">
      <c r="B13" s="513" t="s">
        <v>1214</v>
      </c>
      <c r="C13" s="2708" t="s">
        <v>1215</v>
      </c>
      <c r="D13" s="2709"/>
      <c r="E13" s="2709"/>
      <c r="F13" s="2709"/>
      <c r="G13" s="2709"/>
      <c r="H13" s="2709"/>
      <c r="I13" s="2709"/>
      <c r="J13" s="2710"/>
      <c r="K13" s="2711" t="s">
        <v>1216</v>
      </c>
      <c r="L13" s="2711"/>
      <c r="M13" s="2711" t="s">
        <v>1217</v>
      </c>
      <c r="N13" s="2711"/>
      <c r="O13" s="2711"/>
      <c r="P13" s="2712" t="s">
        <v>1218</v>
      </c>
      <c r="Q13" s="2712"/>
      <c r="R13" s="2712" t="s">
        <v>1219</v>
      </c>
      <c r="S13" s="2711"/>
      <c r="T13" s="2711"/>
      <c r="U13" s="2711"/>
    </row>
    <row r="14" spans="2:21">
      <c r="B14" s="513">
        <v>1</v>
      </c>
      <c r="C14" s="2713" t="s">
        <v>1220</v>
      </c>
      <c r="D14" s="2714"/>
      <c r="E14" s="2714"/>
      <c r="F14" s="2714"/>
      <c r="G14" s="2714"/>
      <c r="H14" s="2714"/>
      <c r="I14" s="2714"/>
      <c r="J14" s="2715"/>
      <c r="K14" s="2716">
        <v>5.3E-3</v>
      </c>
      <c r="L14" s="2716"/>
      <c r="M14" s="2713" t="s">
        <v>1221</v>
      </c>
      <c r="N14" s="2714"/>
      <c r="O14" s="2715"/>
      <c r="R14" s="2717">
        <f>K14/SQRT(3)</f>
        <v>3.0599564267050168E-3</v>
      </c>
      <c r="S14" s="2718"/>
      <c r="T14" s="2718"/>
      <c r="U14" s="2719"/>
    </row>
    <row r="15" spans="2:21">
      <c r="B15" s="513">
        <v>2</v>
      </c>
      <c r="C15" s="2708" t="s">
        <v>1222</v>
      </c>
      <c r="D15" s="2709"/>
      <c r="E15" s="2709"/>
      <c r="F15" s="2709"/>
      <c r="G15" s="2709"/>
      <c r="H15" s="2709"/>
      <c r="I15" s="2709"/>
      <c r="J15" s="2710"/>
      <c r="K15" s="2720">
        <v>1E-3</v>
      </c>
      <c r="L15" s="2720"/>
      <c r="M15" s="2713" t="s">
        <v>1223</v>
      </c>
      <c r="N15" s="2714"/>
      <c r="O15" s="2715"/>
      <c r="P15" s="2711">
        <v>3</v>
      </c>
      <c r="Q15" s="2711"/>
      <c r="R15" s="2717">
        <f>K15/P15</f>
        <v>3.3333333333333332E-4</v>
      </c>
      <c r="S15" s="2718"/>
      <c r="T15" s="2718"/>
      <c r="U15" s="2719"/>
    </row>
    <row r="16" spans="2:21">
      <c r="B16" s="516" t="s">
        <v>1224</v>
      </c>
      <c r="C16" s="516"/>
      <c r="D16" s="516"/>
      <c r="E16" s="2721">
        <f>SQRT(SUMSQ(R14:U15))/F6</f>
        <v>3.0780585511722234E-4</v>
      </c>
      <c r="F16" s="2721"/>
      <c r="G16" s="2721"/>
      <c r="H16" s="2721"/>
      <c r="I16" s="2721"/>
      <c r="J16" s="2721"/>
      <c r="K16" s="2721"/>
      <c r="L16" s="2721"/>
      <c r="M16" s="2721"/>
      <c r="N16" s="2721"/>
      <c r="O16" s="2721"/>
      <c r="P16" s="2721"/>
      <c r="Q16" s="2721"/>
      <c r="R16" s="2721"/>
      <c r="S16" s="2721"/>
      <c r="T16" s="2721"/>
      <c r="U16" s="2721"/>
    </row>
    <row r="17" spans="3:21" ht="15.75">
      <c r="C17" s="505" t="s">
        <v>1225</v>
      </c>
      <c r="E17" s="526"/>
      <c r="F17" s="527"/>
      <c r="G17" s="528"/>
      <c r="H17" s="528"/>
    </row>
    <row r="18" spans="3:21" ht="18.75">
      <c r="C18" s="529"/>
      <c r="D18" s="517"/>
      <c r="E18" s="516" t="s">
        <v>1226</v>
      </c>
      <c r="F18" s="2722">
        <f>SQRT(SUMSQ(E9,E16))</f>
        <v>3.2892079424823989E-4</v>
      </c>
      <c r="G18" s="2722"/>
      <c r="H18" s="2722"/>
    </row>
    <row r="19" spans="3:21" ht="15.75">
      <c r="C19" s="505" t="s">
        <v>1227</v>
      </c>
      <c r="D19" s="28"/>
      <c r="E19" s="526"/>
      <c r="F19" s="527"/>
      <c r="G19" s="528"/>
      <c r="H19" s="528"/>
    </row>
    <row r="20" spans="3:21">
      <c r="C20" s="518" t="s">
        <v>1228</v>
      </c>
      <c r="D20" s="392">
        <f>F18*2</f>
        <v>6.5784158849647978E-4</v>
      </c>
      <c r="E20" s="527"/>
      <c r="F20" s="527"/>
      <c r="G20" s="527"/>
      <c r="H20" s="527"/>
    </row>
    <row r="23" spans="3:21">
      <c r="D23" s="530" t="s">
        <v>1229</v>
      </c>
      <c r="E23" s="435" t="s">
        <v>1197</v>
      </c>
      <c r="F23" s="2704" t="s">
        <v>1237</v>
      </c>
      <c r="G23" s="2704"/>
      <c r="H23" s="507"/>
      <c r="I23" s="8"/>
      <c r="J23" s="315"/>
      <c r="K23" s="315"/>
      <c r="L23" s="315"/>
      <c r="M23" s="315"/>
      <c r="N23" s="315"/>
      <c r="O23" s="508"/>
      <c r="P23" s="508"/>
      <c r="Q23" s="508"/>
      <c r="R23" s="508"/>
      <c r="S23" s="508"/>
      <c r="T23" s="508"/>
      <c r="U23" s="508"/>
    </row>
    <row r="24" spans="3:21">
      <c r="D24" s="13"/>
      <c r="E24" s="509"/>
      <c r="F24" s="395"/>
      <c r="G24" s="395"/>
      <c r="H24" s="395"/>
      <c r="I24" s="496"/>
      <c r="J24" s="315"/>
      <c r="K24" s="315"/>
      <c r="L24" s="315"/>
      <c r="M24" s="315"/>
      <c r="N24" s="315"/>
      <c r="O24" s="13"/>
      <c r="P24" s="13"/>
      <c r="Q24" s="13"/>
      <c r="R24" s="13"/>
      <c r="S24" s="13"/>
      <c r="T24" s="13"/>
      <c r="U24" s="13"/>
    </row>
    <row r="25" spans="3:21">
      <c r="D25" s="13"/>
      <c r="E25" s="510" t="s">
        <v>1230</v>
      </c>
      <c r="F25" s="13"/>
      <c r="G25" s="13" t="s">
        <v>1231</v>
      </c>
      <c r="H25" s="13"/>
      <c r="I25" s="13"/>
      <c r="J25" s="13"/>
      <c r="K25" s="13"/>
      <c r="L25" s="13"/>
      <c r="M25" s="13"/>
      <c r="N25" s="13"/>
      <c r="O25" s="13"/>
      <c r="P25" s="13"/>
      <c r="Q25" s="13"/>
      <c r="R25" s="13"/>
      <c r="S25" s="13"/>
      <c r="T25" s="13"/>
      <c r="U25" s="13"/>
    </row>
    <row r="26" spans="3:21">
      <c r="D26" s="13"/>
      <c r="E26" s="510"/>
      <c r="F26" s="510" t="s">
        <v>1232</v>
      </c>
      <c r="G26" s="510">
        <v>10</v>
      </c>
      <c r="H26" s="510" t="s">
        <v>1233</v>
      </c>
      <c r="I26" s="13"/>
      <c r="J26" s="13"/>
      <c r="K26" s="13"/>
      <c r="L26" s="13"/>
      <c r="M26" s="13"/>
      <c r="N26" s="13"/>
      <c r="O26" s="13"/>
      <c r="P26" s="13"/>
      <c r="Q26" s="13"/>
      <c r="R26" s="13"/>
      <c r="S26" s="13"/>
      <c r="T26" s="13"/>
      <c r="U26" s="13"/>
    </row>
    <row r="27" spans="3:21" ht="15.75">
      <c r="D27" s="13"/>
      <c r="E27" s="347" t="s">
        <v>1234</v>
      </c>
      <c r="F27" s="347" t="s">
        <v>1202</v>
      </c>
      <c r="G27" s="347" t="s">
        <v>1203</v>
      </c>
      <c r="H27" s="347" t="s">
        <v>1204</v>
      </c>
      <c r="I27" s="347" t="s">
        <v>1205</v>
      </c>
      <c r="J27" s="347" t="s">
        <v>1206</v>
      </c>
      <c r="K27" s="347" t="s">
        <v>1207</v>
      </c>
      <c r="L27" s="348" t="s">
        <v>1208</v>
      </c>
      <c r="M27" s="348" t="s">
        <v>1209</v>
      </c>
      <c r="N27" s="347" t="s">
        <v>1210</v>
      </c>
      <c r="O27" s="13"/>
      <c r="P27" s="13"/>
      <c r="Q27" s="13"/>
      <c r="R27" s="13"/>
      <c r="S27" s="13"/>
      <c r="T27" s="13"/>
      <c r="U27" s="13"/>
    </row>
    <row r="28" spans="3:21">
      <c r="D28" s="13"/>
      <c r="E28" s="531">
        <v>10.067</v>
      </c>
      <c r="F28" s="531">
        <v>10.066000000000001</v>
      </c>
      <c r="G28" s="532">
        <v>10.067</v>
      </c>
      <c r="H28" s="533">
        <v>10.0616</v>
      </c>
      <c r="I28" s="532">
        <v>10.065</v>
      </c>
      <c r="J28" s="531">
        <v>10.06</v>
      </c>
      <c r="K28" s="532">
        <v>10.066000000000001</v>
      </c>
      <c r="L28" s="533">
        <v>10.074</v>
      </c>
      <c r="M28" s="532">
        <v>10.065</v>
      </c>
      <c r="N28" s="532">
        <v>10.074</v>
      </c>
      <c r="O28" s="13"/>
      <c r="P28" s="13"/>
      <c r="Q28" s="13"/>
      <c r="R28" s="13"/>
      <c r="S28" s="13"/>
      <c r="T28" s="13"/>
      <c r="U28" s="13"/>
    </row>
    <row r="29" spans="3:21" ht="18.75">
      <c r="D29" s="13"/>
      <c r="E29" s="394" t="s">
        <v>1211</v>
      </c>
      <c r="F29" s="2705">
        <f>STDEV(E28:N28)/G26</f>
        <v>4.5243047347998051E-4</v>
      </c>
      <c r="G29" s="2706"/>
      <c r="H29" s="2706"/>
      <c r="I29" s="2706"/>
      <c r="J29" s="2706"/>
      <c r="K29" s="2706"/>
      <c r="L29" s="2706"/>
      <c r="M29" s="2706"/>
      <c r="N29" s="2707"/>
      <c r="O29" s="13"/>
      <c r="P29" s="13"/>
      <c r="Q29" s="13"/>
      <c r="R29" s="13"/>
      <c r="S29" s="13"/>
      <c r="T29" s="13"/>
      <c r="U29" s="13"/>
    </row>
    <row r="31" spans="3:21">
      <c r="D31" s="512" t="s">
        <v>1212</v>
      </c>
      <c r="E31" s="153" t="s">
        <v>1213</v>
      </c>
    </row>
    <row r="33" spans="3:22">
      <c r="C33" s="513" t="s">
        <v>1214</v>
      </c>
      <c r="D33" s="2708" t="s">
        <v>1215</v>
      </c>
      <c r="E33" s="2709"/>
      <c r="F33" s="2709"/>
      <c r="G33" s="2709"/>
      <c r="H33" s="2709"/>
      <c r="I33" s="2709"/>
      <c r="J33" s="2709"/>
      <c r="K33" s="2710"/>
      <c r="L33" s="2711" t="s">
        <v>1216</v>
      </c>
      <c r="M33" s="2711"/>
      <c r="N33" s="2711" t="s">
        <v>1217</v>
      </c>
      <c r="O33" s="2711"/>
      <c r="P33" s="2711"/>
      <c r="Q33" s="2712" t="s">
        <v>1218</v>
      </c>
      <c r="R33" s="2712"/>
      <c r="S33" s="2712" t="s">
        <v>1219</v>
      </c>
      <c r="T33" s="2711"/>
      <c r="U33" s="2711"/>
      <c r="V33" s="2711"/>
    </row>
    <row r="34" spans="3:22">
      <c r="C34" s="513">
        <v>1</v>
      </c>
      <c r="D34" s="2713" t="s">
        <v>1235</v>
      </c>
      <c r="E34" s="2714"/>
      <c r="F34" s="2714"/>
      <c r="G34" s="2714"/>
      <c r="H34" s="2714"/>
      <c r="I34" s="2714"/>
      <c r="J34" s="2714"/>
      <c r="K34" s="2715"/>
      <c r="L34" s="2720">
        <v>6.0000000000000001E-3</v>
      </c>
      <c r="M34" s="2720"/>
      <c r="N34" s="2713" t="s">
        <v>1221</v>
      </c>
      <c r="O34" s="2714"/>
      <c r="P34" s="2715"/>
      <c r="S34" s="2717">
        <f>L34/SQRT(3)</f>
        <v>3.4641016151377548E-3</v>
      </c>
      <c r="T34" s="2718"/>
      <c r="U34" s="2718"/>
      <c r="V34" s="2719"/>
    </row>
    <row r="35" spans="3:22">
      <c r="C35" s="513">
        <v>2</v>
      </c>
      <c r="D35" s="2708" t="s">
        <v>1222</v>
      </c>
      <c r="E35" s="2709"/>
      <c r="F35" s="2709"/>
      <c r="G35" s="2709"/>
      <c r="H35" s="2709"/>
      <c r="I35" s="2709"/>
      <c r="J35" s="2709"/>
      <c r="K35" s="2710"/>
      <c r="L35" s="2720">
        <v>2E-3</v>
      </c>
      <c r="M35" s="2720"/>
      <c r="N35" s="2713" t="s">
        <v>1223</v>
      </c>
      <c r="O35" s="2714"/>
      <c r="P35" s="2715"/>
      <c r="Q35" s="2711">
        <v>3</v>
      </c>
      <c r="R35" s="2711"/>
      <c r="S35" s="2717">
        <f>L35/Q35</f>
        <v>6.6666666666666664E-4</v>
      </c>
      <c r="T35" s="2718"/>
      <c r="U35" s="2718"/>
      <c r="V35" s="2719"/>
    </row>
    <row r="36" spans="3:22">
      <c r="C36" s="516" t="s">
        <v>1224</v>
      </c>
      <c r="D36" s="516"/>
      <c r="E36" s="516"/>
      <c r="F36" s="2721">
        <f>SQRT(SUMSQ(S34:V35))/G26</f>
        <v>3.5276684147527874E-4</v>
      </c>
      <c r="G36" s="2721"/>
      <c r="H36" s="2721"/>
      <c r="I36" s="2721"/>
      <c r="J36" s="2721"/>
      <c r="K36" s="2721"/>
      <c r="L36" s="2721"/>
      <c r="M36" s="2721"/>
      <c r="N36" s="2721"/>
      <c r="O36" s="2721"/>
      <c r="P36" s="2721"/>
      <c r="Q36" s="2721"/>
      <c r="R36" s="2721"/>
      <c r="S36" s="2721"/>
      <c r="T36" s="2721"/>
      <c r="U36" s="2721"/>
      <c r="V36" s="2721"/>
    </row>
    <row r="37" spans="3:22" ht="15.75">
      <c r="D37" s="505" t="s">
        <v>1225</v>
      </c>
      <c r="F37" s="526"/>
      <c r="G37" s="527"/>
      <c r="H37" s="528"/>
      <c r="I37" s="528"/>
    </row>
    <row r="38" spans="3:22" ht="18.75">
      <c r="D38" s="529"/>
      <c r="E38" s="517"/>
      <c r="F38" s="516" t="s">
        <v>1226</v>
      </c>
      <c r="G38" s="2722">
        <f>SQRT(SUMSQ(F29,F36))</f>
        <v>5.7370530569079091E-4</v>
      </c>
      <c r="H38" s="2722"/>
      <c r="I38" s="2722"/>
    </row>
    <row r="39" spans="3:22" ht="15.75">
      <c r="D39" s="505" t="s">
        <v>1227</v>
      </c>
      <c r="E39" s="28"/>
      <c r="F39" s="526"/>
      <c r="G39" s="527"/>
      <c r="H39" s="528"/>
      <c r="I39" s="528"/>
    </row>
    <row r="40" spans="3:22">
      <c r="D40" s="518" t="s">
        <v>1228</v>
      </c>
      <c r="E40" s="392">
        <f>G38*2</f>
        <v>1.1474106113815818E-3</v>
      </c>
      <c r="F40" s="527"/>
      <c r="G40" s="527"/>
      <c r="H40" s="527"/>
      <c r="I40" s="527"/>
    </row>
  </sheetData>
  <mergeCells count="36">
    <mergeCell ref="F36:V36"/>
    <mergeCell ref="G38:I38"/>
    <mergeCell ref="D34:K34"/>
    <mergeCell ref="L34:M34"/>
    <mergeCell ref="N34:P34"/>
    <mergeCell ref="S34:V34"/>
    <mergeCell ref="D35:K35"/>
    <mergeCell ref="L35:M35"/>
    <mergeCell ref="N35:P35"/>
    <mergeCell ref="Q35:R35"/>
    <mergeCell ref="S35:V35"/>
    <mergeCell ref="E16:U16"/>
    <mergeCell ref="F18:H18"/>
    <mergeCell ref="F23:G23"/>
    <mergeCell ref="F29:N29"/>
    <mergeCell ref="D33:K33"/>
    <mergeCell ref="L33:M33"/>
    <mergeCell ref="N33:P33"/>
    <mergeCell ref="Q33:R33"/>
    <mergeCell ref="S33:V33"/>
    <mergeCell ref="C15:J15"/>
    <mergeCell ref="K15:L15"/>
    <mergeCell ref="M15:O15"/>
    <mergeCell ref="P15:Q15"/>
    <mergeCell ref="R15:U15"/>
    <mergeCell ref="P13:Q13"/>
    <mergeCell ref="R13:U13"/>
    <mergeCell ref="C14:J14"/>
    <mergeCell ref="K14:L14"/>
    <mergeCell ref="M14:O14"/>
    <mergeCell ref="R14:U14"/>
    <mergeCell ref="E3:F3"/>
    <mergeCell ref="E9:M9"/>
    <mergeCell ref="C13:J13"/>
    <mergeCell ref="K13:L13"/>
    <mergeCell ref="M13:O13"/>
  </mergeCells>
  <phoneticPr fontId="107" type="noConversion"/>
  <pageMargins left="0.75" right="0.75" top="1" bottom="1" header="0.5" footer="0.5"/>
  <legacyDrawing r:id="rId1"/>
  <oleObjects>
    <oleObject progId="Equation.3" shapeId="117761" r:id="rId2"/>
    <oleObject progId="Equation.3" shapeId="117762" r:id="rId3"/>
  </oleObjects>
</worksheet>
</file>

<file path=xl/worksheets/sheet41.xml><?xml version="1.0" encoding="utf-8"?>
<worksheet xmlns="http://schemas.openxmlformats.org/spreadsheetml/2006/main" xmlns:r="http://schemas.openxmlformats.org/officeDocument/2006/relationships">
  <dimension ref="C2:W39"/>
  <sheetViews>
    <sheetView workbookViewId="0"/>
  </sheetViews>
  <sheetFormatPr defaultRowHeight="14.25"/>
  <sheetData>
    <row r="2" spans="3:22">
      <c r="D2" s="454" t="s">
        <v>1165</v>
      </c>
      <c r="E2" s="506" t="s">
        <v>1197</v>
      </c>
      <c r="F2" s="2704" t="s">
        <v>1238</v>
      </c>
      <c r="G2" s="2704"/>
      <c r="H2" s="507"/>
      <c r="I2" s="8"/>
      <c r="J2" s="315"/>
      <c r="K2" s="315"/>
      <c r="L2" s="315"/>
      <c r="M2" s="315"/>
      <c r="N2" s="315"/>
      <c r="O2" s="508"/>
      <c r="P2" s="508"/>
      <c r="Q2" s="508"/>
      <c r="R2" s="508"/>
      <c r="S2" s="508"/>
      <c r="T2" s="508"/>
      <c r="U2" s="508"/>
    </row>
    <row r="3" spans="3:22">
      <c r="D3" s="13"/>
      <c r="E3" s="509"/>
      <c r="F3" s="395"/>
      <c r="G3" s="395"/>
      <c r="H3" s="395"/>
      <c r="I3" s="496"/>
      <c r="J3" s="315"/>
      <c r="K3" s="315"/>
      <c r="L3" s="315"/>
      <c r="M3" s="315"/>
      <c r="N3" s="315"/>
      <c r="O3" s="13"/>
      <c r="P3" s="13"/>
      <c r="Q3" s="13"/>
      <c r="R3" s="13"/>
      <c r="S3" s="13"/>
      <c r="T3" s="13"/>
      <c r="U3" s="13"/>
    </row>
    <row r="4" spans="3:22">
      <c r="D4" s="13"/>
      <c r="E4" s="510" t="s">
        <v>1167</v>
      </c>
      <c r="F4" s="13"/>
      <c r="G4" s="13" t="s">
        <v>1168</v>
      </c>
      <c r="H4" s="13"/>
      <c r="I4" s="13"/>
      <c r="J4" s="13"/>
      <c r="K4" s="13"/>
      <c r="L4" s="13"/>
      <c r="M4" s="13"/>
      <c r="N4" s="13"/>
      <c r="O4" s="13"/>
      <c r="P4" s="13"/>
      <c r="Q4" s="13"/>
      <c r="R4" s="13"/>
      <c r="S4" s="13"/>
      <c r="T4" s="13"/>
      <c r="U4" s="13"/>
    </row>
    <row r="5" spans="3:22">
      <c r="D5" s="13"/>
      <c r="E5" s="510"/>
      <c r="F5" s="510" t="s">
        <v>1199</v>
      </c>
      <c r="G5" s="510">
        <v>10</v>
      </c>
      <c r="H5" s="510" t="s">
        <v>1200</v>
      </c>
      <c r="I5" s="13"/>
      <c r="J5" s="13"/>
      <c r="K5" s="13"/>
      <c r="L5" s="13"/>
      <c r="M5" s="13"/>
      <c r="N5" s="13"/>
      <c r="O5" s="13"/>
      <c r="P5" s="13"/>
      <c r="Q5" s="13"/>
      <c r="R5" s="13"/>
      <c r="S5" s="13"/>
      <c r="T5" s="13"/>
      <c r="U5" s="13"/>
    </row>
    <row r="6" spans="3:22" ht="15.75">
      <c r="D6" s="13"/>
      <c r="E6" s="347" t="s">
        <v>1239</v>
      </c>
      <c r="F6" s="347" t="s">
        <v>1240</v>
      </c>
      <c r="G6" s="347" t="s">
        <v>1241</v>
      </c>
      <c r="H6" s="347" t="s">
        <v>1242</v>
      </c>
      <c r="I6" s="347" t="s">
        <v>1243</v>
      </c>
      <c r="J6" s="347" t="s">
        <v>1244</v>
      </c>
      <c r="K6" s="347" t="s">
        <v>1245</v>
      </c>
      <c r="L6" s="348" t="s">
        <v>1246</v>
      </c>
      <c r="M6" s="348" t="s">
        <v>1247</v>
      </c>
      <c r="N6" s="347" t="s">
        <v>1248</v>
      </c>
      <c r="O6" s="13"/>
      <c r="P6" s="13"/>
      <c r="Q6" s="13"/>
      <c r="R6" s="13"/>
      <c r="S6" s="13"/>
      <c r="T6" s="13"/>
      <c r="U6" s="13"/>
    </row>
    <row r="7" spans="3:22">
      <c r="D7" s="13"/>
      <c r="E7" s="523">
        <v>9.9969999999999999</v>
      </c>
      <c r="F7" s="523">
        <v>10</v>
      </c>
      <c r="G7" s="524">
        <v>9.9979999999999993</v>
      </c>
      <c r="H7" s="525">
        <v>10</v>
      </c>
      <c r="I7" s="524">
        <v>9.9990000000000006</v>
      </c>
      <c r="J7" s="523">
        <v>9.9979999999999993</v>
      </c>
      <c r="K7" s="524">
        <v>9.9969999999999999</v>
      </c>
      <c r="L7" s="525">
        <v>9.9979999999999993</v>
      </c>
      <c r="M7" s="524">
        <v>9.9990000000000006</v>
      </c>
      <c r="N7" s="524">
        <v>9.9969999999999999</v>
      </c>
      <c r="O7" s="13"/>
      <c r="P7" s="13"/>
      <c r="Q7" s="13"/>
      <c r="R7" s="13"/>
      <c r="S7" s="13"/>
      <c r="T7" s="13"/>
      <c r="U7" s="13"/>
    </row>
    <row r="8" spans="3:22" ht="18.75">
      <c r="D8" s="13"/>
      <c r="E8" s="394" t="s">
        <v>1174</v>
      </c>
      <c r="F8" s="2705">
        <f>STDEV(E7:N7)/G5</f>
        <v>1.1595018087285803E-4</v>
      </c>
      <c r="G8" s="2706"/>
      <c r="H8" s="2706"/>
      <c r="I8" s="2706"/>
      <c r="J8" s="2706"/>
      <c r="K8" s="2706"/>
      <c r="L8" s="2706"/>
      <c r="M8" s="2706"/>
      <c r="N8" s="2707"/>
      <c r="O8" s="13"/>
      <c r="P8" s="13"/>
      <c r="Q8" s="13"/>
      <c r="R8" s="13"/>
      <c r="S8" s="13"/>
      <c r="T8" s="13"/>
      <c r="U8" s="13"/>
    </row>
    <row r="10" spans="3:22">
      <c r="D10" s="512" t="s">
        <v>1175</v>
      </c>
      <c r="E10" s="153" t="s">
        <v>1176</v>
      </c>
    </row>
    <row r="12" spans="3:22">
      <c r="C12" s="513" t="s">
        <v>1177</v>
      </c>
      <c r="D12" s="2708" t="s">
        <v>1178</v>
      </c>
      <c r="E12" s="2709"/>
      <c r="F12" s="2709"/>
      <c r="G12" s="2709"/>
      <c r="H12" s="2709"/>
      <c r="I12" s="2709"/>
      <c r="J12" s="2709"/>
      <c r="K12" s="2710"/>
      <c r="L12" s="2711" t="s">
        <v>1249</v>
      </c>
      <c r="M12" s="2711"/>
      <c r="N12" s="2711" t="s">
        <v>1180</v>
      </c>
      <c r="O12" s="2711"/>
      <c r="P12" s="2711"/>
      <c r="Q12" s="2712" t="s">
        <v>1181</v>
      </c>
      <c r="R12" s="2712"/>
      <c r="S12" s="2712" t="s">
        <v>1182</v>
      </c>
      <c r="T12" s="2711"/>
      <c r="U12" s="2711"/>
      <c r="V12" s="2711"/>
    </row>
    <row r="13" spans="3:22">
      <c r="C13" s="513">
        <v>1</v>
      </c>
      <c r="D13" s="2713" t="s">
        <v>1250</v>
      </c>
      <c r="E13" s="2714"/>
      <c r="F13" s="2714"/>
      <c r="G13" s="2714"/>
      <c r="H13" s="2714"/>
      <c r="I13" s="2714"/>
      <c r="J13" s="2714"/>
      <c r="K13" s="2715"/>
      <c r="L13" s="2723">
        <v>1.1E-4</v>
      </c>
      <c r="M13" s="2723"/>
      <c r="N13" s="2713" t="s">
        <v>1251</v>
      </c>
      <c r="O13" s="2714"/>
      <c r="P13" s="2715"/>
      <c r="S13" s="2717">
        <f>L13/SQRT(3)</f>
        <v>6.3508529610858846E-5</v>
      </c>
      <c r="T13" s="2718"/>
      <c r="U13" s="2718"/>
      <c r="V13" s="2719"/>
    </row>
    <row r="14" spans="3:22">
      <c r="C14" s="513">
        <v>2</v>
      </c>
      <c r="D14" s="2708" t="s">
        <v>1252</v>
      </c>
      <c r="E14" s="2709"/>
      <c r="F14" s="2709"/>
      <c r="G14" s="2709"/>
      <c r="H14" s="2709"/>
      <c r="I14" s="2709"/>
      <c r="J14" s="2709"/>
      <c r="K14" s="2710"/>
      <c r="L14" s="2723">
        <v>4.0000000000000003E-5</v>
      </c>
      <c r="M14" s="2723"/>
      <c r="N14" s="2713" t="s">
        <v>1184</v>
      </c>
      <c r="O14" s="2714"/>
      <c r="P14" s="2715"/>
      <c r="Q14" s="2711">
        <v>3</v>
      </c>
      <c r="R14" s="2711"/>
      <c r="S14" s="2717">
        <f>L14/Q14</f>
        <v>1.3333333333333335E-5</v>
      </c>
      <c r="T14" s="2718"/>
      <c r="U14" s="2718"/>
      <c r="V14" s="2719"/>
    </row>
    <row r="15" spans="3:22">
      <c r="C15" s="516" t="s">
        <v>1253</v>
      </c>
      <c r="D15" s="516"/>
      <c r="E15" s="516"/>
      <c r="F15" s="2721">
        <f>SQRT(SUMSQ(S13:V14))/G5</f>
        <v>6.489307444643929E-6</v>
      </c>
      <c r="G15" s="2721"/>
      <c r="H15" s="2721"/>
      <c r="I15" s="2721"/>
      <c r="J15" s="2721"/>
      <c r="K15" s="2721"/>
      <c r="L15" s="2721"/>
      <c r="M15" s="2721"/>
      <c r="N15" s="2721"/>
      <c r="O15" s="2721"/>
      <c r="P15" s="2721"/>
      <c r="Q15" s="2721"/>
      <c r="R15" s="2721"/>
      <c r="S15" s="2721"/>
      <c r="T15" s="2721"/>
      <c r="U15" s="2721"/>
      <c r="V15" s="2721"/>
    </row>
    <row r="16" spans="3:22" ht="15.75">
      <c r="D16" s="505" t="s">
        <v>1186</v>
      </c>
      <c r="F16" s="526"/>
      <c r="G16" s="527"/>
      <c r="H16" s="528"/>
      <c r="I16" s="528"/>
    </row>
    <row r="17" spans="4:23" ht="18.75">
      <c r="D17" s="529"/>
      <c r="E17" s="517"/>
      <c r="F17" s="516" t="s">
        <v>1187</v>
      </c>
      <c r="G17" s="2722">
        <f>SQRT(SUMSQ(F8,F15))</f>
        <v>1.1613163029751888E-4</v>
      </c>
      <c r="H17" s="2722"/>
      <c r="I17" s="2722"/>
    </row>
    <row r="18" spans="4:23" ht="15.75">
      <c r="D18" s="505" t="s">
        <v>1188</v>
      </c>
      <c r="E18" s="28"/>
      <c r="F18" s="526"/>
      <c r="G18" s="527"/>
      <c r="H18" s="528"/>
      <c r="I18" s="528"/>
    </row>
    <row r="19" spans="4:23">
      <c r="D19" s="518" t="s">
        <v>1189</v>
      </c>
      <c r="E19" s="392">
        <f>G17*2</f>
        <v>2.3226326059503776E-4</v>
      </c>
      <c r="F19" s="527"/>
      <c r="G19" s="527"/>
      <c r="H19" s="527"/>
      <c r="I19" s="527"/>
    </row>
    <row r="22" spans="4:23">
      <c r="E22" s="530" t="s">
        <v>1254</v>
      </c>
      <c r="F22" s="506" t="s">
        <v>1197</v>
      </c>
      <c r="G22" s="2704" t="s">
        <v>1255</v>
      </c>
      <c r="H22" s="2704"/>
      <c r="I22" s="507"/>
      <c r="J22" s="8"/>
      <c r="K22" s="315"/>
      <c r="L22" s="315"/>
      <c r="M22" s="315"/>
      <c r="N22" s="315"/>
      <c r="O22" s="315"/>
      <c r="P22" s="508"/>
      <c r="Q22" s="508"/>
      <c r="R22" s="508"/>
      <c r="S22" s="508"/>
      <c r="T22" s="508"/>
      <c r="U22" s="508"/>
      <c r="V22" s="508"/>
    </row>
    <row r="23" spans="4:23">
      <c r="E23" s="13"/>
      <c r="F23" s="509"/>
      <c r="G23" s="395"/>
      <c r="H23" s="395"/>
      <c r="I23" s="395"/>
      <c r="J23" s="496"/>
      <c r="K23" s="315"/>
      <c r="L23" s="315"/>
      <c r="M23" s="315"/>
      <c r="N23" s="315"/>
      <c r="O23" s="315"/>
      <c r="P23" s="13"/>
      <c r="Q23" s="13"/>
      <c r="R23" s="13"/>
      <c r="S23" s="13"/>
      <c r="T23" s="13"/>
      <c r="U23" s="13"/>
      <c r="V23" s="13"/>
    </row>
    <row r="24" spans="4:23">
      <c r="E24" s="13"/>
      <c r="F24" s="510" t="s">
        <v>1167</v>
      </c>
      <c r="G24" s="13"/>
      <c r="H24" s="13" t="s">
        <v>1168</v>
      </c>
      <c r="I24" s="13"/>
      <c r="J24" s="13"/>
      <c r="K24" s="13"/>
      <c r="L24" s="13"/>
      <c r="M24" s="13"/>
      <c r="N24" s="13"/>
      <c r="O24" s="13"/>
      <c r="P24" s="13"/>
      <c r="Q24" s="13"/>
      <c r="R24" s="13"/>
      <c r="S24" s="13"/>
      <c r="T24" s="13"/>
      <c r="U24" s="13"/>
      <c r="V24" s="13"/>
    </row>
    <row r="25" spans="4:23">
      <c r="E25" s="13"/>
      <c r="F25" s="510"/>
      <c r="G25" s="510" t="s">
        <v>1199</v>
      </c>
      <c r="H25" s="510">
        <v>10</v>
      </c>
      <c r="I25" s="510" t="s">
        <v>1256</v>
      </c>
      <c r="J25" s="13"/>
      <c r="K25" s="13"/>
      <c r="L25" s="13"/>
      <c r="M25" s="13"/>
      <c r="N25" s="13"/>
      <c r="O25" s="13"/>
      <c r="P25" s="13"/>
      <c r="Q25" s="13"/>
      <c r="R25" s="13"/>
      <c r="S25" s="13"/>
      <c r="T25" s="13"/>
      <c r="U25" s="13"/>
      <c r="V25" s="13"/>
    </row>
    <row r="26" spans="4:23" ht="15.75">
      <c r="E26" s="13"/>
      <c r="F26" s="347" t="s">
        <v>1239</v>
      </c>
      <c r="G26" s="347" t="s">
        <v>1240</v>
      </c>
      <c r="H26" s="347" t="s">
        <v>1241</v>
      </c>
      <c r="I26" s="347" t="s">
        <v>1242</v>
      </c>
      <c r="J26" s="347" t="s">
        <v>1243</v>
      </c>
      <c r="K26" s="347" t="s">
        <v>1244</v>
      </c>
      <c r="L26" s="347" t="s">
        <v>1245</v>
      </c>
      <c r="M26" s="348" t="s">
        <v>1246</v>
      </c>
      <c r="N26" s="348" t="s">
        <v>1247</v>
      </c>
      <c r="O26" s="347" t="s">
        <v>1248</v>
      </c>
      <c r="P26" s="13"/>
      <c r="Q26" s="13"/>
      <c r="R26" s="13"/>
      <c r="S26" s="13"/>
      <c r="T26" s="13"/>
      <c r="U26" s="13"/>
      <c r="V26" s="13"/>
    </row>
    <row r="27" spans="4:23">
      <c r="E27" s="13"/>
      <c r="F27" s="531">
        <v>10.067</v>
      </c>
      <c r="G27" s="531">
        <v>10.066000000000001</v>
      </c>
      <c r="H27" s="532">
        <v>10.067</v>
      </c>
      <c r="I27" s="533">
        <v>10.0616</v>
      </c>
      <c r="J27" s="532">
        <v>10.065</v>
      </c>
      <c r="K27" s="531">
        <v>10.06</v>
      </c>
      <c r="L27" s="532">
        <v>10.066000000000001</v>
      </c>
      <c r="M27" s="533">
        <v>10.074</v>
      </c>
      <c r="N27" s="532">
        <v>10.065</v>
      </c>
      <c r="O27" s="532">
        <v>10.074</v>
      </c>
      <c r="P27" s="13"/>
      <c r="Q27" s="13"/>
      <c r="R27" s="13"/>
      <c r="S27" s="13"/>
      <c r="T27" s="13"/>
      <c r="U27" s="13"/>
      <c r="V27" s="13"/>
    </row>
    <row r="28" spans="4:23" ht="18.75">
      <c r="E28" s="13"/>
      <c r="F28" s="394" t="s">
        <v>1174</v>
      </c>
      <c r="G28" s="2705">
        <f>STDEV(F27:O27)/H25</f>
        <v>4.5243047347998051E-4</v>
      </c>
      <c r="H28" s="2706"/>
      <c r="I28" s="2706"/>
      <c r="J28" s="2706"/>
      <c r="K28" s="2706"/>
      <c r="L28" s="2706"/>
      <c r="M28" s="2706"/>
      <c r="N28" s="2706"/>
      <c r="O28" s="2707"/>
      <c r="P28" s="13"/>
      <c r="Q28" s="13"/>
      <c r="R28" s="13"/>
      <c r="S28" s="13"/>
      <c r="T28" s="13"/>
      <c r="U28" s="13"/>
      <c r="V28" s="13"/>
    </row>
    <row r="30" spans="4:23">
      <c r="E30" s="512" t="s">
        <v>1175</v>
      </c>
      <c r="F30" s="153" t="s">
        <v>1176</v>
      </c>
    </row>
    <row r="32" spans="4:23">
      <c r="D32" s="513" t="s">
        <v>1177</v>
      </c>
      <c r="E32" s="2708" t="s">
        <v>1178</v>
      </c>
      <c r="F32" s="2709"/>
      <c r="G32" s="2709"/>
      <c r="H32" s="2709"/>
      <c r="I32" s="2709"/>
      <c r="J32" s="2709"/>
      <c r="K32" s="2709"/>
      <c r="L32" s="2710"/>
      <c r="M32" s="2711" t="s">
        <v>1249</v>
      </c>
      <c r="N32" s="2711"/>
      <c r="O32" s="2711" t="s">
        <v>1180</v>
      </c>
      <c r="P32" s="2711"/>
      <c r="Q32" s="2711"/>
      <c r="R32" s="2712" t="s">
        <v>1181</v>
      </c>
      <c r="S32" s="2712"/>
      <c r="T32" s="2712" t="s">
        <v>1182</v>
      </c>
      <c r="U32" s="2711"/>
      <c r="V32" s="2711"/>
      <c r="W32" s="2711"/>
    </row>
    <row r="33" spans="4:23">
      <c r="D33" s="513">
        <v>1</v>
      </c>
      <c r="E33" s="2713" t="s">
        <v>1257</v>
      </c>
      <c r="F33" s="2714"/>
      <c r="G33" s="2714"/>
      <c r="H33" s="2714"/>
      <c r="I33" s="2714"/>
      <c r="J33" s="2714"/>
      <c r="K33" s="2714"/>
      <c r="L33" s="2715"/>
      <c r="M33" s="2720">
        <v>6.0000000000000001E-3</v>
      </c>
      <c r="N33" s="2720"/>
      <c r="O33" s="2713" t="s">
        <v>1251</v>
      </c>
      <c r="P33" s="2714"/>
      <c r="Q33" s="2715"/>
      <c r="T33" s="2717">
        <f>M33/SQRT(3)</f>
        <v>3.4641016151377548E-3</v>
      </c>
      <c r="U33" s="2718"/>
      <c r="V33" s="2718"/>
      <c r="W33" s="2719"/>
    </row>
    <row r="34" spans="4:23">
      <c r="D34" s="513">
        <v>2</v>
      </c>
      <c r="E34" s="2708" t="s">
        <v>1252</v>
      </c>
      <c r="F34" s="2709"/>
      <c r="G34" s="2709"/>
      <c r="H34" s="2709"/>
      <c r="I34" s="2709"/>
      <c r="J34" s="2709"/>
      <c r="K34" s="2709"/>
      <c r="L34" s="2710"/>
      <c r="M34" s="2720">
        <v>2E-3</v>
      </c>
      <c r="N34" s="2720"/>
      <c r="O34" s="2713" t="s">
        <v>1184</v>
      </c>
      <c r="P34" s="2714"/>
      <c r="Q34" s="2715"/>
      <c r="R34" s="2711">
        <v>3</v>
      </c>
      <c r="S34" s="2711"/>
      <c r="T34" s="2717">
        <f>M34/R34</f>
        <v>6.6666666666666664E-4</v>
      </c>
      <c r="U34" s="2718"/>
      <c r="V34" s="2718"/>
      <c r="W34" s="2719"/>
    </row>
    <row r="35" spans="4:23">
      <c r="D35" s="516" t="s">
        <v>1253</v>
      </c>
      <c r="E35" s="516"/>
      <c r="F35" s="516"/>
      <c r="G35" s="2721">
        <f>SQRT(SUMSQ(T33:W34))/H25</f>
        <v>3.5276684147527874E-4</v>
      </c>
      <c r="H35" s="2721"/>
      <c r="I35" s="2721"/>
      <c r="J35" s="2721"/>
      <c r="K35" s="2721"/>
      <c r="L35" s="2721"/>
      <c r="M35" s="2721"/>
      <c r="N35" s="2721"/>
      <c r="O35" s="2721"/>
      <c r="P35" s="2721"/>
      <c r="Q35" s="2721"/>
      <c r="R35" s="2721"/>
      <c r="S35" s="2721"/>
      <c r="T35" s="2721"/>
      <c r="U35" s="2721"/>
      <c r="V35" s="2721"/>
      <c r="W35" s="2721"/>
    </row>
    <row r="36" spans="4:23" ht="15.75">
      <c r="E36" s="505" t="s">
        <v>1186</v>
      </c>
      <c r="G36" s="526"/>
      <c r="H36" s="527"/>
      <c r="I36" s="528"/>
      <c r="J36" s="528"/>
    </row>
    <row r="37" spans="4:23" ht="18.75">
      <c r="E37" s="529"/>
      <c r="F37" s="517"/>
      <c r="G37" s="516" t="s">
        <v>1187</v>
      </c>
      <c r="H37" s="2722">
        <f>SQRT(SUMSQ(G28,G35))</f>
        <v>5.7370530569079091E-4</v>
      </c>
      <c r="I37" s="2722"/>
      <c r="J37" s="2722"/>
    </row>
    <row r="38" spans="4:23" ht="15.75">
      <c r="E38" s="505" t="s">
        <v>1188</v>
      </c>
      <c r="F38" s="28"/>
      <c r="G38" s="526"/>
      <c r="H38" s="527"/>
      <c r="I38" s="528"/>
      <c r="J38" s="528"/>
    </row>
    <row r="39" spans="4:23">
      <c r="E39" s="518" t="s">
        <v>1189</v>
      </c>
      <c r="F39" s="392">
        <f>H37*2</f>
        <v>1.1474106113815818E-3</v>
      </c>
      <c r="G39" s="527"/>
      <c r="H39" s="527"/>
      <c r="I39" s="527"/>
      <c r="J39" s="527"/>
    </row>
  </sheetData>
  <mergeCells count="36">
    <mergeCell ref="G35:W35"/>
    <mergeCell ref="H37:J37"/>
    <mergeCell ref="E33:L33"/>
    <mergeCell ref="M33:N33"/>
    <mergeCell ref="O33:Q33"/>
    <mergeCell ref="T33:W33"/>
    <mergeCell ref="E34:L34"/>
    <mergeCell ref="M34:N34"/>
    <mergeCell ref="O34:Q34"/>
    <mergeCell ref="R34:S34"/>
    <mergeCell ref="T34:W34"/>
    <mergeCell ref="F15:V15"/>
    <mergeCell ref="G17:I17"/>
    <mergeCell ref="G22:H22"/>
    <mergeCell ref="G28:O28"/>
    <mergeCell ref="E32:L32"/>
    <mergeCell ref="M32:N32"/>
    <mergeCell ref="O32:Q32"/>
    <mergeCell ref="R32:S32"/>
    <mergeCell ref="T32:W32"/>
    <mergeCell ref="D14:K14"/>
    <mergeCell ref="L14:M14"/>
    <mergeCell ref="N14:P14"/>
    <mergeCell ref="Q14:R14"/>
    <mergeCell ref="S14:V14"/>
    <mergeCell ref="Q12:R12"/>
    <mergeCell ref="S12:V12"/>
    <mergeCell ref="D13:K13"/>
    <mergeCell ref="L13:M13"/>
    <mergeCell ref="N13:P13"/>
    <mergeCell ref="S13:V13"/>
    <mergeCell ref="F2:G2"/>
    <mergeCell ref="F8:N8"/>
    <mergeCell ref="D12:K12"/>
    <mergeCell ref="L12:M12"/>
    <mergeCell ref="N12:P12"/>
  </mergeCells>
  <phoneticPr fontId="107" type="noConversion"/>
  <pageMargins left="0.75" right="0.75" top="1" bottom="1" header="0.5" footer="0.5"/>
  <legacyDrawing r:id="rId1"/>
  <oleObjects>
    <oleObject progId="Equation.3" shapeId="118785" r:id="rId2"/>
    <oleObject progId="Equation.3" shapeId="118786" r:id="rId3"/>
  </oleObjects>
</worksheet>
</file>

<file path=xl/worksheets/sheet42.xml><?xml version="1.0" encoding="utf-8"?>
<worksheet xmlns="http://schemas.openxmlformats.org/spreadsheetml/2006/main" xmlns:r="http://schemas.openxmlformats.org/officeDocument/2006/relationships">
  <dimension ref="A1:AP146"/>
  <sheetViews>
    <sheetView topLeftCell="B37" workbookViewId="0">
      <selection activeCell="L45" sqref="L45"/>
    </sheetView>
  </sheetViews>
  <sheetFormatPr defaultRowHeight="14.25" outlineLevelRow="1"/>
  <cols>
    <col min="1" max="1" width="17.5" style="28" customWidth="1"/>
    <col min="2" max="2" width="6.125" style="28" customWidth="1"/>
    <col min="3" max="3" width="9" style="28"/>
    <col min="4" max="4" width="9.75" style="28" customWidth="1"/>
    <col min="5" max="5" width="17.875" style="28" customWidth="1"/>
    <col min="6" max="8" width="9" style="28"/>
    <col min="9" max="9" width="11.75" style="28" customWidth="1"/>
    <col min="10" max="10" width="12.875" style="28" customWidth="1"/>
    <col min="11" max="11" width="10" style="28" customWidth="1"/>
    <col min="12" max="12" width="18.875" style="28" customWidth="1"/>
    <col min="13" max="18" width="9" style="28"/>
    <col min="19" max="19" width="14.875" style="28" customWidth="1"/>
    <col min="20" max="16384" width="9" style="28"/>
  </cols>
  <sheetData>
    <row r="1" spans="1:32">
      <c r="A1" t="s">
        <v>51</v>
      </c>
      <c r="B1"/>
      <c r="C1" s="1594" t="s">
        <v>3804</v>
      </c>
      <c r="D1"/>
      <c r="E1"/>
      <c r="F1" s="779" t="s">
        <v>2512</v>
      </c>
    </row>
    <row r="2" spans="1:32" outlineLevel="1">
      <c r="A2"/>
      <c r="B2"/>
      <c r="C2"/>
      <c r="D2"/>
      <c r="E2"/>
    </row>
    <row r="3" spans="1:32" outlineLevel="1">
      <c r="A3" s="6" t="s">
        <v>32</v>
      </c>
      <c r="B3" s="6"/>
      <c r="C3" s="6"/>
      <c r="D3" s="6"/>
      <c r="E3" s="2"/>
    </row>
    <row r="4" spans="1:32" ht="18.75" outlineLevel="1">
      <c r="A4" s="699" t="s">
        <v>1920</v>
      </c>
      <c r="B4" s="699"/>
      <c r="C4" s="6" t="s">
        <v>69</v>
      </c>
      <c r="D4" s="6" t="s">
        <v>70</v>
      </c>
      <c r="E4" s="700" t="s">
        <v>2513</v>
      </c>
    </row>
    <row r="5" spans="1:32" outlineLevel="1">
      <c r="A5" s="6" t="s">
        <v>86</v>
      </c>
      <c r="B5" s="6"/>
      <c r="C5" s="6" t="s">
        <v>72</v>
      </c>
      <c r="D5" s="6" t="s">
        <v>72</v>
      </c>
      <c r="E5" s="700" t="s">
        <v>2514</v>
      </c>
    </row>
    <row r="6" spans="1:32" outlineLevel="1">
      <c r="A6" s="6" t="s">
        <v>87</v>
      </c>
      <c r="B6" s="6"/>
      <c r="C6" s="6" t="s">
        <v>72</v>
      </c>
      <c r="D6" s="6" t="s">
        <v>72</v>
      </c>
      <c r="E6" s="700" t="s">
        <v>2514</v>
      </c>
    </row>
    <row r="7" spans="1:32" outlineLevel="1">
      <c r="A7" s="1365" t="s">
        <v>3470</v>
      </c>
      <c r="B7" s="6"/>
      <c r="C7" s="6"/>
      <c r="D7" s="6"/>
      <c r="E7" s="1374" t="s">
        <v>3468</v>
      </c>
    </row>
    <row r="8" spans="1:32" outlineLevel="1">
      <c r="A8" s="698" t="s">
        <v>2516</v>
      </c>
      <c r="B8" s="698"/>
      <c r="C8" s="6"/>
      <c r="D8" s="6"/>
      <c r="E8" s="781" t="s">
        <v>2517</v>
      </c>
    </row>
    <row r="9" spans="1:32" outlineLevel="1">
      <c r="A9" t="s">
        <v>73</v>
      </c>
      <c r="B9"/>
      <c r="C9"/>
      <c r="D9"/>
      <c r="E9"/>
    </row>
    <row r="10" spans="1:32">
      <c r="A10" s="935" t="s">
        <v>2515</v>
      </c>
      <c r="B10" s="935"/>
      <c r="P10" s="779" t="s">
        <v>2518</v>
      </c>
      <c r="AA10" s="779" t="s">
        <v>2519</v>
      </c>
    </row>
    <row r="11" spans="1:32" ht="14.25" customHeight="1">
      <c r="A11" s="2738" t="s">
        <v>3469</v>
      </c>
      <c r="B11" s="2739"/>
      <c r="C11" s="2739"/>
      <c r="D11" s="2739"/>
      <c r="E11" s="2739"/>
      <c r="F11" s="2739"/>
      <c r="G11" s="2739"/>
      <c r="H11" s="2739"/>
      <c r="I11" s="881"/>
      <c r="J11" s="881"/>
      <c r="K11" s="882"/>
      <c r="L11" s="2852" t="s">
        <v>2520</v>
      </c>
      <c r="M11" s="779" t="s">
        <v>2521</v>
      </c>
    </row>
    <row r="12" spans="1:32" ht="30" outlineLevel="1">
      <c r="A12" s="2859" t="s">
        <v>3467</v>
      </c>
      <c r="B12" s="2814"/>
      <c r="C12" s="2789"/>
      <c r="D12" s="2385" t="s">
        <v>2522</v>
      </c>
      <c r="E12" s="2386"/>
      <c r="F12" s="2379"/>
      <c r="G12" s="2735" t="s">
        <v>2523</v>
      </c>
      <c r="H12" s="2735" t="s">
        <v>2524</v>
      </c>
      <c r="I12" s="2735" t="s">
        <v>2525</v>
      </c>
      <c r="J12" s="2735" t="s">
        <v>2526</v>
      </c>
      <c r="K12" s="2747" t="s">
        <v>2527</v>
      </c>
      <c r="L12" s="2852"/>
      <c r="P12" s="731" t="s">
        <v>2528</v>
      </c>
      <c r="Q12" s="731" t="s">
        <v>2529</v>
      </c>
      <c r="R12" s="731" t="s">
        <v>2530</v>
      </c>
      <c r="S12" s="207" t="s">
        <v>3471</v>
      </c>
      <c r="T12" s="731" t="s">
        <v>2532</v>
      </c>
      <c r="AA12" s="731" t="s">
        <v>2528</v>
      </c>
      <c r="AB12" s="731" t="s">
        <v>2529</v>
      </c>
      <c r="AC12" s="731" t="s">
        <v>2530</v>
      </c>
      <c r="AD12" s="207" t="s">
        <v>2531</v>
      </c>
      <c r="AE12" s="731" t="s">
        <v>2532</v>
      </c>
      <c r="AF12" s="958" t="s">
        <v>2533</v>
      </c>
    </row>
    <row r="13" spans="1:32" ht="14.25" customHeight="1" outlineLevel="1">
      <c r="A13" s="959" t="s">
        <v>2534</v>
      </c>
      <c r="B13" s="1749" t="s">
        <v>2535</v>
      </c>
      <c r="C13" s="2810" t="s">
        <v>2536</v>
      </c>
      <c r="D13" s="960" t="s">
        <v>2534</v>
      </c>
      <c r="E13" s="2730" t="s">
        <v>2537</v>
      </c>
      <c r="F13" s="2860" t="s">
        <v>2538</v>
      </c>
      <c r="G13" s="2736"/>
      <c r="H13" s="2736"/>
      <c r="I13" s="2736"/>
      <c r="J13" s="2736"/>
      <c r="K13" s="2748"/>
      <c r="L13" s="2852"/>
      <c r="P13" s="698" t="e">
        <f>'[14]原始记录（电阻）'!O13</f>
        <v>#REF!</v>
      </c>
      <c r="Q13" s="698" t="str">
        <f>[14]原始记录封皮!$D$9</f>
        <v>BZ3</v>
      </c>
      <c r="R13" s="698" t="e">
        <f>'[14]原始记录（电阻）'!P13</f>
        <v>#REF!</v>
      </c>
      <c r="S13" s="961" t="e">
        <f>'[14]原始记录（电阻）'!W13</f>
        <v>#REF!</v>
      </c>
      <c r="T13" s="698" t="e">
        <f>'[14]原始记录（电阻）'!X13</f>
        <v>#REF!</v>
      </c>
      <c r="AA13" s="698" t="e">
        <f>'[14]原始记录（电阻）'!Z13</f>
        <v>#REF!</v>
      </c>
      <c r="AB13" s="698" t="str">
        <f>[14]原始记录封皮!$D$9</f>
        <v>BZ3</v>
      </c>
      <c r="AC13" s="698" t="e">
        <f>'[14]原始记录（电阻）'!AA13</f>
        <v>#REF!</v>
      </c>
      <c r="AD13" s="961" t="e">
        <f>'[14]原始记录（电阻）'!AH13</f>
        <v>#REF!</v>
      </c>
      <c r="AE13" s="698" t="e">
        <f>'[14]原始记录（电阻）'!AI13</f>
        <v>#REF!</v>
      </c>
      <c r="AF13" s="2"/>
    </row>
    <row r="14" spans="1:32" ht="15" outlineLevel="1" thickBot="1">
      <c r="A14" s="962" t="s">
        <v>2539</v>
      </c>
      <c r="B14" s="1749"/>
      <c r="C14" s="2811"/>
      <c r="D14" s="730" t="s">
        <v>2540</v>
      </c>
      <c r="E14" s="2430"/>
      <c r="F14" s="2737"/>
      <c r="G14" s="2737"/>
      <c r="H14" s="2737"/>
      <c r="I14" s="2737"/>
      <c r="J14" s="2737"/>
      <c r="K14" s="730" t="s">
        <v>2541</v>
      </c>
      <c r="L14" s="2852"/>
      <c r="P14" s="698" t="e">
        <f>'[14]原始记录（电阻）'!O14</f>
        <v>#REF!</v>
      </c>
      <c r="Q14" s="698" t="str">
        <f>[14]原始记录封皮!$D$9</f>
        <v>BZ3</v>
      </c>
      <c r="R14" s="698" t="e">
        <f>'[14]原始记录（电阻）'!P14</f>
        <v>#REF!</v>
      </c>
      <c r="S14" s="963" t="e">
        <f>'[14]原始记录（电阻）'!W14</f>
        <v>#REF!</v>
      </c>
      <c r="T14" s="698" t="e">
        <f>'[14]原始记录（电阻）'!X14</f>
        <v>#REF!</v>
      </c>
      <c r="AA14" s="698" t="e">
        <f>'[14]原始记录（电阻）'!Z14</f>
        <v>#REF!</v>
      </c>
      <c r="AB14" s="698" t="str">
        <f>[14]原始记录封皮!$D$9</f>
        <v>BZ3</v>
      </c>
      <c r="AC14" s="698" t="e">
        <f>'[14]原始记录（电阻）'!AA14</f>
        <v>#REF!</v>
      </c>
      <c r="AD14" s="963" t="e">
        <f>'[14]原始记录（电阻）'!AH14</f>
        <v>#REF!</v>
      </c>
      <c r="AE14" s="698" t="e">
        <f>'[14]原始记录（电阻）'!AI14</f>
        <v>#REF!</v>
      </c>
      <c r="AF14" s="2"/>
    </row>
    <row r="15" spans="1:32" outlineLevel="1">
      <c r="A15" s="936">
        <v>1E-3</v>
      </c>
      <c r="B15" s="936"/>
      <c r="C15" s="951">
        <v>841284</v>
      </c>
      <c r="D15" s="964">
        <v>0.1</v>
      </c>
      <c r="E15" s="965">
        <v>625</v>
      </c>
      <c r="F15" s="951">
        <v>-25</v>
      </c>
      <c r="G15" s="951">
        <v>112</v>
      </c>
      <c r="H15" s="951">
        <v>-23</v>
      </c>
      <c r="I15" s="966">
        <f t="shared" ref="I15:I21" si="0">(G15+H15)/2</f>
        <v>44.5</v>
      </c>
      <c r="J15" s="967">
        <f>A15+A15*0.000001*(I15+F15)</f>
        <v>1.0000194999999999E-3</v>
      </c>
      <c r="K15" s="951">
        <v>5</v>
      </c>
      <c r="L15" s="2"/>
      <c r="P15" s="698" t="e">
        <f>'[14]原始记录（电阻）'!O15</f>
        <v>#REF!</v>
      </c>
      <c r="Q15" s="698" t="str">
        <f>[14]原始记录封皮!$D$9</f>
        <v>BZ3</v>
      </c>
      <c r="R15" s="698" t="e">
        <f>'[14]原始记录（电阻）'!P15</f>
        <v>#REF!</v>
      </c>
      <c r="S15" s="968" t="e">
        <f>'[14]原始记录（电阻）'!W15</f>
        <v>#REF!</v>
      </c>
      <c r="T15" s="698" t="e">
        <f>'[14]原始记录（电阻）'!X15</f>
        <v>#REF!</v>
      </c>
      <c r="V15" s="2842" t="s">
        <v>2542</v>
      </c>
      <c r="W15" s="2843"/>
      <c r="X15" s="2843"/>
      <c r="Y15" s="2844"/>
      <c r="AA15" s="698" t="e">
        <f>'[14]原始记录（电阻）'!Z15</f>
        <v>#REF!</v>
      </c>
      <c r="AB15" s="698" t="str">
        <f>[14]原始记录封皮!$D$9</f>
        <v>BZ3</v>
      </c>
      <c r="AC15" s="698" t="e">
        <f>'[14]原始记录（电阻）'!AA15</f>
        <v>#REF!</v>
      </c>
      <c r="AD15" s="968" t="e">
        <f>'[14]原始记录（电阻）'!AH15</f>
        <v>#REF!</v>
      </c>
      <c r="AE15" s="698" t="e">
        <f>'[14]原始记录（电阻）'!AI15</f>
        <v>#REF!</v>
      </c>
      <c r="AF15" s="2"/>
    </row>
    <row r="16" spans="1:32" outlineLevel="1">
      <c r="A16" s="936">
        <v>0.01</v>
      </c>
      <c r="B16" s="936"/>
      <c r="C16" s="969" t="s">
        <v>2543</v>
      </c>
      <c r="D16" s="964">
        <v>1</v>
      </c>
      <c r="E16" s="965">
        <v>743</v>
      </c>
      <c r="F16" s="951">
        <v>-59</v>
      </c>
      <c r="G16" s="951">
        <v>-175</v>
      </c>
      <c r="H16" s="951">
        <v>32</v>
      </c>
      <c r="I16" s="966">
        <f t="shared" si="0"/>
        <v>-71.5</v>
      </c>
      <c r="J16" s="970">
        <f>A16+A16*0.000001*(I16+F16)</f>
        <v>9.9986950000000002E-3</v>
      </c>
      <c r="K16" s="951">
        <v>2</v>
      </c>
      <c r="L16" s="2"/>
      <c r="P16" s="698" t="e">
        <f>'[14]原始记录（电阻）'!O16</f>
        <v>#REF!</v>
      </c>
      <c r="Q16" s="698" t="str">
        <f>[14]原始记录封皮!$D$9</f>
        <v>BZ3</v>
      </c>
      <c r="R16" s="698" t="e">
        <f>'[14]原始记录（电阻）'!P16</f>
        <v>#REF!</v>
      </c>
      <c r="S16" s="971" t="e">
        <f>'[14]原始记录（电阻）'!W16</f>
        <v>#REF!</v>
      </c>
      <c r="T16" s="698" t="e">
        <f>'[14]原始记录（电阻）'!X16</f>
        <v>#REF!</v>
      </c>
      <c r="V16" s="2845"/>
      <c r="W16" s="2846"/>
      <c r="X16" s="2846"/>
      <c r="Y16" s="2847"/>
      <c r="AA16" s="698" t="e">
        <f>'[14]原始记录（电阻）'!Z16</f>
        <v>#REF!</v>
      </c>
      <c r="AB16" s="698" t="str">
        <f>[14]原始记录封皮!$D$9</f>
        <v>BZ3</v>
      </c>
      <c r="AC16" s="698" t="e">
        <f>'[14]原始记录（电阻）'!AA16</f>
        <v>#REF!</v>
      </c>
      <c r="AD16" s="971" t="e">
        <f>'[14]原始记录（电阻）'!AH16</f>
        <v>#REF!</v>
      </c>
      <c r="AE16" s="698" t="e">
        <f>'[14]原始记录（电阻）'!AI16</f>
        <v>#REF!</v>
      </c>
      <c r="AF16" s="2"/>
    </row>
    <row r="17" spans="1:32" outlineLevel="1">
      <c r="A17" s="936">
        <v>0.1</v>
      </c>
      <c r="B17" s="936"/>
      <c r="C17" s="969" t="s">
        <v>2544</v>
      </c>
      <c r="D17" s="964">
        <v>10</v>
      </c>
      <c r="E17" s="965">
        <v>618</v>
      </c>
      <c r="F17" s="951">
        <v>-34</v>
      </c>
      <c r="G17" s="951">
        <v>45</v>
      </c>
      <c r="H17" s="951">
        <v>67</v>
      </c>
      <c r="I17" s="966">
        <f t="shared" si="0"/>
        <v>56</v>
      </c>
      <c r="J17" s="972">
        <f>A17+A17*0.000001*(I17+F17)</f>
        <v>0.1000022</v>
      </c>
      <c r="K17" s="951">
        <v>0.3</v>
      </c>
      <c r="L17" s="2"/>
      <c r="P17" s="698" t="e">
        <f>'[14]原始记录（电阻）'!O17</f>
        <v>#REF!</v>
      </c>
      <c r="Q17" s="698" t="str">
        <f>[14]原始记录封皮!$D$9</f>
        <v>BZ3</v>
      </c>
      <c r="R17" s="698" t="e">
        <f>'[14]原始记录（电阻）'!P17</f>
        <v>#REF!</v>
      </c>
      <c r="S17" s="973" t="e">
        <f>'[14]原始记录（电阻）'!W17</f>
        <v>#REF!</v>
      </c>
      <c r="T17" s="698" t="e">
        <f>'[14]原始记录（电阻）'!X17</f>
        <v>#REF!</v>
      </c>
      <c r="V17" s="2845"/>
      <c r="W17" s="2846"/>
      <c r="X17" s="2846"/>
      <c r="Y17" s="2847"/>
      <c r="AA17" s="698" t="e">
        <f>'[14]原始记录（电阻）'!Z17</f>
        <v>#REF!</v>
      </c>
      <c r="AB17" s="698" t="str">
        <f>[14]原始记录封皮!$D$9</f>
        <v>BZ3</v>
      </c>
      <c r="AC17" s="698" t="e">
        <f>'[14]原始记录（电阻）'!AA17</f>
        <v>#REF!</v>
      </c>
      <c r="AD17" s="973" t="e">
        <f>'[14]原始记录（电阻）'!AH17</f>
        <v>#REF!</v>
      </c>
      <c r="AE17" s="698" t="e">
        <f>'[14]原始记录（电阻）'!AI17</f>
        <v>#REF!</v>
      </c>
      <c r="AF17" s="2"/>
    </row>
    <row r="18" spans="1:32" ht="15" outlineLevel="1" thickBot="1">
      <c r="A18" s="936">
        <v>1</v>
      </c>
      <c r="B18" s="936"/>
      <c r="C18" s="969" t="s">
        <v>2545</v>
      </c>
      <c r="D18" s="962">
        <v>1</v>
      </c>
      <c r="E18" s="974">
        <v>743</v>
      </c>
      <c r="F18" s="706">
        <v>-59</v>
      </c>
      <c r="G18" s="706">
        <v>-80</v>
      </c>
      <c r="H18" s="706">
        <v>54</v>
      </c>
      <c r="I18" s="966">
        <f t="shared" si="0"/>
        <v>-13</v>
      </c>
      <c r="J18" s="975">
        <f>A18+A18*0.000001*I18</f>
        <v>0.99998699999999996</v>
      </c>
      <c r="K18" s="951">
        <v>0.1</v>
      </c>
      <c r="L18" s="2"/>
      <c r="P18" s="698" t="e">
        <f>'[14]原始记录（电阻）'!O18</f>
        <v>#REF!</v>
      </c>
      <c r="Q18" s="698" t="str">
        <f>[14]原始记录封皮!$D$9</f>
        <v>BZ3</v>
      </c>
      <c r="R18" s="698" t="e">
        <f>'[14]原始记录（电阻）'!P18</f>
        <v>#REF!</v>
      </c>
      <c r="S18" s="976" t="e">
        <f>'[14]原始记录（电阻）'!W18</f>
        <v>#REF!</v>
      </c>
      <c r="T18" s="698" t="e">
        <f>'[14]原始记录（电阻）'!X18</f>
        <v>#REF!</v>
      </c>
      <c r="V18" s="2848"/>
      <c r="W18" s="2849"/>
      <c r="X18" s="2849"/>
      <c r="Y18" s="2850"/>
      <c r="AA18" s="698" t="e">
        <f>'[14]原始记录（电阻）'!Z18</f>
        <v>#REF!</v>
      </c>
      <c r="AB18" s="698" t="str">
        <f>[14]原始记录封皮!$D$9</f>
        <v>BZ3</v>
      </c>
      <c r="AC18" s="698" t="e">
        <f>'[14]原始记录（电阻）'!AA18</f>
        <v>#REF!</v>
      </c>
      <c r="AD18" s="976" t="e">
        <f>'[14]原始记录（电阻）'!AH18</f>
        <v>#REF!</v>
      </c>
      <c r="AE18" s="698" t="e">
        <f>'[14]原始记录（电阻）'!AI18</f>
        <v>#REF!</v>
      </c>
      <c r="AF18" s="2"/>
    </row>
    <row r="19" spans="1:32" outlineLevel="1">
      <c r="A19" s="936">
        <v>10</v>
      </c>
      <c r="B19" s="936"/>
      <c r="C19" s="969" t="s">
        <v>2546</v>
      </c>
      <c r="D19" s="962">
        <v>10</v>
      </c>
      <c r="E19" s="974">
        <v>618</v>
      </c>
      <c r="F19" s="706">
        <v>-34</v>
      </c>
      <c r="G19" s="706">
        <v>-56</v>
      </c>
      <c r="H19" s="706">
        <v>-44</v>
      </c>
      <c r="I19" s="966">
        <f t="shared" si="0"/>
        <v>-50</v>
      </c>
      <c r="J19" s="977">
        <f>A19+A19*0.000001*I19</f>
        <v>9.9994999999999994</v>
      </c>
      <c r="K19" s="951">
        <v>0.03</v>
      </c>
      <c r="L19" s="2"/>
      <c r="P19" s="698" t="e">
        <f>'[14]原始记录（电阻）'!O19</f>
        <v>#REF!</v>
      </c>
      <c r="Q19" s="698" t="str">
        <f>[14]原始记录封皮!$D$9</f>
        <v>BZ3</v>
      </c>
      <c r="R19" s="698" t="e">
        <f>'[14]原始记录（电阻）'!P19</f>
        <v>#REF!</v>
      </c>
      <c r="S19" s="978" t="e">
        <f>'[14]原始记录（电阻）'!W19</f>
        <v>#REF!</v>
      </c>
      <c r="T19" s="698" t="e">
        <f>'[14]原始记录（电阻）'!X19</f>
        <v>#REF!</v>
      </c>
      <c r="AA19" s="698" t="e">
        <f>'[14]原始记录（电阻）'!Z19</f>
        <v>#REF!</v>
      </c>
      <c r="AB19" s="698" t="str">
        <f>[14]原始记录封皮!$D$9</f>
        <v>BZ3</v>
      </c>
      <c r="AC19" s="698" t="e">
        <f>'[14]原始记录（电阻）'!AA19</f>
        <v>#REF!</v>
      </c>
      <c r="AD19" s="978" t="e">
        <f>'[14]原始记录（电阻）'!AH19</f>
        <v>#REF!</v>
      </c>
      <c r="AE19" s="698" t="e">
        <f>'[14]原始记录（电阻）'!AI19</f>
        <v>#REF!</v>
      </c>
      <c r="AF19" s="2"/>
    </row>
    <row r="20" spans="1:32" outlineLevel="1">
      <c r="A20" s="936">
        <v>100</v>
      </c>
      <c r="B20" s="936"/>
      <c r="C20" s="969" t="s">
        <v>2547</v>
      </c>
      <c r="D20" s="962">
        <v>100</v>
      </c>
      <c r="E20" s="974">
        <v>663</v>
      </c>
      <c r="F20" s="706">
        <v>-59</v>
      </c>
      <c r="G20" s="706">
        <v>-32</v>
      </c>
      <c r="H20" s="706">
        <v>-64</v>
      </c>
      <c r="I20" s="966">
        <f t="shared" si="0"/>
        <v>-48</v>
      </c>
      <c r="J20" s="979">
        <f>A20+A20*0.000001*I20</f>
        <v>99.995199999999997</v>
      </c>
      <c r="K20" s="951">
        <v>0.01</v>
      </c>
      <c r="L20" s="2"/>
      <c r="P20" s="698" t="e">
        <f>'[14]原始记录（电阻）'!O26</f>
        <v>#REF!</v>
      </c>
      <c r="Q20" s="698" t="str">
        <f>[14]原始记录封皮!$D$9</f>
        <v>BZ3</v>
      </c>
      <c r="R20" s="698" t="e">
        <f>'[14]原始记录（电阻）'!P26</f>
        <v>#REF!</v>
      </c>
      <c r="S20" s="980" t="e">
        <f>'[14]原始记录（电阻）'!W26</f>
        <v>#REF!</v>
      </c>
      <c r="T20" s="698" t="e">
        <f>'[14]原始记录（电阻）'!X26</f>
        <v>#REF!</v>
      </c>
      <c r="AA20" s="698" t="e">
        <f>'[14]原始记录（电阻）'!Z26</f>
        <v>#REF!</v>
      </c>
      <c r="AB20" s="698" t="str">
        <f>[14]原始记录封皮!$D$9</f>
        <v>BZ3</v>
      </c>
      <c r="AC20" s="698" t="e">
        <f>'[14]原始记录（电阻）'!AA26</f>
        <v>#REF!</v>
      </c>
      <c r="AD20" s="980" t="e">
        <f>'[14]原始记录（电阻）'!AH26</f>
        <v>#REF!</v>
      </c>
      <c r="AE20" s="698" t="e">
        <f>'[14]原始记录（电阻）'!AI26</f>
        <v>#REF!</v>
      </c>
      <c r="AF20" s="2"/>
    </row>
    <row r="21" spans="1:32" outlineLevel="1">
      <c r="A21" s="936">
        <v>1000</v>
      </c>
      <c r="B21" s="936"/>
      <c r="C21" s="969" t="s">
        <v>2548</v>
      </c>
      <c r="D21" s="951">
        <v>1000</v>
      </c>
      <c r="E21" s="965">
        <v>729</v>
      </c>
      <c r="F21" s="951">
        <v>3</v>
      </c>
      <c r="G21" s="951">
        <v>45</v>
      </c>
      <c r="H21" s="951">
        <v>-35</v>
      </c>
      <c r="I21" s="966">
        <f t="shared" si="0"/>
        <v>5</v>
      </c>
      <c r="J21" s="787">
        <f>A21+A21*0.000001*I21</f>
        <v>1000.005</v>
      </c>
      <c r="K21" s="951">
        <v>3.0000000000000001E-3</v>
      </c>
      <c r="L21" s="2"/>
      <c r="P21" s="698" t="e">
        <f>'[14]原始记录（电阻）'!O27</f>
        <v>#REF!</v>
      </c>
      <c r="Q21" s="698" t="str">
        <f>[14]原始记录封皮!$D$9</f>
        <v>BZ3</v>
      </c>
      <c r="R21" s="698" t="e">
        <f>'[14]原始记录（电阻）'!P27</f>
        <v>#REF!</v>
      </c>
      <c r="S21" s="981" t="e">
        <f>'[14]原始记录（电阻）'!W27</f>
        <v>#REF!</v>
      </c>
      <c r="T21" s="698" t="e">
        <f>'[14]原始记录（电阻）'!X27</f>
        <v>#REF!</v>
      </c>
      <c r="AA21" s="698" t="e">
        <f>'[14]原始记录（电阻）'!Z27</f>
        <v>#REF!</v>
      </c>
      <c r="AB21" s="698" t="str">
        <f>[14]原始记录封皮!$D$9</f>
        <v>BZ3</v>
      </c>
      <c r="AC21" s="698" t="e">
        <f>'[14]原始记录（电阻）'!AA27</f>
        <v>#REF!</v>
      </c>
      <c r="AD21" s="981" t="e">
        <f>'[14]原始记录（电阻）'!AH27</f>
        <v>#REF!</v>
      </c>
      <c r="AE21" s="698" t="e">
        <f>'[14]原始记录（电阻）'!AI27</f>
        <v>#REF!</v>
      </c>
      <c r="AF21" s="2"/>
    </row>
    <row r="22" spans="1:32" ht="16.5" outlineLevel="1">
      <c r="A22" s="982" t="s">
        <v>2549</v>
      </c>
      <c r="B22" s="983"/>
      <c r="C22" s="2855" t="s">
        <v>2550</v>
      </c>
      <c r="D22" s="2856"/>
      <c r="E22" s="2856"/>
      <c r="F22" s="2856"/>
      <c r="G22" s="2856"/>
      <c r="H22" s="2856"/>
      <c r="I22" s="2856"/>
      <c r="J22" s="2856"/>
      <c r="K22" s="2782"/>
      <c r="L22" s="2783"/>
    </row>
    <row r="23" spans="1:32" ht="16.5" outlineLevel="1">
      <c r="A23" s="986"/>
      <c r="B23" s="985"/>
      <c r="C23" s="2855" t="s">
        <v>2551</v>
      </c>
      <c r="D23" s="2856"/>
      <c r="E23" s="2856"/>
      <c r="F23" s="2856"/>
      <c r="G23" s="2856"/>
      <c r="H23" s="2856"/>
      <c r="I23" s="2856"/>
      <c r="J23" s="2856"/>
      <c r="K23" s="2784"/>
      <c r="L23" s="2785"/>
      <c r="P23" s="28" t="s">
        <v>2552</v>
      </c>
      <c r="Q23" s="779"/>
    </row>
    <row r="24" spans="1:32" ht="29.25" customHeight="1" outlineLevel="1">
      <c r="A24" s="987"/>
      <c r="B24" s="988"/>
      <c r="C24" s="989" t="s">
        <v>2553</v>
      </c>
      <c r="D24" s="990"/>
      <c r="E24" s="990"/>
      <c r="F24" s="990"/>
      <c r="G24" s="990"/>
      <c r="H24" s="990"/>
      <c r="I24" s="991"/>
      <c r="J24" s="991"/>
      <c r="K24" s="2786"/>
      <c r="L24" s="2787"/>
      <c r="P24" s="779" t="s">
        <v>2554</v>
      </c>
    </row>
    <row r="25" spans="1:32" ht="29.25" customHeight="1">
      <c r="A25" s="993" t="s">
        <v>2555</v>
      </c>
      <c r="B25" s="994"/>
      <c r="C25" s="989" t="s">
        <v>2556</v>
      </c>
      <c r="D25" s="990"/>
      <c r="E25" s="990"/>
      <c r="F25" s="990"/>
      <c r="G25" s="990"/>
      <c r="H25" s="990"/>
      <c r="I25" s="991"/>
      <c r="J25" s="991"/>
      <c r="K25" s="995"/>
      <c r="P25" s="2857" t="s">
        <v>2557</v>
      </c>
      <c r="Q25" s="2739"/>
      <c r="R25" s="2739"/>
      <c r="S25" s="2739"/>
      <c r="T25" s="2739"/>
      <c r="U25" s="2858"/>
      <c r="Y25" s="2840" t="s">
        <v>2558</v>
      </c>
      <c r="Z25" s="2840"/>
    </row>
    <row r="26" spans="1:32" s="702" customFormat="1" ht="20.100000000000001" customHeight="1" outlineLevel="1">
      <c r="A26" s="2493" t="s">
        <v>2559</v>
      </c>
      <c r="B26" s="2612"/>
      <c r="C26" s="2612"/>
      <c r="D26" s="2612"/>
      <c r="E26" s="2611"/>
      <c r="F26" s="2793" t="s">
        <v>2560</v>
      </c>
      <c r="G26" s="2793"/>
      <c r="H26" s="2793"/>
      <c r="I26" s="2793" t="s">
        <v>2561</v>
      </c>
      <c r="J26" s="2793"/>
      <c r="K26" s="2793"/>
      <c r="P26" s="2841" t="s">
        <v>2559</v>
      </c>
      <c r="Q26" s="2611"/>
      <c r="R26" s="2841" t="s">
        <v>2560</v>
      </c>
      <c r="S26" s="2611"/>
      <c r="T26" s="2851" t="s">
        <v>2561</v>
      </c>
      <c r="U26" s="2836"/>
    </row>
    <row r="27" spans="1:32" s="702" customFormat="1" ht="20.100000000000001" customHeight="1" outlineLevel="1">
      <c r="A27" s="2830">
        <v>1</v>
      </c>
      <c r="B27" s="2830"/>
      <c r="C27" s="2830"/>
      <c r="D27" s="2830"/>
      <c r="E27" s="2830"/>
      <c r="F27" s="2837">
        <f>J13</f>
        <v>0</v>
      </c>
      <c r="G27" s="2838"/>
      <c r="H27" s="2839"/>
      <c r="I27" s="2832" t="e">
        <f>((A27*0.001)-F27)/F27*100</f>
        <v>#DIV/0!</v>
      </c>
      <c r="J27" s="2832"/>
      <c r="K27" s="2832"/>
      <c r="P27" s="2493" t="e">
        <f>'[15]原始记录（电阻）'!P41:S41</f>
        <v>#REF!</v>
      </c>
      <c r="Q27" s="2611"/>
      <c r="R27" s="2833" t="e">
        <f>'[15]原始记录（电阻）'!T41</f>
        <v>#REF!</v>
      </c>
      <c r="S27" s="2834"/>
      <c r="T27" s="2835" t="e">
        <f>'[15]原始记录（电阻）'!W41</f>
        <v>#REF!</v>
      </c>
      <c r="U27" s="2836"/>
    </row>
    <row r="28" spans="1:32" s="702" customFormat="1" ht="20.100000000000001" customHeight="1" outlineLevel="1">
      <c r="A28" s="2830">
        <v>2</v>
      </c>
      <c r="B28" s="2830"/>
      <c r="C28" s="2830"/>
      <c r="D28" s="2830"/>
      <c r="E28" s="2830"/>
      <c r="F28" s="2831">
        <f t="shared" ref="F28:F37" si="1">J14+F27</f>
        <v>0</v>
      </c>
      <c r="G28" s="2831">
        <f t="shared" ref="G28:H37" si="2">H8</f>
        <v>0</v>
      </c>
      <c r="H28" s="2831">
        <f t="shared" si="2"/>
        <v>0</v>
      </c>
      <c r="I28" s="2832" t="e">
        <f t="shared" ref="I28:I37" si="3">((A28*0.001)-F28)/F28*100</f>
        <v>#DIV/0!</v>
      </c>
      <c r="J28" s="2832"/>
      <c r="K28" s="2832"/>
      <c r="P28" s="2493" t="e">
        <f>'[15]原始记录（电阻）'!P42:S42</f>
        <v>#REF!</v>
      </c>
      <c r="Q28" s="2611"/>
      <c r="R28" s="2833" t="e">
        <f>'[15]原始记录（电阻）'!T42</f>
        <v>#REF!</v>
      </c>
      <c r="S28" s="2834"/>
      <c r="T28" s="2835" t="e">
        <f>'[15]原始记录（电阻）'!W42</f>
        <v>#REF!</v>
      </c>
      <c r="U28" s="2836"/>
    </row>
    <row r="29" spans="1:32" s="702" customFormat="1" ht="20.100000000000001" customHeight="1" outlineLevel="1">
      <c r="A29" s="2830">
        <v>3</v>
      </c>
      <c r="B29" s="2830"/>
      <c r="C29" s="2830"/>
      <c r="D29" s="2830"/>
      <c r="E29" s="2830"/>
      <c r="F29" s="2831">
        <f t="shared" si="1"/>
        <v>1.0000194999999999E-3</v>
      </c>
      <c r="G29" s="2831">
        <f t="shared" si="2"/>
        <v>0</v>
      </c>
      <c r="H29" s="2831">
        <f t="shared" si="2"/>
        <v>0</v>
      </c>
      <c r="I29" s="2832">
        <f t="shared" si="3"/>
        <v>199.99415011407277</v>
      </c>
      <c r="J29" s="2832"/>
      <c r="K29" s="2832"/>
      <c r="P29" s="2493" t="e">
        <f>'[15]原始记录（电阻）'!P43:S43</f>
        <v>#REF!</v>
      </c>
      <c r="Q29" s="2611"/>
      <c r="R29" s="2833" t="e">
        <f>'[15]原始记录（电阻）'!T43</f>
        <v>#REF!</v>
      </c>
      <c r="S29" s="2834"/>
      <c r="T29" s="2835" t="e">
        <f>'[15]原始记录（电阻）'!W43</f>
        <v>#REF!</v>
      </c>
      <c r="U29" s="2836"/>
    </row>
    <row r="30" spans="1:32" s="702" customFormat="1" ht="20.100000000000001" customHeight="1" outlineLevel="1">
      <c r="A30" s="2830">
        <v>4</v>
      </c>
      <c r="B30" s="2830"/>
      <c r="C30" s="2830"/>
      <c r="D30" s="2830"/>
      <c r="E30" s="2830"/>
      <c r="F30" s="2831">
        <f t="shared" si="1"/>
        <v>1.0998714499999999E-2</v>
      </c>
      <c r="G30" s="2831">
        <f t="shared" si="2"/>
        <v>0</v>
      </c>
      <c r="H30" s="2831">
        <f t="shared" si="2"/>
        <v>0</v>
      </c>
      <c r="I30" s="2832">
        <f t="shared" si="3"/>
        <v>-63.632113552906567</v>
      </c>
      <c r="J30" s="2832"/>
      <c r="K30" s="2832"/>
      <c r="P30" s="2493" t="e">
        <f>'[15]原始记录（电阻）'!P44:S44</f>
        <v>#REF!</v>
      </c>
      <c r="Q30" s="2611"/>
      <c r="R30" s="2833" t="e">
        <f>'[15]原始记录（电阻）'!T44</f>
        <v>#REF!</v>
      </c>
      <c r="S30" s="2834"/>
      <c r="T30" s="2835" t="e">
        <f>'[15]原始记录（电阻）'!W44</f>
        <v>#REF!</v>
      </c>
      <c r="U30" s="2836"/>
    </row>
    <row r="31" spans="1:32" s="702" customFormat="1" ht="20.100000000000001" customHeight="1" outlineLevel="1">
      <c r="A31" s="2830">
        <v>5</v>
      </c>
      <c r="B31" s="2830"/>
      <c r="C31" s="2830"/>
      <c r="D31" s="2830"/>
      <c r="E31" s="2830"/>
      <c r="F31" s="2831">
        <f t="shared" si="1"/>
        <v>0.11100091449999999</v>
      </c>
      <c r="G31" s="2831">
        <f t="shared" si="2"/>
        <v>0</v>
      </c>
      <c r="H31" s="2831">
        <f t="shared" si="2"/>
        <v>0</v>
      </c>
      <c r="I31" s="2832">
        <f t="shared" si="3"/>
        <v>-95.495532606625503</v>
      </c>
      <c r="J31" s="2832"/>
      <c r="K31" s="2832"/>
      <c r="P31" s="2493" t="e">
        <f>'[15]原始记录（电阻）'!P45:S45</f>
        <v>#REF!</v>
      </c>
      <c r="Q31" s="2611"/>
      <c r="R31" s="2833" t="e">
        <f>'[15]原始记录（电阻）'!T45</f>
        <v>#REF!</v>
      </c>
      <c r="S31" s="2834"/>
      <c r="T31" s="2835" t="e">
        <f>'[15]原始记录（电阻）'!W45</f>
        <v>#REF!</v>
      </c>
      <c r="U31" s="2836"/>
    </row>
    <row r="32" spans="1:32" s="702" customFormat="1" ht="20.100000000000001" customHeight="1" outlineLevel="1">
      <c r="A32" s="2830">
        <v>6</v>
      </c>
      <c r="B32" s="2830"/>
      <c r="C32" s="2830"/>
      <c r="D32" s="2830"/>
      <c r="E32" s="2830"/>
      <c r="F32" s="2831">
        <f t="shared" si="1"/>
        <v>1.1109879144999999</v>
      </c>
      <c r="G32" s="2831" t="str">
        <f t="shared" si="2"/>
        <v>反向测量  δx2(×10-6)</v>
      </c>
      <c r="H32" s="2831" t="str">
        <f t="shared" si="2"/>
        <v>测量平均值  δx（×10-6）</v>
      </c>
      <c r="I32" s="2832">
        <f t="shared" si="3"/>
        <v>-99.459940119807669</v>
      </c>
      <c r="J32" s="2832"/>
      <c r="K32" s="2832"/>
      <c r="P32" s="2493" t="e">
        <f>'[15]原始记录（电阻）'!P46:S46</f>
        <v>#REF!</v>
      </c>
      <c r="Q32" s="2611"/>
      <c r="R32" s="2833" t="e">
        <f>'[15]原始记录（电阻）'!T46</f>
        <v>#REF!</v>
      </c>
      <c r="S32" s="2834"/>
      <c r="T32" s="2835" t="e">
        <f>'[15]原始记录（电阻）'!W46</f>
        <v>#REF!</v>
      </c>
      <c r="U32" s="2836"/>
    </row>
    <row r="33" spans="1:21" s="702" customFormat="1" ht="20.100000000000001" customHeight="1" outlineLevel="1">
      <c r="A33" s="2830">
        <v>7</v>
      </c>
      <c r="B33" s="2830"/>
      <c r="C33" s="2830"/>
      <c r="D33" s="2830"/>
      <c r="E33" s="2830"/>
      <c r="F33" s="2831">
        <f t="shared" si="1"/>
        <v>11.110487914499998</v>
      </c>
      <c r="G33" s="2831">
        <f t="shared" si="2"/>
        <v>0</v>
      </c>
      <c r="H33" s="2831">
        <f t="shared" si="2"/>
        <v>0</v>
      </c>
      <c r="I33" s="2832">
        <f t="shared" si="3"/>
        <v>-99.936996466277023</v>
      </c>
      <c r="J33" s="2832"/>
      <c r="K33" s="2832"/>
      <c r="P33" s="2493" t="e">
        <f>'[15]原始记录（电阻）'!P47:S47</f>
        <v>#REF!</v>
      </c>
      <c r="Q33" s="2611"/>
      <c r="R33" s="2833" t="e">
        <f>'[15]原始记录（电阻）'!T47</f>
        <v>#REF!</v>
      </c>
      <c r="S33" s="2834"/>
      <c r="T33" s="2835" t="e">
        <f>'[15]原始记录（电阻）'!W47</f>
        <v>#REF!</v>
      </c>
      <c r="U33" s="2836"/>
    </row>
    <row r="34" spans="1:21" s="702" customFormat="1" ht="20.100000000000001" customHeight="1" outlineLevel="1">
      <c r="A34" s="2830">
        <v>8</v>
      </c>
      <c r="B34" s="2830"/>
      <c r="C34" s="2830"/>
      <c r="D34" s="2830"/>
      <c r="E34" s="2830"/>
      <c r="F34" s="2831">
        <f t="shared" si="1"/>
        <v>111.1056879145</v>
      </c>
      <c r="G34" s="2831">
        <f t="shared" si="2"/>
        <v>0</v>
      </c>
      <c r="H34" s="2831">
        <f t="shared" si="2"/>
        <v>0</v>
      </c>
      <c r="I34" s="2832">
        <f t="shared" si="3"/>
        <v>-99.992799648559711</v>
      </c>
      <c r="J34" s="2832"/>
      <c r="K34" s="2832"/>
      <c r="P34" s="2493" t="e">
        <f>'[15]原始记录（电阻）'!P48:S48</f>
        <v>#REF!</v>
      </c>
      <c r="Q34" s="2611"/>
      <c r="R34" s="2833" t="e">
        <f>'[15]原始记录（电阻）'!T48</f>
        <v>#REF!</v>
      </c>
      <c r="S34" s="2834"/>
      <c r="T34" s="2835" t="e">
        <f>'[15]原始记录（电阻）'!W48</f>
        <v>#REF!</v>
      </c>
      <c r="U34" s="2836"/>
    </row>
    <row r="35" spans="1:21" s="702" customFormat="1" ht="20.100000000000001" customHeight="1" outlineLevel="1">
      <c r="A35" s="2830">
        <v>9</v>
      </c>
      <c r="B35" s="2830"/>
      <c r="C35" s="2830"/>
      <c r="D35" s="2830"/>
      <c r="E35" s="2830"/>
      <c r="F35" s="2831">
        <f t="shared" si="1"/>
        <v>1111.1106879145</v>
      </c>
      <c r="G35" s="2831">
        <f t="shared" si="2"/>
        <v>-23</v>
      </c>
      <c r="H35" s="2831">
        <f t="shared" si="2"/>
        <v>44.5</v>
      </c>
      <c r="I35" s="2832">
        <f t="shared" si="3"/>
        <v>-99.999189999691481</v>
      </c>
      <c r="J35" s="2832"/>
      <c r="K35" s="2832"/>
      <c r="P35" s="2493" t="e">
        <f>'[15]原始记录（电阻）'!P49:S49</f>
        <v>#REF!</v>
      </c>
      <c r="Q35" s="2611"/>
      <c r="R35" s="2833" t="e">
        <f>'[15]原始记录（电阻）'!T49</f>
        <v>#REF!</v>
      </c>
      <c r="S35" s="2834"/>
      <c r="T35" s="2835" t="e">
        <f>'[15]原始记录（电阻）'!W49</f>
        <v>#REF!</v>
      </c>
      <c r="U35" s="2836"/>
    </row>
    <row r="36" spans="1:21" s="702" customFormat="1" ht="20.100000000000001" customHeight="1" outlineLevel="1">
      <c r="A36" s="2830">
        <v>10</v>
      </c>
      <c r="B36" s="2830"/>
      <c r="C36" s="2830"/>
      <c r="D36" s="2830"/>
      <c r="E36" s="2830"/>
      <c r="F36" s="2831">
        <f t="shared" si="1"/>
        <v>1111.1106879145</v>
      </c>
      <c r="G36" s="2831">
        <f t="shared" si="2"/>
        <v>32</v>
      </c>
      <c r="H36" s="2831">
        <f t="shared" si="2"/>
        <v>-71.5</v>
      </c>
      <c r="I36" s="2832">
        <f t="shared" si="3"/>
        <v>-99.999099999657219</v>
      </c>
      <c r="J36" s="2832"/>
      <c r="K36" s="2832"/>
      <c r="P36" s="2493" t="e">
        <f>'[15]原始记录（电阻）'!P50:S50</f>
        <v>#REF!</v>
      </c>
      <c r="Q36" s="2611"/>
      <c r="R36" s="2833" t="e">
        <f>'[15]原始记录（电阻）'!T50</f>
        <v>#REF!</v>
      </c>
      <c r="S36" s="2834"/>
      <c r="T36" s="2835" t="e">
        <f>'[15]原始记录（电阻）'!W50</f>
        <v>#REF!</v>
      </c>
      <c r="U36" s="2836"/>
    </row>
    <row r="37" spans="1:21" s="702" customFormat="1" ht="20.100000000000001" customHeight="1" outlineLevel="1">
      <c r="A37" s="2830">
        <v>11</v>
      </c>
      <c r="B37" s="2830"/>
      <c r="C37" s="2830"/>
      <c r="D37" s="2830"/>
      <c r="E37" s="2830"/>
      <c r="F37" s="2831">
        <f t="shared" si="1"/>
        <v>1111.1106879145</v>
      </c>
      <c r="G37" s="2831">
        <f t="shared" si="2"/>
        <v>67</v>
      </c>
      <c r="H37" s="2831">
        <f t="shared" si="2"/>
        <v>56</v>
      </c>
      <c r="I37" s="2832">
        <f t="shared" si="3"/>
        <v>-99.999009999622928</v>
      </c>
      <c r="J37" s="2832"/>
      <c r="K37" s="2832"/>
      <c r="P37" s="2493" t="e">
        <f>'[15]原始记录（电阻）'!P51:S51</f>
        <v>#REF!</v>
      </c>
      <c r="Q37" s="2611"/>
      <c r="R37" s="2833" t="e">
        <f>'[15]原始记录（电阻）'!T51</f>
        <v>#REF!</v>
      </c>
      <c r="S37" s="2834"/>
      <c r="T37" s="2835" t="e">
        <f>'[15]原始记录（电阻）'!W51</f>
        <v>#REF!</v>
      </c>
      <c r="U37" s="2836"/>
    </row>
    <row r="38" spans="1:21" ht="29.25" customHeight="1">
      <c r="A38" s="987"/>
      <c r="B38" s="988"/>
      <c r="C38" s="989"/>
      <c r="D38" s="990"/>
      <c r="E38" s="990"/>
      <c r="F38" s="990"/>
      <c r="G38" s="990"/>
      <c r="H38" s="990"/>
      <c r="I38" s="991"/>
      <c r="J38" s="991"/>
      <c r="K38" s="991"/>
    </row>
    <row r="39" spans="1:21" ht="29.25" customHeight="1">
      <c r="A39" s="987"/>
      <c r="B39" s="988"/>
      <c r="C39" s="989"/>
      <c r="D39" s="990"/>
      <c r="E39" s="990"/>
      <c r="F39" s="990"/>
      <c r="G39" s="990"/>
      <c r="H39" s="990"/>
      <c r="I39" s="991"/>
      <c r="J39" s="991"/>
      <c r="K39" s="991"/>
    </row>
    <row r="40" spans="1:21" ht="14.25" customHeight="1">
      <c r="A40" s="151" t="s">
        <v>2562</v>
      </c>
      <c r="B40" s="998"/>
      <c r="C40" s="999"/>
      <c r="D40" s="999"/>
      <c r="E40" s="999"/>
      <c r="F40" s="999"/>
      <c r="G40" s="999"/>
      <c r="H40" s="1000"/>
      <c r="I40" s="151"/>
      <c r="J40" s="999"/>
      <c r="K40" s="999"/>
    </row>
    <row r="41" spans="1:21" ht="35.25" customHeight="1" outlineLevel="1">
      <c r="A41" s="2385" t="s">
        <v>2563</v>
      </c>
      <c r="B41" s="2386"/>
      <c r="C41" s="2379"/>
      <c r="D41" s="2385" t="s">
        <v>2564</v>
      </c>
      <c r="E41" s="2386"/>
      <c r="F41" s="2386"/>
      <c r="G41" s="2379"/>
      <c r="H41" s="2734" t="s">
        <v>2565</v>
      </c>
      <c r="I41" s="2734" t="s">
        <v>2566</v>
      </c>
      <c r="J41" s="2735" t="s">
        <v>2567</v>
      </c>
      <c r="K41" s="2730" t="s">
        <v>2568</v>
      </c>
      <c r="L41" s="2825" t="s">
        <v>2569</v>
      </c>
      <c r="M41" s="779" t="s">
        <v>2570</v>
      </c>
    </row>
    <row r="42" spans="1:21" ht="14.25" customHeight="1" outlineLevel="1">
      <c r="A42" s="960" t="s">
        <v>2571</v>
      </c>
      <c r="B42" s="2730" t="s">
        <v>2572</v>
      </c>
      <c r="C42" s="2730" t="s">
        <v>2573</v>
      </c>
      <c r="D42" s="960" t="s">
        <v>2571</v>
      </c>
      <c r="E42" s="2730" t="s">
        <v>2573</v>
      </c>
      <c r="F42" s="2726" t="s">
        <v>2574</v>
      </c>
      <c r="G42" s="2727"/>
      <c r="H42" s="2731"/>
      <c r="I42" s="2731"/>
      <c r="J42" s="2736"/>
      <c r="K42" s="2731"/>
      <c r="L42" s="2826"/>
    </row>
    <row r="43" spans="1:21" ht="14.25" customHeight="1" outlineLevel="1">
      <c r="A43" s="730" t="s">
        <v>2575</v>
      </c>
      <c r="B43" s="2430"/>
      <c r="C43" s="2430"/>
      <c r="D43" s="730" t="s">
        <v>2575</v>
      </c>
      <c r="E43" s="2430"/>
      <c r="F43" s="2728"/>
      <c r="G43" s="2729"/>
      <c r="H43" s="2430"/>
      <c r="I43" s="2430"/>
      <c r="J43" s="2737"/>
      <c r="K43" s="730" t="s">
        <v>2576</v>
      </c>
      <c r="L43" s="2826"/>
    </row>
    <row r="44" spans="1:21" ht="14.25" customHeight="1" outlineLevel="1">
      <c r="A44" s="951">
        <v>10000</v>
      </c>
      <c r="B44" s="951"/>
      <c r="C44" s="951">
        <v>841064</v>
      </c>
      <c r="D44" s="951">
        <v>10000</v>
      </c>
      <c r="E44" s="951">
        <v>663</v>
      </c>
      <c r="F44" s="2658">
        <v>9999.7900000000009</v>
      </c>
      <c r="G44" s="2603"/>
      <c r="H44" s="951">
        <v>1.000156</v>
      </c>
      <c r="I44" s="951">
        <v>0.99999800000000005</v>
      </c>
      <c r="J44" s="1002">
        <f>H44/K44-I44/K44+F44</f>
        <v>10001.370000000001</v>
      </c>
      <c r="K44" s="951">
        <v>1E-4</v>
      </c>
      <c r="L44" s="2"/>
    </row>
    <row r="45" spans="1:21" ht="14.25" customHeight="1" outlineLevel="1">
      <c r="A45" s="951">
        <v>100000</v>
      </c>
      <c r="B45" s="951"/>
      <c r="C45" s="951">
        <v>831979</v>
      </c>
      <c r="D45" s="951">
        <v>100000</v>
      </c>
      <c r="E45" s="951">
        <v>695</v>
      </c>
      <c r="F45" s="2658">
        <v>100003.1</v>
      </c>
      <c r="G45" s="2603"/>
      <c r="H45" s="951">
        <v>9.9989600000000003</v>
      </c>
      <c r="I45" s="951">
        <v>9.9991299999999992</v>
      </c>
      <c r="J45" s="966">
        <f>H45/K45-I45/K45+F45</f>
        <v>100001.40000000001</v>
      </c>
      <c r="K45" s="951">
        <v>1E-4</v>
      </c>
      <c r="L45" s="2"/>
    </row>
    <row r="46" spans="1:21" ht="16.5" customHeight="1" outlineLevel="1">
      <c r="A46" s="1003" t="s">
        <v>2577</v>
      </c>
      <c r="B46" s="1004"/>
      <c r="C46" s="1005" t="s">
        <v>2578</v>
      </c>
      <c r="D46" s="716" t="s">
        <v>88</v>
      </c>
      <c r="E46" s="716"/>
      <c r="F46" s="716"/>
      <c r="G46" s="716"/>
      <c r="H46" s="716"/>
      <c r="I46" s="716"/>
      <c r="J46" s="716"/>
      <c r="K46" s="722"/>
      <c r="L46" s="2"/>
    </row>
    <row r="47" spans="1:21" ht="16.5" customHeight="1" outlineLevel="1">
      <c r="A47" s="724"/>
      <c r="B47" s="827"/>
      <c r="C47" s="984" t="s">
        <v>2579</v>
      </c>
      <c r="D47" s="827" t="s">
        <v>89</v>
      </c>
      <c r="E47" s="827"/>
      <c r="F47" s="827"/>
      <c r="G47" s="827"/>
      <c r="H47" s="827"/>
      <c r="I47" s="827"/>
      <c r="J47" s="827"/>
      <c r="K47" s="725"/>
      <c r="L47" s="2"/>
    </row>
    <row r="48" spans="1:21" ht="16.5" customHeight="1" outlineLevel="1">
      <c r="A48" s="724"/>
      <c r="B48" s="827"/>
      <c r="C48" s="984" t="s">
        <v>2580</v>
      </c>
      <c r="D48" s="827" t="s">
        <v>2581</v>
      </c>
      <c r="E48" s="827"/>
      <c r="F48" s="827"/>
      <c r="G48" s="827"/>
      <c r="H48" s="827"/>
      <c r="I48" s="827"/>
      <c r="J48" s="827"/>
      <c r="K48" s="725"/>
      <c r="L48" s="2"/>
    </row>
    <row r="49" spans="1:26" ht="16.5" customHeight="1" outlineLevel="1">
      <c r="A49" s="724"/>
      <c r="B49" s="827"/>
      <c r="C49" s="984" t="s">
        <v>2582</v>
      </c>
      <c r="D49" s="827" t="s">
        <v>2583</v>
      </c>
      <c r="E49" s="827"/>
      <c r="F49" s="827"/>
      <c r="G49" s="827"/>
      <c r="H49" s="827"/>
      <c r="I49" s="827"/>
      <c r="J49" s="827"/>
      <c r="K49" s="725"/>
      <c r="L49" s="2"/>
    </row>
    <row r="50" spans="1:26" ht="16.5" outlineLevel="1">
      <c r="A50" s="726"/>
      <c r="B50" s="990"/>
      <c r="C50" s="2827" t="s">
        <v>2584</v>
      </c>
      <c r="D50" s="2828"/>
      <c r="E50" s="2828"/>
      <c r="F50" s="2828"/>
      <c r="G50" s="2828"/>
      <c r="H50" s="990"/>
      <c r="I50" s="990"/>
      <c r="J50" s="990"/>
      <c r="K50" s="727"/>
      <c r="L50" s="2"/>
    </row>
    <row r="51" spans="1:26" outlineLevel="1"/>
    <row r="52" spans="1:26">
      <c r="A52" s="2829" t="s">
        <v>2585</v>
      </c>
      <c r="B52" s="2829"/>
      <c r="C52" s="2829"/>
      <c r="D52" s="2829"/>
      <c r="E52" s="2829"/>
      <c r="F52" s="2829"/>
      <c r="G52" s="2829"/>
      <c r="H52" s="2829"/>
      <c r="I52" s="2829"/>
      <c r="J52" s="2829"/>
      <c r="K52" s="2829"/>
      <c r="L52" s="2829"/>
      <c r="N52" s="779" t="s">
        <v>2552</v>
      </c>
    </row>
    <row r="53" spans="1:26" ht="14.25" customHeight="1" outlineLevel="1">
      <c r="A53" s="2381" t="s">
        <v>2559</v>
      </c>
      <c r="B53" s="2382"/>
      <c r="C53" s="248" t="s">
        <v>2586</v>
      </c>
      <c r="D53" s="957">
        <v>10</v>
      </c>
      <c r="E53" s="249" t="s">
        <v>2587</v>
      </c>
      <c r="F53" s="1006" t="s">
        <v>90</v>
      </c>
      <c r="G53" s="957">
        <v>1</v>
      </c>
      <c r="H53" s="1007" t="s">
        <v>2587</v>
      </c>
      <c r="I53" s="1007"/>
      <c r="J53" s="1008" t="s">
        <v>2588</v>
      </c>
      <c r="K53" s="1009">
        <v>0.1</v>
      </c>
      <c r="L53" s="1010" t="s">
        <v>91</v>
      </c>
      <c r="N53" s="2735" t="s">
        <v>2589</v>
      </c>
      <c r="O53" s="2853" t="s">
        <v>2588</v>
      </c>
      <c r="P53" s="2854"/>
      <c r="Q53" s="718">
        <v>10</v>
      </c>
      <c r="R53" s="884" t="s">
        <v>2587</v>
      </c>
      <c r="S53" s="2853" t="s">
        <v>2588</v>
      </c>
      <c r="T53" s="2854"/>
      <c r="U53" s="718">
        <v>1</v>
      </c>
      <c r="V53" s="884" t="e">
        <f>'[16]原始记录（ZY4）'!T48</f>
        <v>#REF!</v>
      </c>
      <c r="W53" s="2853" t="s">
        <v>2586</v>
      </c>
      <c r="X53" s="2854"/>
      <c r="Y53" s="718">
        <v>0.1</v>
      </c>
      <c r="Z53" s="884" t="s">
        <v>2590</v>
      </c>
    </row>
    <row r="54" spans="1:26" ht="47.25" outlineLevel="1">
      <c r="A54" s="2383"/>
      <c r="B54" s="2384"/>
      <c r="C54" s="785" t="s">
        <v>2591</v>
      </c>
      <c r="D54" s="250" t="s">
        <v>2560</v>
      </c>
      <c r="E54" s="250" t="s">
        <v>2561</v>
      </c>
      <c r="F54" s="785" t="s">
        <v>2591</v>
      </c>
      <c r="G54" s="2693" t="s">
        <v>2560</v>
      </c>
      <c r="H54" s="2694"/>
      <c r="I54" s="785" t="s">
        <v>2561</v>
      </c>
      <c r="J54" s="785" t="s">
        <v>2591</v>
      </c>
      <c r="K54" s="785" t="s">
        <v>2560</v>
      </c>
      <c r="L54" s="785" t="s">
        <v>2561</v>
      </c>
      <c r="N54" s="2737"/>
      <c r="O54" s="2823" t="s">
        <v>2560</v>
      </c>
      <c r="P54" s="2824"/>
      <c r="Q54" s="2822" t="s">
        <v>2561</v>
      </c>
      <c r="R54" s="2485"/>
      <c r="S54" s="2823" t="s">
        <v>2560</v>
      </c>
      <c r="T54" s="2824"/>
      <c r="U54" s="2822" t="s">
        <v>2561</v>
      </c>
      <c r="V54" s="2485"/>
      <c r="W54" s="2823" t="s">
        <v>2560</v>
      </c>
      <c r="X54" s="2824"/>
      <c r="Y54" s="2822" t="s">
        <v>2561</v>
      </c>
      <c r="Z54" s="2485"/>
    </row>
    <row r="55" spans="1:26" outlineLevel="1">
      <c r="A55" s="2385">
        <v>1</v>
      </c>
      <c r="B55" s="2379"/>
      <c r="C55" s="1013">
        <v>3</v>
      </c>
      <c r="D55" s="977">
        <f t="shared" ref="D55:D65" si="4">(10*A55)+10*0.00001*C55</f>
        <v>10.000299999999999</v>
      </c>
      <c r="E55" s="1014">
        <f>((D$7*A55)-D55)/D55*100</f>
        <v>-100</v>
      </c>
      <c r="F55" s="1013">
        <v>-3</v>
      </c>
      <c r="G55" s="2818">
        <f>(1*A55)+1*0.00001*F55</f>
        <v>0.99997000000000003</v>
      </c>
      <c r="H55" s="2819"/>
      <c r="I55" s="979">
        <f>((G$7*A55)-G55)/G55*100</f>
        <v>-100</v>
      </c>
      <c r="J55" s="1013">
        <v>-3</v>
      </c>
      <c r="K55" s="972">
        <f t="shared" ref="K55:K65" si="5">(0.1*A55)+0.1*0.00001*J55</f>
        <v>9.9997000000000003E-2</v>
      </c>
      <c r="L55" s="979">
        <f t="shared" ref="L55:L65" si="6">((K$7*A55)-K55)/K55*100</f>
        <v>-100</v>
      </c>
      <c r="N55" s="698">
        <v>1</v>
      </c>
      <c r="O55" s="2820" t="e">
        <f>'[16]原始记录（ZY4）'!P50</f>
        <v>#REF!</v>
      </c>
      <c r="P55" s="2820"/>
      <c r="Q55" s="2485" t="e">
        <f>'[16]原始记录（ZY4）'!Q50</f>
        <v>#REF!</v>
      </c>
      <c r="R55" s="2485"/>
      <c r="S55" s="2821" t="e">
        <f>'[16]原始记录（ZY4）'!S50</f>
        <v>#REF!</v>
      </c>
      <c r="T55" s="2821"/>
      <c r="U55" s="2485" t="e">
        <f>'[16]原始记录（ZY4）'!U50</f>
        <v>#REF!</v>
      </c>
      <c r="V55" s="2485"/>
      <c r="W55" s="2817" t="e">
        <f>'[16]原始记录（ZY4）'!W50</f>
        <v>#REF!</v>
      </c>
      <c r="X55" s="2817"/>
      <c r="Y55" s="2485" t="e">
        <f>'[16]原始记录（ZY4）'!X50</f>
        <v>#REF!</v>
      </c>
      <c r="Z55" s="2485"/>
    </row>
    <row r="56" spans="1:26" outlineLevel="1">
      <c r="A56" s="2385">
        <v>2</v>
      </c>
      <c r="B56" s="2379"/>
      <c r="C56" s="1013">
        <v>-2</v>
      </c>
      <c r="D56" s="977">
        <f t="shared" si="4"/>
        <v>19.9998</v>
      </c>
      <c r="E56" s="1014">
        <f t="shared" ref="E56:E65" si="7">((D$7*A56)-D56)/D56*100</f>
        <v>-100</v>
      </c>
      <c r="F56" s="1013">
        <v>4</v>
      </c>
      <c r="G56" s="2818">
        <f t="shared" ref="G56:G65" si="8">(1*A56)+1*0.00001*F56</f>
        <v>2.0000399999999998</v>
      </c>
      <c r="H56" s="2819"/>
      <c r="I56" s="979">
        <f t="shared" ref="I56:I65" si="9">((G$7*A56)-G56)/G56*100</f>
        <v>-100</v>
      </c>
      <c r="J56" s="1013">
        <v>-12</v>
      </c>
      <c r="K56" s="972">
        <f t="shared" si="5"/>
        <v>0.199988</v>
      </c>
      <c r="L56" s="979">
        <f t="shared" si="6"/>
        <v>-100</v>
      </c>
      <c r="N56" s="698">
        <v>2</v>
      </c>
      <c r="O56" s="2820" t="e">
        <f>'[16]原始记录（ZY4）'!P51</f>
        <v>#REF!</v>
      </c>
      <c r="P56" s="2820"/>
      <c r="Q56" s="2485" t="e">
        <f>'[16]原始记录（ZY4）'!Q51</f>
        <v>#REF!</v>
      </c>
      <c r="R56" s="2485"/>
      <c r="S56" s="2821" t="e">
        <f>'[16]原始记录（ZY4）'!S51</f>
        <v>#REF!</v>
      </c>
      <c r="T56" s="2821"/>
      <c r="U56" s="2485" t="e">
        <f>'[16]原始记录（ZY4）'!U51</f>
        <v>#REF!</v>
      </c>
      <c r="V56" s="2485"/>
      <c r="W56" s="2817" t="e">
        <f>'[16]原始记录（ZY4）'!W51</f>
        <v>#REF!</v>
      </c>
      <c r="X56" s="2817"/>
      <c r="Y56" s="2485" t="e">
        <f>'[16]原始记录（ZY4）'!X51</f>
        <v>#REF!</v>
      </c>
      <c r="Z56" s="2485"/>
    </row>
    <row r="57" spans="1:26" outlineLevel="1">
      <c r="A57" s="2385">
        <v>3</v>
      </c>
      <c r="B57" s="2379"/>
      <c r="C57" s="1013">
        <v>-2</v>
      </c>
      <c r="D57" s="977">
        <f t="shared" si="4"/>
        <v>29.9998</v>
      </c>
      <c r="E57" s="1014">
        <f t="shared" si="7"/>
        <v>-100</v>
      </c>
      <c r="F57" s="1013">
        <v>-1</v>
      </c>
      <c r="G57" s="2818">
        <f t="shared" si="8"/>
        <v>2.9999899999999999</v>
      </c>
      <c r="H57" s="2819"/>
      <c r="I57" s="979">
        <f t="shared" si="9"/>
        <v>-100</v>
      </c>
      <c r="J57" s="1013">
        <v>-14</v>
      </c>
      <c r="K57" s="972">
        <f t="shared" si="5"/>
        <v>0.29998600000000003</v>
      </c>
      <c r="L57" s="979">
        <f t="shared" si="6"/>
        <v>-100</v>
      </c>
      <c r="N57" s="698">
        <v>3</v>
      </c>
      <c r="O57" s="2820" t="e">
        <f>'[16]原始记录（ZY4）'!P52</f>
        <v>#REF!</v>
      </c>
      <c r="P57" s="2820"/>
      <c r="Q57" s="2485" t="e">
        <f>'[16]原始记录（ZY4）'!Q52</f>
        <v>#REF!</v>
      </c>
      <c r="R57" s="2485"/>
      <c r="S57" s="2821" t="e">
        <f>'[16]原始记录（ZY4）'!S52</f>
        <v>#REF!</v>
      </c>
      <c r="T57" s="2821"/>
      <c r="U57" s="2485" t="e">
        <f>'[16]原始记录（ZY4）'!U52</f>
        <v>#REF!</v>
      </c>
      <c r="V57" s="2485"/>
      <c r="W57" s="2817" t="e">
        <f>'[16]原始记录（ZY4）'!W52</f>
        <v>#REF!</v>
      </c>
      <c r="X57" s="2817"/>
      <c r="Y57" s="2485" t="e">
        <f>'[16]原始记录（ZY4）'!X52</f>
        <v>#REF!</v>
      </c>
      <c r="Z57" s="2485"/>
    </row>
    <row r="58" spans="1:26" outlineLevel="1">
      <c r="A58" s="2385">
        <v>4</v>
      </c>
      <c r="B58" s="2379"/>
      <c r="C58" s="1013">
        <v>-6</v>
      </c>
      <c r="D58" s="977">
        <f t="shared" si="4"/>
        <v>39.999400000000001</v>
      </c>
      <c r="E58" s="1014">
        <f t="shared" si="7"/>
        <v>-100</v>
      </c>
      <c r="F58" s="1013">
        <v>3</v>
      </c>
      <c r="G58" s="2818">
        <f t="shared" si="8"/>
        <v>4.0000299999999998</v>
      </c>
      <c r="H58" s="2819"/>
      <c r="I58" s="979">
        <f t="shared" si="9"/>
        <v>-100</v>
      </c>
      <c r="J58" s="1013">
        <v>-26</v>
      </c>
      <c r="K58" s="972">
        <f t="shared" si="5"/>
        <v>0.399974</v>
      </c>
      <c r="L58" s="979">
        <f t="shared" si="6"/>
        <v>-100</v>
      </c>
      <c r="N58" s="698">
        <v>4</v>
      </c>
      <c r="O58" s="2820" t="e">
        <f>'[16]原始记录（ZY4）'!P53</f>
        <v>#REF!</v>
      </c>
      <c r="P58" s="2820"/>
      <c r="Q58" s="2485" t="e">
        <f>'[16]原始记录（ZY4）'!Q53</f>
        <v>#REF!</v>
      </c>
      <c r="R58" s="2485"/>
      <c r="S58" s="2821" t="e">
        <f>'[16]原始记录（ZY4）'!S53</f>
        <v>#REF!</v>
      </c>
      <c r="T58" s="2821"/>
      <c r="U58" s="2485" t="e">
        <f>'[16]原始记录（ZY4）'!U53</f>
        <v>#REF!</v>
      </c>
      <c r="V58" s="2485"/>
      <c r="W58" s="2817" t="e">
        <f>'[16]原始记录（ZY4）'!W53</f>
        <v>#REF!</v>
      </c>
      <c r="X58" s="2817"/>
      <c r="Y58" s="2485" t="e">
        <f>'[16]原始记录（ZY4）'!X53</f>
        <v>#REF!</v>
      </c>
      <c r="Z58" s="2485"/>
    </row>
    <row r="59" spans="1:26" outlineLevel="1">
      <c r="A59" s="2385">
        <v>5</v>
      </c>
      <c r="B59" s="2379"/>
      <c r="C59" s="1013">
        <v>-2</v>
      </c>
      <c r="D59" s="977">
        <f t="shared" si="4"/>
        <v>49.9998</v>
      </c>
      <c r="E59" s="1014">
        <f t="shared" si="7"/>
        <v>-100</v>
      </c>
      <c r="F59" s="1013">
        <v>-1</v>
      </c>
      <c r="G59" s="2818">
        <f t="shared" si="8"/>
        <v>4.9999900000000004</v>
      </c>
      <c r="H59" s="2819"/>
      <c r="I59" s="979">
        <f t="shared" si="9"/>
        <v>-100</v>
      </c>
      <c r="J59" s="1013">
        <v>-25</v>
      </c>
      <c r="K59" s="972">
        <f t="shared" si="5"/>
        <v>0.499975</v>
      </c>
      <c r="L59" s="979">
        <f t="shared" si="6"/>
        <v>-100</v>
      </c>
      <c r="N59" s="698">
        <v>5</v>
      </c>
      <c r="O59" s="2820" t="e">
        <f>'[16]原始记录（ZY4）'!P54</f>
        <v>#REF!</v>
      </c>
      <c r="P59" s="2820"/>
      <c r="Q59" s="2485" t="e">
        <f>'[16]原始记录（ZY4）'!Q54</f>
        <v>#REF!</v>
      </c>
      <c r="R59" s="2485"/>
      <c r="S59" s="2821" t="e">
        <f>'[16]原始记录（ZY4）'!S54</f>
        <v>#REF!</v>
      </c>
      <c r="T59" s="2821"/>
      <c r="U59" s="2485" t="e">
        <f>'[16]原始记录（ZY4）'!U54</f>
        <v>#REF!</v>
      </c>
      <c r="V59" s="2485"/>
      <c r="W59" s="2817" t="e">
        <f>'[16]原始记录（ZY4）'!W54</f>
        <v>#REF!</v>
      </c>
      <c r="X59" s="2817"/>
      <c r="Y59" s="2485" t="e">
        <f>'[16]原始记录（ZY4）'!X54</f>
        <v>#REF!</v>
      </c>
      <c r="Z59" s="2485"/>
    </row>
    <row r="60" spans="1:26" outlineLevel="1">
      <c r="A60" s="2385">
        <v>6</v>
      </c>
      <c r="B60" s="2379"/>
      <c r="C60" s="1013">
        <v>-5</v>
      </c>
      <c r="D60" s="977">
        <f t="shared" si="4"/>
        <v>59.999499999999998</v>
      </c>
      <c r="E60" s="1014">
        <f t="shared" si="7"/>
        <v>-100</v>
      </c>
      <c r="F60" s="1013">
        <v>-3</v>
      </c>
      <c r="G60" s="2818">
        <f t="shared" si="8"/>
        <v>5.9999700000000002</v>
      </c>
      <c r="H60" s="2819"/>
      <c r="I60" s="979">
        <f t="shared" si="9"/>
        <v>-100</v>
      </c>
      <c r="J60" s="1013">
        <v>-21</v>
      </c>
      <c r="K60" s="972">
        <f t="shared" si="5"/>
        <v>0.59997900000000004</v>
      </c>
      <c r="L60" s="979">
        <f t="shared" si="6"/>
        <v>-100</v>
      </c>
      <c r="N60" s="698">
        <v>6</v>
      </c>
      <c r="O60" s="2820" t="e">
        <f>'[16]原始记录（ZY4）'!P55</f>
        <v>#REF!</v>
      </c>
      <c r="P60" s="2820"/>
      <c r="Q60" s="2485" t="e">
        <f>'[16]原始记录（ZY4）'!Q55</f>
        <v>#REF!</v>
      </c>
      <c r="R60" s="2485"/>
      <c r="S60" s="2821" t="e">
        <f>'[16]原始记录（ZY4）'!S55</f>
        <v>#REF!</v>
      </c>
      <c r="T60" s="2821"/>
      <c r="U60" s="2485" t="e">
        <f>'[16]原始记录（ZY4）'!U55</f>
        <v>#REF!</v>
      </c>
      <c r="V60" s="2485"/>
      <c r="W60" s="2817" t="e">
        <f>'[16]原始记录（ZY4）'!W55</f>
        <v>#REF!</v>
      </c>
      <c r="X60" s="2817"/>
      <c r="Y60" s="2485" t="e">
        <f>'[16]原始记录（ZY4）'!X55</f>
        <v>#REF!</v>
      </c>
      <c r="Z60" s="2485"/>
    </row>
    <row r="61" spans="1:26" outlineLevel="1">
      <c r="A61" s="2385">
        <v>7</v>
      </c>
      <c r="B61" s="2379"/>
      <c r="C61" s="1013">
        <v>3</v>
      </c>
      <c r="D61" s="977">
        <f t="shared" si="4"/>
        <v>70.000299999999996</v>
      </c>
      <c r="E61" s="1014">
        <f t="shared" si="7"/>
        <v>-100</v>
      </c>
      <c r="F61" s="1013">
        <v>5</v>
      </c>
      <c r="G61" s="2818">
        <f t="shared" si="8"/>
        <v>7.0000499999999999</v>
      </c>
      <c r="H61" s="2819"/>
      <c r="I61" s="979">
        <f t="shared" si="9"/>
        <v>-100</v>
      </c>
      <c r="J61" s="1013">
        <v>-23</v>
      </c>
      <c r="K61" s="972">
        <f t="shared" si="5"/>
        <v>0.69997700000000007</v>
      </c>
      <c r="L61" s="979">
        <f t="shared" si="6"/>
        <v>-100</v>
      </c>
      <c r="N61" s="698">
        <v>7</v>
      </c>
      <c r="O61" s="2820" t="e">
        <f>'[16]原始记录（ZY4）'!P56</f>
        <v>#REF!</v>
      </c>
      <c r="P61" s="2820"/>
      <c r="Q61" s="2485" t="e">
        <f>'[16]原始记录（ZY4）'!Q56</f>
        <v>#REF!</v>
      </c>
      <c r="R61" s="2485"/>
      <c r="S61" s="2821" t="e">
        <f>'[16]原始记录（ZY4）'!S56</f>
        <v>#REF!</v>
      </c>
      <c r="T61" s="2821"/>
      <c r="U61" s="2485" t="e">
        <f>'[16]原始记录（ZY4）'!U56</f>
        <v>#REF!</v>
      </c>
      <c r="V61" s="2485"/>
      <c r="W61" s="2817" t="e">
        <f>'[16]原始记录（ZY4）'!W56</f>
        <v>#REF!</v>
      </c>
      <c r="X61" s="2817"/>
      <c r="Y61" s="2485" t="e">
        <f>'[16]原始记录（ZY4）'!X56</f>
        <v>#REF!</v>
      </c>
      <c r="Z61" s="2485"/>
    </row>
    <row r="62" spans="1:26" outlineLevel="1">
      <c r="A62" s="2385">
        <v>8</v>
      </c>
      <c r="B62" s="2379"/>
      <c r="C62" s="1013">
        <v>4</v>
      </c>
      <c r="D62" s="977">
        <f t="shared" si="4"/>
        <v>80.000399999999999</v>
      </c>
      <c r="E62" s="1014">
        <f t="shared" si="7"/>
        <v>-100</v>
      </c>
      <c r="F62" s="1013">
        <v>2</v>
      </c>
      <c r="G62" s="2818">
        <f t="shared" si="8"/>
        <v>8.0000199999999992</v>
      </c>
      <c r="H62" s="2819"/>
      <c r="I62" s="979">
        <f t="shared" si="9"/>
        <v>-100</v>
      </c>
      <c r="J62" s="1013">
        <v>-25</v>
      </c>
      <c r="K62" s="972">
        <f t="shared" si="5"/>
        <v>0.79997499999999999</v>
      </c>
      <c r="L62" s="979">
        <f t="shared" si="6"/>
        <v>-100</v>
      </c>
      <c r="N62" s="698">
        <v>8</v>
      </c>
      <c r="O62" s="2820" t="e">
        <f>'[16]原始记录（ZY4）'!P57</f>
        <v>#REF!</v>
      </c>
      <c r="P62" s="2820"/>
      <c r="Q62" s="2485" t="e">
        <f>'[16]原始记录（ZY4）'!Q57</f>
        <v>#REF!</v>
      </c>
      <c r="R62" s="2485"/>
      <c r="S62" s="2821" t="e">
        <f>'[16]原始记录（ZY4）'!S57</f>
        <v>#REF!</v>
      </c>
      <c r="T62" s="2821"/>
      <c r="U62" s="2485" t="e">
        <f>'[16]原始记录（ZY4）'!U57</f>
        <v>#REF!</v>
      </c>
      <c r="V62" s="2485"/>
      <c r="W62" s="2817" t="e">
        <f>'[16]原始记录（ZY4）'!W57</f>
        <v>#REF!</v>
      </c>
      <c r="X62" s="2817"/>
      <c r="Y62" s="2485" t="e">
        <f>'[16]原始记录（ZY4）'!X57</f>
        <v>#REF!</v>
      </c>
      <c r="Z62" s="2485"/>
    </row>
    <row r="63" spans="1:26" outlineLevel="1">
      <c r="A63" s="2385">
        <v>9</v>
      </c>
      <c r="B63" s="2379"/>
      <c r="C63" s="1013">
        <v>1</v>
      </c>
      <c r="D63" s="977">
        <f t="shared" si="4"/>
        <v>90.000100000000003</v>
      </c>
      <c r="E63" s="1014">
        <f t="shared" si="7"/>
        <v>-100</v>
      </c>
      <c r="F63" s="1013">
        <v>5</v>
      </c>
      <c r="G63" s="2818">
        <f t="shared" si="8"/>
        <v>9.0000499999999999</v>
      </c>
      <c r="H63" s="2819"/>
      <c r="I63" s="979">
        <f t="shared" si="9"/>
        <v>-100</v>
      </c>
      <c r="J63" s="1013">
        <v>-33</v>
      </c>
      <c r="K63" s="972">
        <f t="shared" si="5"/>
        <v>0.89996700000000007</v>
      </c>
      <c r="L63" s="979">
        <f t="shared" si="6"/>
        <v>-100</v>
      </c>
      <c r="N63" s="698">
        <v>9</v>
      </c>
      <c r="O63" s="2820" t="e">
        <f>'[16]原始记录（ZY4）'!P58</f>
        <v>#REF!</v>
      </c>
      <c r="P63" s="2820"/>
      <c r="Q63" s="2485" t="e">
        <f>'[16]原始记录（ZY4）'!Q58</f>
        <v>#REF!</v>
      </c>
      <c r="R63" s="2485"/>
      <c r="S63" s="2821" t="e">
        <f>'[16]原始记录（ZY4）'!S58</f>
        <v>#REF!</v>
      </c>
      <c r="T63" s="2821"/>
      <c r="U63" s="2485" t="e">
        <f>'[16]原始记录（ZY4）'!U58</f>
        <v>#REF!</v>
      </c>
      <c r="V63" s="2485"/>
      <c r="W63" s="2817" t="e">
        <f>'[16]原始记录（ZY4）'!W58</f>
        <v>#REF!</v>
      </c>
      <c r="X63" s="2817"/>
      <c r="Y63" s="2485" t="e">
        <f>'[16]原始记录（ZY4）'!X58</f>
        <v>#REF!</v>
      </c>
      <c r="Z63" s="2485"/>
    </row>
    <row r="64" spans="1:26" outlineLevel="1">
      <c r="A64" s="2385">
        <v>10</v>
      </c>
      <c r="B64" s="2379"/>
      <c r="C64" s="1013">
        <v>-2</v>
      </c>
      <c r="D64" s="977">
        <f t="shared" si="4"/>
        <v>99.999799999999993</v>
      </c>
      <c r="E64" s="1014">
        <f t="shared" si="7"/>
        <v>-100</v>
      </c>
      <c r="F64" s="1013">
        <v>5</v>
      </c>
      <c r="G64" s="2818">
        <f t="shared" si="8"/>
        <v>10.00005</v>
      </c>
      <c r="H64" s="2819"/>
      <c r="I64" s="979">
        <f t="shared" si="9"/>
        <v>-100</v>
      </c>
      <c r="J64" s="1013">
        <v>-26</v>
      </c>
      <c r="K64" s="972">
        <f t="shared" si="5"/>
        <v>0.99997400000000003</v>
      </c>
      <c r="L64" s="979">
        <f t="shared" si="6"/>
        <v>-100</v>
      </c>
      <c r="N64" s="698">
        <v>10</v>
      </c>
      <c r="O64" s="2820" t="e">
        <f>'[16]原始记录（ZY4）'!P59</f>
        <v>#REF!</v>
      </c>
      <c r="P64" s="2820"/>
      <c r="Q64" s="2485" t="e">
        <f>'[16]原始记录（ZY4）'!Q59</f>
        <v>#REF!</v>
      </c>
      <c r="R64" s="2485"/>
      <c r="S64" s="2821" t="e">
        <f>'[16]原始记录（ZY4）'!S59</f>
        <v>#REF!</v>
      </c>
      <c r="T64" s="2821"/>
      <c r="U64" s="2485" t="e">
        <f>'[16]原始记录（ZY4）'!U59</f>
        <v>#REF!</v>
      </c>
      <c r="V64" s="2485"/>
      <c r="W64" s="2817" t="e">
        <f>'[16]原始记录（ZY4）'!W59</f>
        <v>#REF!</v>
      </c>
      <c r="X64" s="2817"/>
      <c r="Y64" s="2485" t="e">
        <f>'[16]原始记录（ZY4）'!X59</f>
        <v>#REF!</v>
      </c>
      <c r="Z64" s="2485"/>
    </row>
    <row r="65" spans="1:42" outlineLevel="1">
      <c r="A65" s="2385">
        <v>11</v>
      </c>
      <c r="B65" s="2379"/>
      <c r="C65" s="1013">
        <v>-5</v>
      </c>
      <c r="D65" s="977">
        <f t="shared" si="4"/>
        <v>109.9995</v>
      </c>
      <c r="E65" s="1014">
        <f t="shared" si="7"/>
        <v>-100</v>
      </c>
      <c r="F65" s="1013">
        <v>7</v>
      </c>
      <c r="G65" s="2818">
        <f t="shared" si="8"/>
        <v>11.000069999999999</v>
      </c>
      <c r="H65" s="2819"/>
      <c r="I65" s="979">
        <f t="shared" si="9"/>
        <v>-100</v>
      </c>
      <c r="J65" s="1013">
        <v>-33</v>
      </c>
      <c r="K65" s="972">
        <f t="shared" si="5"/>
        <v>1.0999670000000001</v>
      </c>
      <c r="L65" s="979">
        <f t="shared" si="6"/>
        <v>-100</v>
      </c>
      <c r="N65" s="698">
        <v>10</v>
      </c>
      <c r="O65" s="2820" t="e">
        <f>'[16]原始记录（ZY4）'!P60</f>
        <v>#REF!</v>
      </c>
      <c r="P65" s="2820"/>
      <c r="Q65" s="2485" t="e">
        <f>'[16]原始记录（ZY4）'!Q60</f>
        <v>#REF!</v>
      </c>
      <c r="R65" s="2485"/>
      <c r="S65" s="2821" t="e">
        <f>'[16]原始记录（ZY4）'!S60</f>
        <v>#REF!</v>
      </c>
      <c r="T65" s="2821"/>
      <c r="U65" s="2485" t="e">
        <f>'[16]原始记录（ZY4）'!U60</f>
        <v>#REF!</v>
      </c>
      <c r="V65" s="2485"/>
      <c r="W65" s="2817" t="e">
        <f>'[16]原始记录（ZY4）'!W60</f>
        <v>#REF!</v>
      </c>
      <c r="X65" s="2817"/>
      <c r="Y65" s="2485" t="e">
        <f>'[16]原始记录（ZY4）'!X60</f>
        <v>#REF!</v>
      </c>
      <c r="Z65" s="2485"/>
    </row>
    <row r="66" spans="1:42" ht="28.5" customHeight="1" outlineLevel="1">
      <c r="A66" s="2801" t="s">
        <v>2592</v>
      </c>
      <c r="B66" s="2802"/>
      <c r="C66" s="2788" t="s">
        <v>92</v>
      </c>
      <c r="D66" s="2814"/>
      <c r="E66" s="2789"/>
      <c r="F66" s="2788" t="s">
        <v>92</v>
      </c>
      <c r="G66" s="2814"/>
      <c r="H66" s="2814"/>
      <c r="I66" s="2789"/>
      <c r="J66" s="2788" t="s">
        <v>2593</v>
      </c>
      <c r="K66" s="2814"/>
      <c r="L66" s="2789"/>
      <c r="N66" s="731" t="s">
        <v>2594</v>
      </c>
      <c r="O66" s="2385" t="s">
        <v>2595</v>
      </c>
      <c r="P66" s="2386"/>
      <c r="Q66" s="2386" t="s">
        <v>2593</v>
      </c>
      <c r="R66" s="2379"/>
      <c r="S66" s="2385" t="s">
        <v>2595</v>
      </c>
      <c r="T66" s="2386"/>
      <c r="U66" s="2386" t="s">
        <v>2596</v>
      </c>
      <c r="V66" s="2379"/>
      <c r="W66" s="2385" t="s">
        <v>2597</v>
      </c>
      <c r="X66" s="2386"/>
      <c r="Y66" s="2386" t="s">
        <v>2598</v>
      </c>
      <c r="Z66" s="2379"/>
    </row>
    <row r="67" spans="1:42">
      <c r="A67" s="2798" t="s">
        <v>2600</v>
      </c>
      <c r="B67" s="2799"/>
      <c r="C67" s="2799"/>
      <c r="D67" s="2799"/>
      <c r="E67" s="2799"/>
      <c r="F67" s="2799"/>
      <c r="G67" s="2799"/>
      <c r="H67" s="2799"/>
      <c r="I67" s="2799"/>
      <c r="J67" s="2799"/>
      <c r="K67" s="2799"/>
      <c r="L67" s="2800"/>
    </row>
    <row r="68" spans="1:42" ht="14.25" customHeight="1" outlineLevel="1">
      <c r="A68" s="2801" t="s">
        <v>2601</v>
      </c>
      <c r="B68" s="2802"/>
      <c r="C68" s="2769" t="s">
        <v>2602</v>
      </c>
      <c r="D68" s="2386"/>
      <c r="E68" s="2379"/>
      <c r="F68" s="2792" t="s">
        <v>2603</v>
      </c>
      <c r="G68" s="2792" t="s">
        <v>2604</v>
      </c>
      <c r="H68" s="2792" t="s">
        <v>2605</v>
      </c>
      <c r="I68" s="2792" t="s">
        <v>2606</v>
      </c>
      <c r="J68" s="2792" t="s">
        <v>2561</v>
      </c>
      <c r="K68" s="2815" t="s">
        <v>2607</v>
      </c>
      <c r="L68" s="2815" t="s">
        <v>2608</v>
      </c>
      <c r="M68" s="2803" t="s">
        <v>2609</v>
      </c>
      <c r="N68" s="779" t="s">
        <v>2610</v>
      </c>
      <c r="Q68" s="779" t="s">
        <v>2158</v>
      </c>
      <c r="AC68" s="779" t="s">
        <v>2157</v>
      </c>
    </row>
    <row r="69" spans="1:42" ht="22.5" outlineLevel="1">
      <c r="A69" s="2804" t="s">
        <v>2611</v>
      </c>
      <c r="B69" s="2805"/>
      <c r="C69" s="2809" t="s">
        <v>2612</v>
      </c>
      <c r="D69" s="2810" t="s">
        <v>2613</v>
      </c>
      <c r="E69" s="2808" t="s">
        <v>2614</v>
      </c>
      <c r="F69" s="2736"/>
      <c r="G69" s="2736"/>
      <c r="H69" s="2736"/>
      <c r="I69" s="2736"/>
      <c r="J69" s="2736"/>
      <c r="K69" s="2816"/>
      <c r="L69" s="2816"/>
      <c r="M69" s="2803"/>
      <c r="O69" s="676" t="s">
        <v>2615</v>
      </c>
      <c r="P69" s="2812" t="s">
        <v>2616</v>
      </c>
      <c r="Q69" s="2431"/>
      <c r="R69" s="2431"/>
      <c r="S69" s="2812" t="s">
        <v>2617</v>
      </c>
      <c r="T69" s="2431"/>
      <c r="U69" s="2431"/>
      <c r="V69" s="2812" t="s">
        <v>2083</v>
      </c>
      <c r="W69" s="2431"/>
      <c r="X69" s="2431"/>
      <c r="Y69" s="2298" t="s">
        <v>2084</v>
      </c>
      <c r="Z69" s="2298"/>
      <c r="AA69" s="2298"/>
      <c r="AC69" s="676" t="s">
        <v>2615</v>
      </c>
      <c r="AD69" s="2812" t="s">
        <v>2616</v>
      </c>
      <c r="AE69" s="2431"/>
      <c r="AF69" s="2431"/>
      <c r="AG69" s="2812" t="s">
        <v>2617</v>
      </c>
      <c r="AH69" s="2431"/>
      <c r="AI69" s="2431"/>
      <c r="AJ69" s="2812" t="s">
        <v>2083</v>
      </c>
      <c r="AK69" s="2431"/>
      <c r="AL69" s="2431"/>
      <c r="AM69" s="2298" t="s">
        <v>2084</v>
      </c>
      <c r="AN69" s="2298"/>
      <c r="AO69" s="2298"/>
      <c r="AP69" s="1015" t="s">
        <v>2618</v>
      </c>
    </row>
    <row r="70" spans="1:42" ht="20.25" customHeight="1" outlineLevel="1">
      <c r="A70" s="2806"/>
      <c r="B70" s="2807"/>
      <c r="C70" s="2400"/>
      <c r="D70" s="2811"/>
      <c r="E70" s="2400"/>
      <c r="F70" s="2737"/>
      <c r="G70" s="2737"/>
      <c r="H70" s="2737"/>
      <c r="I70" s="2737"/>
      <c r="J70" s="2737"/>
      <c r="K70" s="2396"/>
      <c r="L70" s="2396"/>
      <c r="M70" s="2803"/>
      <c r="O70" s="731">
        <v>1</v>
      </c>
      <c r="P70" s="2431" t="e">
        <f>'[16]原始记录（ZY4）'!O67</f>
        <v>#REF!</v>
      </c>
      <c r="Q70" s="2431"/>
      <c r="R70" s="2431"/>
      <c r="S70" s="2813" t="e">
        <f>'[16]原始记录（ZY4）'!V67</f>
        <v>#REF!</v>
      </c>
      <c r="T70" s="2813"/>
      <c r="U70" s="2813"/>
      <c r="V70" s="2790" t="e">
        <f>'[16]原始记录（ZY4）'!W67</f>
        <v>#REF!</v>
      </c>
      <c r="W70" s="2790"/>
      <c r="X70" s="2790"/>
      <c r="Y70" s="2298" t="e">
        <f>'[16]原始记录（ZY4）'!X67</f>
        <v>#REF!</v>
      </c>
      <c r="Z70" s="2298"/>
      <c r="AA70" s="2298"/>
      <c r="AC70" s="731">
        <v>1</v>
      </c>
      <c r="AD70" s="2431" t="e">
        <f>'[16]原始记录（ZY4）'!AC67</f>
        <v>#REF!</v>
      </c>
      <c r="AE70" s="2431"/>
      <c r="AF70" s="2431"/>
      <c r="AG70" s="2813" t="e">
        <f>'[16]原始记录（ZY4）'!AJ67</f>
        <v>#REF!</v>
      </c>
      <c r="AH70" s="2813"/>
      <c r="AI70" s="2813"/>
      <c r="AJ70" s="2790" t="e">
        <f>'[16]原始记录（ZY4）'!AK67</f>
        <v>#REF!</v>
      </c>
      <c r="AK70" s="2790"/>
      <c r="AL70" s="2790"/>
      <c r="AM70" s="2298" t="e">
        <f>'[16]原始记录（ZY4）'!AL67</f>
        <v>#REF!</v>
      </c>
      <c r="AN70" s="2298"/>
      <c r="AO70" s="2298"/>
      <c r="AP70" s="2"/>
    </row>
    <row r="71" spans="1:42" outlineLevel="1">
      <c r="A71" s="2788">
        <v>1E-4</v>
      </c>
      <c r="B71" s="2789"/>
      <c r="C71" s="951">
        <v>0.01</v>
      </c>
      <c r="D71" s="969" t="s">
        <v>2619</v>
      </c>
      <c r="E71" s="951">
        <v>12</v>
      </c>
      <c r="F71" s="951">
        <v>310</v>
      </c>
      <c r="G71" s="951">
        <v>-520</v>
      </c>
      <c r="H71" s="966">
        <f>(F71+G71)/2</f>
        <v>-105</v>
      </c>
      <c r="I71" s="1017">
        <f>A71+(A71*0.000001*((F71+G71)/2+E71))</f>
        <v>9.9990700000000005E-5</v>
      </c>
      <c r="J71" s="787">
        <f>(A71-I71)/I71*100</f>
        <v>9.3008649804432447E-3</v>
      </c>
      <c r="K71" s="790" t="s">
        <v>2620</v>
      </c>
      <c r="L71" s="790">
        <v>5</v>
      </c>
      <c r="M71" s="700" t="s">
        <v>2621</v>
      </c>
      <c r="O71" s="731">
        <v>2</v>
      </c>
      <c r="P71" s="2431" t="e">
        <f>'[16]原始记录（ZY4）'!O68</f>
        <v>#REF!</v>
      </c>
      <c r="Q71" s="2431"/>
      <c r="R71" s="2431"/>
      <c r="S71" s="2797" t="e">
        <f>'[16]原始记录（ZY4）'!V68</f>
        <v>#REF!</v>
      </c>
      <c r="T71" s="2797"/>
      <c r="U71" s="2797"/>
      <c r="V71" s="2779" t="e">
        <f>'[16]原始记录（ZY4）'!W68</f>
        <v>#REF!</v>
      </c>
      <c r="W71" s="2779"/>
      <c r="X71" s="2779"/>
      <c r="Y71" s="2298" t="e">
        <f>'[16]原始记录（ZY4）'!X68</f>
        <v>#REF!</v>
      </c>
      <c r="Z71" s="2298"/>
      <c r="AA71" s="2298"/>
      <c r="AC71" s="731">
        <v>2</v>
      </c>
      <c r="AD71" s="2431" t="e">
        <f>'[16]原始记录（ZY4）'!AC68</f>
        <v>#REF!</v>
      </c>
      <c r="AE71" s="2431"/>
      <c r="AF71" s="2431"/>
      <c r="AG71" s="2797" t="e">
        <f>'[16]原始记录（ZY4）'!AJ68</f>
        <v>#REF!</v>
      </c>
      <c r="AH71" s="2797"/>
      <c r="AI71" s="2797"/>
      <c r="AJ71" s="2779" t="e">
        <f>'[16]原始记录（ZY4）'!AK68</f>
        <v>#REF!</v>
      </c>
      <c r="AK71" s="2779"/>
      <c r="AL71" s="2779"/>
      <c r="AM71" s="2298" t="e">
        <f>'[16]原始记录（ZY4）'!AL68</f>
        <v>#REF!</v>
      </c>
      <c r="AN71" s="2298"/>
      <c r="AO71" s="2298"/>
      <c r="AP71" s="2"/>
    </row>
    <row r="72" spans="1:42" outlineLevel="1">
      <c r="A72" s="2788">
        <v>1E-3</v>
      </c>
      <c r="B72" s="2789"/>
      <c r="C72" s="951">
        <v>0.1</v>
      </c>
      <c r="D72" s="951">
        <v>625</v>
      </c>
      <c r="E72" s="951">
        <v>-25</v>
      </c>
      <c r="F72" s="1019">
        <v>-125</v>
      </c>
      <c r="G72" s="1019">
        <v>-238</v>
      </c>
      <c r="H72" s="966">
        <f t="shared" ref="H72:H78" si="10">(F72+G72)/2</f>
        <v>-181.5</v>
      </c>
      <c r="I72" s="1017">
        <f>A72+(A72*0.000001*((F72+G72)/2+E72))</f>
        <v>9.9979350000000008E-4</v>
      </c>
      <c r="J72" s="979">
        <f t="shared" ref="J72:J78" si="11">(A72-I72)/I72*100</f>
        <v>2.0654265105738791E-2</v>
      </c>
      <c r="K72" s="790" t="s">
        <v>2622</v>
      </c>
      <c r="L72" s="790">
        <v>5</v>
      </c>
      <c r="M72" s="2"/>
      <c r="O72" s="731">
        <v>3</v>
      </c>
      <c r="P72" s="2431" t="e">
        <f>'[16]原始记录（ZY4）'!O69</f>
        <v>#REF!</v>
      </c>
      <c r="Q72" s="2431"/>
      <c r="R72" s="2431"/>
      <c r="S72" s="2796" t="e">
        <f>'[16]原始记录（ZY4）'!V69</f>
        <v>#REF!</v>
      </c>
      <c r="T72" s="2796"/>
      <c r="U72" s="2796"/>
      <c r="V72" s="2779" t="e">
        <f>'[16]原始记录（ZY4）'!W69</f>
        <v>#REF!</v>
      </c>
      <c r="W72" s="2779"/>
      <c r="X72" s="2779"/>
      <c r="Y72" s="2298" t="e">
        <f>'[16]原始记录（ZY4）'!X69</f>
        <v>#REF!</v>
      </c>
      <c r="Z72" s="2298"/>
      <c r="AA72" s="2298"/>
      <c r="AC72" s="731">
        <v>3</v>
      </c>
      <c r="AD72" s="2431" t="e">
        <f>'[16]原始记录（ZY4）'!AC69</f>
        <v>#REF!</v>
      </c>
      <c r="AE72" s="2431"/>
      <c r="AF72" s="2431"/>
      <c r="AG72" s="2796" t="e">
        <f>'[16]原始记录（ZY4）'!AJ69</f>
        <v>#REF!</v>
      </c>
      <c r="AH72" s="2796"/>
      <c r="AI72" s="2796"/>
      <c r="AJ72" s="2779" t="e">
        <f>'[16]原始记录（ZY4）'!AK69</f>
        <v>#REF!</v>
      </c>
      <c r="AK72" s="2779"/>
      <c r="AL72" s="2779"/>
      <c r="AM72" s="2298" t="e">
        <f>'[16]原始记录（ZY4）'!AL69</f>
        <v>#REF!</v>
      </c>
      <c r="AN72" s="2298"/>
      <c r="AO72" s="2298"/>
      <c r="AP72" s="2"/>
    </row>
    <row r="73" spans="1:42" outlineLevel="1">
      <c r="A73" s="2788">
        <v>0.01</v>
      </c>
      <c r="B73" s="2789"/>
      <c r="C73" s="951">
        <v>1</v>
      </c>
      <c r="D73" s="951">
        <v>743</v>
      </c>
      <c r="E73" s="951">
        <v>-59</v>
      </c>
      <c r="F73" s="951">
        <v>52</v>
      </c>
      <c r="G73" s="951">
        <v>21</v>
      </c>
      <c r="H73" s="966">
        <f t="shared" si="10"/>
        <v>36.5</v>
      </c>
      <c r="I73" s="1020">
        <f>A73+(A73*0.000001*((F73+G73)/2+E73))</f>
        <v>9.9997750000000007E-3</v>
      </c>
      <c r="J73" s="979">
        <f t="shared" si="11"/>
        <v>2.2500506261343991E-3</v>
      </c>
      <c r="K73" s="790" t="s">
        <v>2623</v>
      </c>
      <c r="L73" s="790">
        <v>2</v>
      </c>
      <c r="M73" s="2"/>
      <c r="O73" s="731">
        <v>4</v>
      </c>
      <c r="P73" s="2431" t="e">
        <f>'[16]原始记录（ZY4）'!O70</f>
        <v>#REF!</v>
      </c>
      <c r="Q73" s="2431"/>
      <c r="R73" s="2431"/>
      <c r="S73" s="2794" t="e">
        <f>'[16]原始记录（ZY4）'!V70</f>
        <v>#REF!</v>
      </c>
      <c r="T73" s="2794"/>
      <c r="U73" s="2794"/>
      <c r="V73" s="2779" t="e">
        <f>'[16]原始记录（ZY4）'!W70</f>
        <v>#REF!</v>
      </c>
      <c r="W73" s="2779"/>
      <c r="X73" s="2779"/>
      <c r="Y73" s="2298" t="e">
        <f>'[16]原始记录（ZY4）'!X70</f>
        <v>#REF!</v>
      </c>
      <c r="Z73" s="2298"/>
      <c r="AA73" s="2298"/>
      <c r="AC73" s="731">
        <v>4</v>
      </c>
      <c r="AD73" s="2431" t="e">
        <f>'[16]原始记录（ZY4）'!AC70</f>
        <v>#REF!</v>
      </c>
      <c r="AE73" s="2431"/>
      <c r="AF73" s="2431"/>
      <c r="AG73" s="2794" t="e">
        <f>'[16]原始记录（ZY4）'!AJ70</f>
        <v>#REF!</v>
      </c>
      <c r="AH73" s="2794"/>
      <c r="AI73" s="2794"/>
      <c r="AJ73" s="2779" t="e">
        <f>'[16]原始记录（ZY4）'!AK70</f>
        <v>#REF!</v>
      </c>
      <c r="AK73" s="2779"/>
      <c r="AL73" s="2779"/>
      <c r="AM73" s="2298" t="e">
        <f>'[16]原始记录（ZY4）'!AL70</f>
        <v>#REF!</v>
      </c>
      <c r="AN73" s="2298"/>
      <c r="AO73" s="2298"/>
      <c r="AP73" s="2"/>
    </row>
    <row r="74" spans="1:42" outlineLevel="1">
      <c r="A74" s="2788">
        <v>0.1</v>
      </c>
      <c r="B74" s="2789"/>
      <c r="C74" s="951">
        <v>10</v>
      </c>
      <c r="D74" s="951">
        <v>618</v>
      </c>
      <c r="E74" s="951">
        <v>-34</v>
      </c>
      <c r="F74" s="951">
        <v>-21</v>
      </c>
      <c r="G74" s="951">
        <v>-15</v>
      </c>
      <c r="H74" s="966">
        <f t="shared" si="10"/>
        <v>-18</v>
      </c>
      <c r="I74" s="972">
        <f>A74+(A74*0.000001*((F74+G74)/2+E74))</f>
        <v>9.9994800000000009E-2</v>
      </c>
      <c r="J74" s="979">
        <f t="shared" si="11"/>
        <v>5.2002704140584046E-3</v>
      </c>
      <c r="K74" s="790" t="s">
        <v>2624</v>
      </c>
      <c r="L74" s="790">
        <v>0.3</v>
      </c>
      <c r="M74" s="2"/>
      <c r="O74" s="731">
        <v>5</v>
      </c>
      <c r="P74" s="2431" t="e">
        <f>'[16]原始记录（ZY4）'!O71</f>
        <v>#REF!</v>
      </c>
      <c r="Q74" s="2431"/>
      <c r="R74" s="2431"/>
      <c r="S74" s="2795" t="e">
        <f>'[16]原始记录（ZY4）'!V71</f>
        <v>#REF!</v>
      </c>
      <c r="T74" s="2795"/>
      <c r="U74" s="2795"/>
      <c r="V74" s="2779" t="e">
        <f>'[16]原始记录（ZY4）'!W71</f>
        <v>#REF!</v>
      </c>
      <c r="W74" s="2779"/>
      <c r="X74" s="2779"/>
      <c r="Y74" s="2298" t="e">
        <f>'[16]原始记录（ZY4）'!X71</f>
        <v>#REF!</v>
      </c>
      <c r="Z74" s="2298"/>
      <c r="AA74" s="2298"/>
      <c r="AC74" s="731">
        <v>5</v>
      </c>
      <c r="AD74" s="2431" t="e">
        <f>'[16]原始记录（ZY4）'!AC71</f>
        <v>#REF!</v>
      </c>
      <c r="AE74" s="2431"/>
      <c r="AF74" s="2431"/>
      <c r="AG74" s="2795" t="e">
        <f>'[16]原始记录（ZY4）'!AJ71</f>
        <v>#REF!</v>
      </c>
      <c r="AH74" s="2795"/>
      <c r="AI74" s="2795"/>
      <c r="AJ74" s="2779" t="e">
        <f>'[16]原始记录（ZY4）'!AK71</f>
        <v>#REF!</v>
      </c>
      <c r="AK74" s="2779"/>
      <c r="AL74" s="2779"/>
      <c r="AM74" s="2298" t="e">
        <f>'[16]原始记录（ZY4）'!AL71</f>
        <v>#REF!</v>
      </c>
      <c r="AN74" s="2298"/>
      <c r="AO74" s="2298"/>
      <c r="AP74" s="2"/>
    </row>
    <row r="75" spans="1:42" outlineLevel="1">
      <c r="A75" s="2788">
        <v>1</v>
      </c>
      <c r="B75" s="2789"/>
      <c r="C75" s="951">
        <v>1</v>
      </c>
      <c r="D75" s="951">
        <v>743</v>
      </c>
      <c r="E75" s="951">
        <v>-59</v>
      </c>
      <c r="F75" s="951">
        <v>-5</v>
      </c>
      <c r="G75" s="951">
        <v>-65</v>
      </c>
      <c r="H75" s="966">
        <f t="shared" si="10"/>
        <v>-35</v>
      </c>
      <c r="I75" s="975">
        <f>A75+(A75*0.000001*((F75+G75)/2))</f>
        <v>0.99996499999999999</v>
      </c>
      <c r="J75" s="979">
        <f t="shared" si="11"/>
        <v>3.500122504288375E-3</v>
      </c>
      <c r="K75" s="790" t="s">
        <v>2625</v>
      </c>
      <c r="L75" s="790">
        <v>0.1</v>
      </c>
      <c r="M75" s="2"/>
      <c r="O75" s="731">
        <v>6</v>
      </c>
      <c r="P75" s="2431" t="e">
        <f>'[16]原始记录（ZY4）'!O72</f>
        <v>#REF!</v>
      </c>
      <c r="Q75" s="2431"/>
      <c r="R75" s="2431"/>
      <c r="S75" s="2793" t="e">
        <f>'[16]原始记录（ZY4）'!V72</f>
        <v>#REF!</v>
      </c>
      <c r="T75" s="2793"/>
      <c r="U75" s="2793"/>
      <c r="V75" s="2779" t="e">
        <f>'[16]原始记录（ZY4）'!W72</f>
        <v>#REF!</v>
      </c>
      <c r="W75" s="2779"/>
      <c r="X75" s="2779"/>
      <c r="Y75" s="2298" t="e">
        <f>'[16]原始记录（ZY4）'!X72</f>
        <v>#REF!</v>
      </c>
      <c r="Z75" s="2298"/>
      <c r="AA75" s="2298"/>
      <c r="AC75" s="731">
        <v>6</v>
      </c>
      <c r="AD75" s="2431" t="e">
        <f>'[16]原始记录（ZY4）'!AC72</f>
        <v>#REF!</v>
      </c>
      <c r="AE75" s="2431"/>
      <c r="AF75" s="2431"/>
      <c r="AG75" s="2793" t="e">
        <f>'[16]原始记录（ZY4）'!AJ72</f>
        <v>#REF!</v>
      </c>
      <c r="AH75" s="2793"/>
      <c r="AI75" s="2793"/>
      <c r="AJ75" s="2779" t="e">
        <f>'[16]原始记录（ZY4）'!AK72</f>
        <v>#REF!</v>
      </c>
      <c r="AK75" s="2779"/>
      <c r="AL75" s="2779"/>
      <c r="AM75" s="2298" t="e">
        <f>'[16]原始记录（ZY4）'!AL72</f>
        <v>#REF!</v>
      </c>
      <c r="AN75" s="2298"/>
      <c r="AO75" s="2298"/>
      <c r="AP75" s="2"/>
    </row>
    <row r="76" spans="1:42" outlineLevel="1">
      <c r="A76" s="2788">
        <v>10</v>
      </c>
      <c r="B76" s="2789"/>
      <c r="C76" s="951">
        <v>10</v>
      </c>
      <c r="D76" s="951">
        <v>618</v>
      </c>
      <c r="E76" s="951">
        <v>-34</v>
      </c>
      <c r="F76" s="951">
        <v>2</v>
      </c>
      <c r="G76" s="951">
        <v>-24</v>
      </c>
      <c r="H76" s="966">
        <f t="shared" si="10"/>
        <v>-11</v>
      </c>
      <c r="I76" s="977">
        <f>A76+(A76*0.000001*((F76+G76)/2))</f>
        <v>9.9998900000000006</v>
      </c>
      <c r="J76" s="979">
        <f t="shared" si="11"/>
        <v>1.1000121001269851E-3</v>
      </c>
      <c r="K76" s="790" t="s">
        <v>2626</v>
      </c>
      <c r="L76" s="790">
        <v>0.03</v>
      </c>
      <c r="M76" s="2"/>
      <c r="O76" s="731">
        <v>7</v>
      </c>
      <c r="P76" s="2431" t="e">
        <f>'[16]原始记录（ZY4）'!O73</f>
        <v>#REF!</v>
      </c>
      <c r="Q76" s="2431"/>
      <c r="R76" s="2431"/>
      <c r="S76" s="2779" t="e">
        <f>'[16]原始记录（ZY4）'!V73</f>
        <v>#REF!</v>
      </c>
      <c r="T76" s="2779"/>
      <c r="U76" s="2779"/>
      <c r="V76" s="2779" t="e">
        <f>'[16]原始记录（ZY4）'!W73</f>
        <v>#REF!</v>
      </c>
      <c r="W76" s="2779"/>
      <c r="X76" s="2779"/>
      <c r="Y76" s="2298" t="e">
        <f>'[16]原始记录（ZY4）'!X73</f>
        <v>#REF!</v>
      </c>
      <c r="Z76" s="2298"/>
      <c r="AA76" s="2298"/>
      <c r="AC76" s="731">
        <v>7</v>
      </c>
      <c r="AD76" s="2431" t="e">
        <f>'[16]原始记录（ZY4）'!AC73</f>
        <v>#REF!</v>
      </c>
      <c r="AE76" s="2431"/>
      <c r="AF76" s="2431"/>
      <c r="AG76" s="2779" t="e">
        <f>'[16]原始记录（ZY4）'!AJ73</f>
        <v>#REF!</v>
      </c>
      <c r="AH76" s="2779"/>
      <c r="AI76" s="2779"/>
      <c r="AJ76" s="2779" t="e">
        <f>'[16]原始记录（ZY4）'!AK73</f>
        <v>#REF!</v>
      </c>
      <c r="AK76" s="2779"/>
      <c r="AL76" s="2779"/>
      <c r="AM76" s="2298" t="e">
        <f>'[16]原始记录（ZY4）'!AL73</f>
        <v>#REF!</v>
      </c>
      <c r="AN76" s="2298"/>
      <c r="AO76" s="2298"/>
      <c r="AP76" s="2"/>
    </row>
    <row r="77" spans="1:42" outlineLevel="1">
      <c r="A77" s="2788">
        <v>100</v>
      </c>
      <c r="B77" s="2789"/>
      <c r="C77" s="951">
        <v>100</v>
      </c>
      <c r="D77" s="951">
        <v>663</v>
      </c>
      <c r="E77" s="951">
        <v>-59</v>
      </c>
      <c r="F77" s="951">
        <v>93</v>
      </c>
      <c r="G77" s="951">
        <v>90</v>
      </c>
      <c r="H77" s="966">
        <f t="shared" si="10"/>
        <v>91.5</v>
      </c>
      <c r="I77" s="979">
        <f>A77+(A77*0.000001*((F77+G77)/2))</f>
        <v>100.00915000000001</v>
      </c>
      <c r="J77" s="979">
        <f t="shared" si="11"/>
        <v>-9.1491628516043987E-3</v>
      </c>
      <c r="K77" s="790" t="s">
        <v>2627</v>
      </c>
      <c r="L77" s="790">
        <v>0.01</v>
      </c>
      <c r="M77" s="2"/>
      <c r="O77" s="731">
        <v>8</v>
      </c>
      <c r="P77" s="2431" t="e">
        <f>'[16]原始记录（ZY4）'!O74</f>
        <v>#REF!</v>
      </c>
      <c r="Q77" s="2431"/>
      <c r="R77" s="2431"/>
      <c r="S77" s="2790" t="e">
        <f>'[16]原始记录（ZY4）'!V74</f>
        <v>#REF!</v>
      </c>
      <c r="T77" s="2790"/>
      <c r="U77" s="2790"/>
      <c r="V77" s="2779" t="e">
        <f>'[16]原始记录（ZY4）'!W74</f>
        <v>#REF!</v>
      </c>
      <c r="W77" s="2779"/>
      <c r="X77" s="2779"/>
      <c r="Y77" s="2298" t="e">
        <f>'[16]原始记录（ZY4）'!X74</f>
        <v>#REF!</v>
      </c>
      <c r="Z77" s="2298"/>
      <c r="AA77" s="2298"/>
      <c r="AC77" s="731">
        <v>8</v>
      </c>
      <c r="AD77" s="2431" t="e">
        <f>'[16]原始记录（ZY4）'!AC74</f>
        <v>#REF!</v>
      </c>
      <c r="AE77" s="2431"/>
      <c r="AF77" s="2431"/>
      <c r="AG77" s="2790" t="e">
        <f>'[16]原始记录（ZY4）'!AJ74</f>
        <v>#REF!</v>
      </c>
      <c r="AH77" s="2790"/>
      <c r="AI77" s="2790"/>
      <c r="AJ77" s="2779" t="e">
        <f>'[16]原始记录（ZY4）'!AK74</f>
        <v>#REF!</v>
      </c>
      <c r="AK77" s="2779"/>
      <c r="AL77" s="2779"/>
      <c r="AM77" s="2298" t="e">
        <f>'[16]原始记录（ZY4）'!AL74</f>
        <v>#REF!</v>
      </c>
      <c r="AN77" s="2298"/>
      <c r="AO77" s="2298"/>
      <c r="AP77" s="2"/>
    </row>
    <row r="78" spans="1:42" outlineLevel="1">
      <c r="A78" s="2788">
        <v>1000</v>
      </c>
      <c r="B78" s="2789"/>
      <c r="C78" s="951">
        <v>1000</v>
      </c>
      <c r="D78" s="951">
        <v>729</v>
      </c>
      <c r="E78" s="951">
        <v>3</v>
      </c>
      <c r="F78" s="951">
        <v>85</v>
      </c>
      <c r="G78" s="951">
        <v>-45</v>
      </c>
      <c r="H78" s="966">
        <f t="shared" si="10"/>
        <v>20</v>
      </c>
      <c r="I78" s="787">
        <f>A78+(A78*0.000001*((F78+G78)/2))</f>
        <v>1000.02</v>
      </c>
      <c r="J78" s="979">
        <f t="shared" si="11"/>
        <v>-1.9999600007981648E-3</v>
      </c>
      <c r="K78" s="1022" t="s">
        <v>2628</v>
      </c>
      <c r="L78" s="1022">
        <v>3.0000000000000001E-3</v>
      </c>
      <c r="M78" s="166"/>
    </row>
    <row r="79" spans="1:42" outlineLevel="1">
      <c r="A79" s="2780" t="s">
        <v>2629</v>
      </c>
      <c r="B79" s="2781"/>
      <c r="C79" s="2781"/>
      <c r="D79" s="1023" t="s">
        <v>2630</v>
      </c>
      <c r="E79" s="1024"/>
      <c r="F79" s="1024"/>
      <c r="G79" s="1024"/>
      <c r="H79" s="1024"/>
      <c r="I79" s="1024"/>
      <c r="J79" s="1024"/>
      <c r="K79" s="1025"/>
      <c r="L79" s="2782"/>
      <c r="M79" s="2783"/>
    </row>
    <row r="80" spans="1:42" outlineLevel="1">
      <c r="A80" s="1026"/>
      <c r="B80" s="1027"/>
      <c r="C80" s="1027"/>
      <c r="D80" s="1028" t="s">
        <v>2631</v>
      </c>
      <c r="E80" s="1028"/>
      <c r="F80" s="1028"/>
      <c r="G80" s="1028"/>
      <c r="H80" s="1028"/>
      <c r="I80" s="1028"/>
      <c r="J80" s="1028"/>
      <c r="K80" s="1028"/>
      <c r="L80" s="2784"/>
      <c r="M80" s="2785"/>
    </row>
    <row r="81" spans="1:25" ht="37.5" customHeight="1" outlineLevel="1">
      <c r="A81" s="1029"/>
      <c r="B81" s="1030"/>
      <c r="C81" s="1030"/>
      <c r="D81" s="1031" t="s">
        <v>2632</v>
      </c>
      <c r="E81" s="1032"/>
      <c r="F81" s="1032"/>
      <c r="G81" s="1032"/>
      <c r="H81" s="1032"/>
      <c r="I81" s="992"/>
      <c r="J81" s="992"/>
      <c r="K81" s="992"/>
      <c r="L81" s="2786"/>
      <c r="M81" s="2787"/>
    </row>
    <row r="84" spans="1:25" ht="15" thickBot="1"/>
    <row r="85" spans="1:25" ht="15" thickBot="1">
      <c r="A85" s="28" t="s">
        <v>968</v>
      </c>
      <c r="C85" s="779" t="s">
        <v>2633</v>
      </c>
      <c r="V85" s="2761" t="s">
        <v>2634</v>
      </c>
      <c r="W85" s="2762"/>
      <c r="X85" s="2763"/>
    </row>
    <row r="86" spans="1:25" ht="15" outlineLevel="1" thickBot="1">
      <c r="A86" s="2493" t="s">
        <v>2635</v>
      </c>
      <c r="B86" s="2612"/>
      <c r="C86" s="2611"/>
      <c r="D86" s="2751" t="s">
        <v>2636</v>
      </c>
      <c r="E86" s="2751"/>
      <c r="F86" s="2751"/>
      <c r="G86" s="2751"/>
      <c r="H86" s="2751"/>
      <c r="I86" s="2751"/>
      <c r="J86" s="2382"/>
      <c r="K86" s="2792" t="s">
        <v>2637</v>
      </c>
      <c r="L86" s="2791" t="s">
        <v>2638</v>
      </c>
      <c r="N86" s="2761" t="s">
        <v>2702</v>
      </c>
      <c r="O86" s="2762"/>
      <c r="P86" s="2763"/>
      <c r="V86" s="2767"/>
      <c r="W86" s="2765"/>
      <c r="X86" s="2766"/>
    </row>
    <row r="87" spans="1:25" ht="29.25" outlineLevel="1" thickBot="1">
      <c r="A87" s="2493" t="s">
        <v>2639</v>
      </c>
      <c r="B87" s="2611"/>
      <c r="C87" s="943" t="s">
        <v>2640</v>
      </c>
      <c r="D87" s="2579"/>
      <c r="E87" s="2579"/>
      <c r="F87" s="2579"/>
      <c r="G87" s="2579"/>
      <c r="H87" s="2579"/>
      <c r="I87" s="2579"/>
      <c r="J87" s="2384"/>
      <c r="K87" s="2737"/>
      <c r="L87" s="2791"/>
      <c r="N87" s="2764"/>
      <c r="O87" s="2765"/>
      <c r="P87" s="2766"/>
      <c r="S87" s="2431" t="s">
        <v>2635</v>
      </c>
      <c r="T87" s="2431"/>
      <c r="U87" s="2431" t="s">
        <v>2637</v>
      </c>
      <c r="V87" s="2431"/>
      <c r="W87" s="2769" t="s">
        <v>2641</v>
      </c>
      <c r="X87" s="1713"/>
      <c r="Y87" s="1714"/>
    </row>
    <row r="88" spans="1:25" ht="28.5" outlineLevel="1">
      <c r="A88" s="2770">
        <v>100</v>
      </c>
      <c r="B88" s="2771"/>
      <c r="C88" s="2776">
        <v>10</v>
      </c>
      <c r="D88" s="2298" t="s">
        <v>2642</v>
      </c>
      <c r="E88" s="2298"/>
      <c r="F88" s="2298" t="s">
        <v>2643</v>
      </c>
      <c r="G88" s="2298"/>
      <c r="H88" s="6" t="s">
        <v>2644</v>
      </c>
      <c r="I88" s="6" t="s">
        <v>2645</v>
      </c>
      <c r="J88" s="6" t="s">
        <v>2646</v>
      </c>
      <c r="K88" s="2752">
        <f>100*(MAX(D89,F89,H89,I89,J89,D91,F91,H91,I91,J91,D93,F93,H93,I93,J93)-MIN(D89,F89,H89,I89,J89,D91,F91,H91,I91,J91,D93,F93,H93,I93,J93))/AVERAGE(D89,F89,H89,I89,J89,D91,F91,H91,I91,J91,D93,F93,H93,I93,J93)</f>
        <v>9.001320193665162E-4</v>
      </c>
      <c r="L88" s="2339"/>
      <c r="N88" s="2728" t="s">
        <v>2635</v>
      </c>
      <c r="O88" s="2729"/>
      <c r="P88" s="2728" t="s">
        <v>2637</v>
      </c>
      <c r="Q88" s="2611"/>
      <c r="S88" s="731" t="s">
        <v>2647</v>
      </c>
      <c r="T88" s="943" t="s">
        <v>2648</v>
      </c>
      <c r="U88" s="2431"/>
      <c r="V88" s="2431"/>
      <c r="W88" s="1814"/>
      <c r="X88" s="1713"/>
      <c r="Y88" s="1714"/>
    </row>
    <row r="89" spans="1:25" ht="28.5" outlineLevel="1">
      <c r="A89" s="2772"/>
      <c r="B89" s="2773"/>
      <c r="C89" s="2777"/>
      <c r="D89" s="2757">
        <v>0.99985400000000002</v>
      </c>
      <c r="E89" s="2757"/>
      <c r="F89" s="2757">
        <v>0.99985400000000002</v>
      </c>
      <c r="G89" s="2757"/>
      <c r="H89" s="35">
        <v>0.999857</v>
      </c>
      <c r="I89" s="35">
        <v>0.999857</v>
      </c>
      <c r="J89" s="35">
        <v>0.99984799999999996</v>
      </c>
      <c r="K89" s="2753"/>
      <c r="L89" s="2339"/>
      <c r="N89" s="731" t="s">
        <v>2647</v>
      </c>
      <c r="O89" s="943" t="s">
        <v>2648</v>
      </c>
      <c r="P89" s="2493"/>
      <c r="Q89" s="2611"/>
      <c r="S89" s="314">
        <v>100</v>
      </c>
      <c r="T89" s="314">
        <v>10</v>
      </c>
      <c r="U89" s="2759">
        <v>8.9999999999999998E-4</v>
      </c>
      <c r="V89" s="2760"/>
      <c r="W89" s="2724">
        <v>2.0000000000000002E-5</v>
      </c>
      <c r="X89" s="2768"/>
      <c r="Y89" s="2725"/>
    </row>
    <row r="90" spans="1:25" outlineLevel="1">
      <c r="A90" s="2772"/>
      <c r="B90" s="2773"/>
      <c r="C90" s="2777"/>
      <c r="D90" s="2298" t="s">
        <v>2649</v>
      </c>
      <c r="E90" s="2298"/>
      <c r="F90" s="2298" t="s">
        <v>2650</v>
      </c>
      <c r="G90" s="2298"/>
      <c r="H90" s="6" t="s">
        <v>2651</v>
      </c>
      <c r="I90" s="6" t="s">
        <v>2652</v>
      </c>
      <c r="J90" s="6" t="s">
        <v>2653</v>
      </c>
      <c r="K90" s="2753"/>
      <c r="L90" s="2339"/>
      <c r="N90" s="314">
        <v>100</v>
      </c>
      <c r="O90" s="314">
        <v>10</v>
      </c>
      <c r="P90" s="2759">
        <v>8.9999999999999998E-4</v>
      </c>
      <c r="Q90" s="2760"/>
      <c r="S90" s="314">
        <v>10</v>
      </c>
      <c r="T90" s="314">
        <v>100</v>
      </c>
      <c r="U90" s="2759">
        <v>4.0000000000000002E-4</v>
      </c>
      <c r="V90" s="2760"/>
      <c r="W90" s="2724"/>
      <c r="X90" s="2768"/>
      <c r="Y90" s="2725"/>
    </row>
    <row r="91" spans="1:25" outlineLevel="1">
      <c r="A91" s="2772"/>
      <c r="B91" s="2773"/>
      <c r="C91" s="2777"/>
      <c r="D91" s="2757">
        <v>0.99985299999999999</v>
      </c>
      <c r="E91" s="2757"/>
      <c r="F91" s="2757">
        <v>0.99985299999999999</v>
      </c>
      <c r="G91" s="2757"/>
      <c r="H91" s="35">
        <v>0.99985199999999996</v>
      </c>
      <c r="I91" s="35">
        <v>0.99985599999999997</v>
      </c>
      <c r="J91" s="35">
        <v>0.99984799999999996</v>
      </c>
      <c r="K91" s="2753"/>
      <c r="L91" s="2339"/>
      <c r="N91" s="314">
        <v>10</v>
      </c>
      <c r="O91" s="314">
        <v>100</v>
      </c>
      <c r="P91" s="2759">
        <v>4.0000000000000002E-4</v>
      </c>
      <c r="Q91" s="2760"/>
      <c r="S91" s="2431" t="s">
        <v>2654</v>
      </c>
      <c r="T91" s="2431"/>
      <c r="U91" s="2493" t="s">
        <v>2655</v>
      </c>
      <c r="V91" s="2611"/>
      <c r="W91" s="2769" t="s">
        <v>2656</v>
      </c>
      <c r="X91" s="1713"/>
      <c r="Y91" s="1714"/>
    </row>
    <row r="92" spans="1:25" ht="28.5" outlineLevel="1">
      <c r="A92" s="2772"/>
      <c r="B92" s="2773"/>
      <c r="C92" s="2777"/>
      <c r="D92" s="2298" t="s">
        <v>2657</v>
      </c>
      <c r="E92" s="2298"/>
      <c r="F92" s="2298" t="s">
        <v>2658</v>
      </c>
      <c r="G92" s="2298"/>
      <c r="H92" s="6" t="s">
        <v>2659</v>
      </c>
      <c r="I92" s="6" t="s">
        <v>2660</v>
      </c>
      <c r="J92" s="6" t="s">
        <v>2661</v>
      </c>
      <c r="K92" s="2753"/>
      <c r="L92" s="2339"/>
      <c r="N92" s="2431" t="s">
        <v>2654</v>
      </c>
      <c r="O92" s="2431"/>
      <c r="P92" s="2493" t="s">
        <v>2655</v>
      </c>
      <c r="Q92" s="2611"/>
      <c r="S92" s="731" t="s">
        <v>2647</v>
      </c>
      <c r="T92" s="731" t="s">
        <v>2662</v>
      </c>
      <c r="U92" s="2493"/>
      <c r="V92" s="2611"/>
      <c r="W92" s="1814"/>
      <c r="X92" s="1713"/>
      <c r="Y92" s="1714"/>
    </row>
    <row r="93" spans="1:25" ht="28.5" outlineLevel="1">
      <c r="A93" s="2774"/>
      <c r="B93" s="2775"/>
      <c r="C93" s="2778"/>
      <c r="D93" s="2757">
        <v>0.99985299999999999</v>
      </c>
      <c r="E93" s="2757"/>
      <c r="F93" s="2757">
        <v>0.99985500000000005</v>
      </c>
      <c r="G93" s="2757"/>
      <c r="H93" s="35">
        <v>0.99985400000000002</v>
      </c>
      <c r="I93" s="35">
        <v>0.99985299999999999</v>
      </c>
      <c r="J93" s="35">
        <v>0.99985299999999999</v>
      </c>
      <c r="K93" s="2754"/>
      <c r="L93" s="2339"/>
      <c r="N93" s="731" t="s">
        <v>2647</v>
      </c>
      <c r="O93" s="731" t="s">
        <v>2662</v>
      </c>
      <c r="P93" s="2493"/>
      <c r="Q93" s="2611"/>
      <c r="S93" s="314">
        <v>1</v>
      </c>
      <c r="T93" s="314">
        <v>1</v>
      </c>
      <c r="U93" s="2759">
        <v>5.9999999999999995E-4</v>
      </c>
      <c r="V93" s="2760"/>
      <c r="W93" s="2724">
        <v>2.0000000000000002E-5</v>
      </c>
      <c r="X93" s="2768"/>
      <c r="Y93" s="2725"/>
    </row>
    <row r="94" spans="1:25" outlineLevel="1">
      <c r="A94" s="2431" t="s">
        <v>2654</v>
      </c>
      <c r="B94" s="2431"/>
      <c r="C94" s="2431"/>
      <c r="D94" s="2751" t="s">
        <v>2663</v>
      </c>
      <c r="E94" s="2751"/>
      <c r="F94" s="2751"/>
      <c r="G94" s="2751"/>
      <c r="H94" s="2751"/>
      <c r="I94" s="2751"/>
      <c r="J94" s="2382"/>
      <c r="K94" s="2735" t="s">
        <v>2655</v>
      </c>
      <c r="L94" s="2298" t="s">
        <v>2609</v>
      </c>
      <c r="N94" s="314">
        <v>1</v>
      </c>
      <c r="O94" s="314">
        <v>1</v>
      </c>
      <c r="P94" s="2759">
        <v>5.9999999999999995E-4</v>
      </c>
      <c r="Q94" s="2760"/>
      <c r="S94" s="6">
        <v>0.1</v>
      </c>
      <c r="T94" s="6">
        <v>10</v>
      </c>
      <c r="U94" s="2759">
        <v>5.9999999999999995E-4</v>
      </c>
      <c r="V94" s="2760"/>
      <c r="W94" s="2724"/>
      <c r="X94" s="2768"/>
      <c r="Y94" s="2725"/>
    </row>
    <row r="95" spans="1:25" ht="28.5" outlineLevel="1">
      <c r="A95" s="2493" t="s">
        <v>2647</v>
      </c>
      <c r="B95" s="2611"/>
      <c r="C95" s="731" t="s">
        <v>2648</v>
      </c>
      <c r="D95" s="2579"/>
      <c r="E95" s="2579"/>
      <c r="F95" s="2579"/>
      <c r="G95" s="2579"/>
      <c r="H95" s="2579"/>
      <c r="I95" s="2579"/>
      <c r="J95" s="2384"/>
      <c r="K95" s="2737"/>
      <c r="L95" s="2298"/>
      <c r="N95" s="6">
        <v>0.1</v>
      </c>
      <c r="O95" s="6">
        <v>10</v>
      </c>
      <c r="P95" s="2759">
        <v>5.9999999999999995E-4</v>
      </c>
      <c r="Q95" s="2760"/>
    </row>
    <row r="96" spans="1:25" outlineLevel="1">
      <c r="A96" s="2583">
        <v>10</v>
      </c>
      <c r="B96" s="2740"/>
      <c r="C96" s="2745">
        <v>100</v>
      </c>
      <c r="D96" s="2298" t="s">
        <v>2664</v>
      </c>
      <c r="E96" s="2298"/>
      <c r="F96" s="2298" t="s">
        <v>2665</v>
      </c>
      <c r="G96" s="2298"/>
      <c r="H96" s="6" t="s">
        <v>2666</v>
      </c>
      <c r="I96" s="6" t="s">
        <v>2667</v>
      </c>
      <c r="J96" s="6" t="s">
        <v>2646</v>
      </c>
      <c r="K96" s="2752">
        <f>100*(MAX(D97,F97,H97,I97,J97,D99,F99,H99,I99,J99,D101,F101,H101,I101,J101)-MIN(D97,F97,H97,I97,J97,D99,F99,H99,I99,J99,D101,F101,H101,I101,J101))/AVERAGE(D97,F97,H97,I97,J97,D99,F99,H99,I99,J99,D101,F101,H101,I101,J101)</f>
        <v>4.0003418957803368E-4</v>
      </c>
      <c r="L96" s="2298"/>
    </row>
    <row r="97" spans="1:13" outlineLevel="1">
      <c r="A97" s="2741"/>
      <c r="B97" s="2742"/>
      <c r="C97" s="2339"/>
      <c r="D97" s="2758">
        <v>0.99991600000000003</v>
      </c>
      <c r="E97" s="2758"/>
      <c r="F97" s="2758">
        <v>0.99991300000000005</v>
      </c>
      <c r="G97" s="2758"/>
      <c r="H97" s="404">
        <v>0.999915</v>
      </c>
      <c r="I97" s="404">
        <v>0.99991300000000005</v>
      </c>
      <c r="J97" s="404">
        <v>0.99991699999999994</v>
      </c>
      <c r="K97" s="2753"/>
      <c r="L97" s="2298"/>
    </row>
    <row r="98" spans="1:13" outlineLevel="1">
      <c r="A98" s="2741"/>
      <c r="B98" s="2742"/>
      <c r="C98" s="2339"/>
      <c r="D98" s="2298" t="s">
        <v>2649</v>
      </c>
      <c r="E98" s="2298"/>
      <c r="F98" s="2298" t="s">
        <v>2650</v>
      </c>
      <c r="G98" s="2298"/>
      <c r="H98" s="6" t="s">
        <v>2651</v>
      </c>
      <c r="I98" s="6" t="s">
        <v>2652</v>
      </c>
      <c r="J98" s="6" t="s">
        <v>2653</v>
      </c>
      <c r="K98" s="2753"/>
      <c r="L98" s="2298"/>
    </row>
    <row r="99" spans="1:13" outlineLevel="1">
      <c r="A99" s="2741"/>
      <c r="B99" s="2742"/>
      <c r="C99" s="2339"/>
      <c r="D99" s="2756">
        <v>0.99991300000000005</v>
      </c>
      <c r="E99" s="2756"/>
      <c r="F99" s="2756">
        <v>0.999915</v>
      </c>
      <c r="G99" s="2756"/>
      <c r="H99" s="405">
        <v>0.99991399999999997</v>
      </c>
      <c r="I99" s="405">
        <v>0.99991399999999997</v>
      </c>
      <c r="J99" s="405">
        <v>0.99991399999999997</v>
      </c>
      <c r="K99" s="2753"/>
      <c r="L99" s="2298"/>
    </row>
    <row r="100" spans="1:13" outlineLevel="1">
      <c r="A100" s="2741"/>
      <c r="B100" s="2742"/>
      <c r="C100" s="2339"/>
      <c r="D100" s="2298" t="s">
        <v>2657</v>
      </c>
      <c r="E100" s="2298"/>
      <c r="F100" s="2298" t="s">
        <v>2658</v>
      </c>
      <c r="G100" s="2298"/>
      <c r="H100" s="6" t="s">
        <v>2659</v>
      </c>
      <c r="I100" s="6" t="s">
        <v>2660</v>
      </c>
      <c r="J100" s="6" t="s">
        <v>2661</v>
      </c>
      <c r="K100" s="2753"/>
      <c r="L100" s="2298"/>
    </row>
    <row r="101" spans="1:13" outlineLevel="1">
      <c r="A101" s="2743"/>
      <c r="B101" s="2744"/>
      <c r="C101" s="2746"/>
      <c r="D101" s="2756">
        <v>0.99991600000000003</v>
      </c>
      <c r="E101" s="2756"/>
      <c r="F101" s="2756">
        <v>0.99991300000000005</v>
      </c>
      <c r="G101" s="2756"/>
      <c r="H101" s="405">
        <v>0.999915</v>
      </c>
      <c r="I101" s="405">
        <v>0.99991399999999997</v>
      </c>
      <c r="J101" s="405">
        <v>0.99991600000000003</v>
      </c>
      <c r="K101" s="2754"/>
      <c r="L101" s="2298"/>
    </row>
    <row r="102" spans="1:13" outlineLevel="1">
      <c r="A102"/>
      <c r="B102"/>
      <c r="C102"/>
      <c r="D102"/>
      <c r="E102"/>
      <c r="F102"/>
      <c r="G102"/>
      <c r="H102"/>
      <c r="I102"/>
      <c r="J102"/>
      <c r="K102"/>
    </row>
    <row r="103" spans="1:13" outlineLevel="1">
      <c r="A103"/>
      <c r="B103"/>
      <c r="C103"/>
      <c r="D103"/>
      <c r="E103"/>
      <c r="F103"/>
      <c r="G103"/>
      <c r="H103"/>
      <c r="I103"/>
      <c r="J103"/>
      <c r="K103"/>
    </row>
    <row r="104" spans="1:13" outlineLevel="1">
      <c r="A104" s="1033"/>
      <c r="B104" s="1033"/>
      <c r="C104" s="1033"/>
      <c r="D104" s="107"/>
      <c r="E104" s="107"/>
      <c r="F104" s="107"/>
      <c r="G104" s="107"/>
      <c r="H104" s="107"/>
      <c r="I104" s="107"/>
      <c r="J104" s="107"/>
      <c r="K104" s="107"/>
    </row>
    <row r="105" spans="1:13" outlineLevel="1">
      <c r="A105"/>
      <c r="B105"/>
      <c r="C105"/>
      <c r="D105"/>
      <c r="E105"/>
      <c r="F105"/>
      <c r="G105"/>
      <c r="H105"/>
      <c r="I105"/>
      <c r="J105"/>
      <c r="K105"/>
    </row>
    <row r="106" spans="1:13" outlineLevel="1">
      <c r="A106"/>
      <c r="B106"/>
      <c r="C106"/>
      <c r="D106"/>
      <c r="E106"/>
      <c r="F106"/>
      <c r="G106"/>
      <c r="H106"/>
      <c r="I106"/>
      <c r="J106"/>
      <c r="K106"/>
    </row>
    <row r="107" spans="1:13" outlineLevel="1">
      <c r="A107" s="2431" t="s">
        <v>2654</v>
      </c>
      <c r="B107" s="2431"/>
      <c r="C107" s="2431"/>
      <c r="D107" s="2751" t="s">
        <v>2663</v>
      </c>
      <c r="E107" s="2751"/>
      <c r="F107" s="2751"/>
      <c r="G107" s="2751"/>
      <c r="H107" s="2751"/>
      <c r="I107" s="2751"/>
      <c r="J107" s="2382"/>
      <c r="K107" s="2735" t="s">
        <v>2655</v>
      </c>
      <c r="L107" s="2730" t="s">
        <v>2609</v>
      </c>
      <c r="M107" s="779" t="s">
        <v>2668</v>
      </c>
    </row>
    <row r="108" spans="1:13" ht="28.5" outlineLevel="1">
      <c r="A108" s="2493" t="s">
        <v>2647</v>
      </c>
      <c r="B108" s="2611"/>
      <c r="C108" s="731" t="s">
        <v>2669</v>
      </c>
      <c r="D108" s="2579"/>
      <c r="E108" s="2579"/>
      <c r="F108" s="2579"/>
      <c r="G108" s="2579"/>
      <c r="H108" s="2579"/>
      <c r="I108" s="2579"/>
      <c r="J108" s="2384"/>
      <c r="K108" s="2737"/>
      <c r="L108" s="2430"/>
    </row>
    <row r="109" spans="1:13" outlineLevel="1">
      <c r="A109" s="2583">
        <v>1</v>
      </c>
      <c r="B109" s="2740"/>
      <c r="C109" s="2745">
        <v>1</v>
      </c>
      <c r="D109" s="2298" t="s">
        <v>2664</v>
      </c>
      <c r="E109" s="2298"/>
      <c r="F109" s="2298" t="s">
        <v>2665</v>
      </c>
      <c r="G109" s="2298"/>
      <c r="H109" s="6" t="s">
        <v>2666</v>
      </c>
      <c r="I109" s="6" t="s">
        <v>2667</v>
      </c>
      <c r="J109" s="6" t="s">
        <v>2646</v>
      </c>
      <c r="K109" s="2752">
        <f>100*(MAX(D110,F110,H110,I110,J110,D112,F112,H112,I112,J112,D114,F114,H114,I114,J114)-MIN(D110,F110,H110,I110,J110,D112,F112,H112,I112,J112,D114,F114,H114,I114,J114))/AVERAGE(D110,F110,H110,I110,J110,D112,F112,H112,I112,J112,D114,F114,H114,I114,J114)</f>
        <v>6.000146003503242E-4</v>
      </c>
      <c r="L109" s="2755"/>
    </row>
    <row r="110" spans="1:13" outlineLevel="1">
      <c r="A110" s="2741"/>
      <c r="B110" s="2742"/>
      <c r="C110" s="2339"/>
      <c r="D110" s="2298">
        <v>0.99997899999999995</v>
      </c>
      <c r="E110" s="2298"/>
      <c r="F110" s="2298">
        <v>0.999977</v>
      </c>
      <c r="G110" s="2298"/>
      <c r="H110" s="6">
        <v>0.99997899999999995</v>
      </c>
      <c r="I110" s="6">
        <v>0.99997499999999995</v>
      </c>
      <c r="J110" s="6">
        <v>0.99997499999999995</v>
      </c>
      <c r="K110" s="2753"/>
      <c r="L110" s="1735"/>
    </row>
    <row r="111" spans="1:13" outlineLevel="1">
      <c r="A111" s="2741"/>
      <c r="B111" s="2742"/>
      <c r="C111" s="2339"/>
      <c r="D111" s="2298" t="s">
        <v>2649</v>
      </c>
      <c r="E111" s="2298"/>
      <c r="F111" s="2298" t="s">
        <v>2650</v>
      </c>
      <c r="G111" s="2298"/>
      <c r="H111" s="6" t="s">
        <v>2651</v>
      </c>
      <c r="I111" s="6" t="s">
        <v>2652</v>
      </c>
      <c r="J111" s="6" t="s">
        <v>2653</v>
      </c>
      <c r="K111" s="2753"/>
      <c r="L111" s="1735"/>
    </row>
    <row r="112" spans="1:13" outlineLevel="1">
      <c r="A112" s="2741"/>
      <c r="B112" s="2742"/>
      <c r="C112" s="2339"/>
      <c r="D112" s="2298">
        <v>0.99997499999999995</v>
      </c>
      <c r="E112" s="2298"/>
      <c r="F112" s="2298">
        <v>0.999973</v>
      </c>
      <c r="G112" s="2298"/>
      <c r="H112" s="6">
        <v>0.99997599999999998</v>
      </c>
      <c r="I112" s="6">
        <v>0.999973</v>
      </c>
      <c r="J112" s="6">
        <v>0.99997599999999998</v>
      </c>
      <c r="K112" s="2753"/>
      <c r="L112" s="1735"/>
    </row>
    <row r="113" spans="1:12" outlineLevel="1">
      <c r="A113" s="2741"/>
      <c r="B113" s="2742"/>
      <c r="C113" s="2339"/>
      <c r="D113" s="2298" t="s">
        <v>2657</v>
      </c>
      <c r="E113" s="2298"/>
      <c r="F113" s="2298" t="s">
        <v>2658</v>
      </c>
      <c r="G113" s="2298"/>
      <c r="H113" s="6" t="s">
        <v>2659</v>
      </c>
      <c r="I113" s="6" t="s">
        <v>2660</v>
      </c>
      <c r="J113" s="6" t="s">
        <v>2661</v>
      </c>
      <c r="K113" s="2753"/>
      <c r="L113" s="1735"/>
    </row>
    <row r="114" spans="1:12" outlineLevel="1">
      <c r="A114" s="2743"/>
      <c r="B114" s="2744"/>
      <c r="C114" s="2746"/>
      <c r="D114" s="2298">
        <v>0.99997599999999998</v>
      </c>
      <c r="E114" s="2298"/>
      <c r="F114" s="2298">
        <v>0.99997499999999995</v>
      </c>
      <c r="G114" s="2298"/>
      <c r="H114" s="6">
        <v>0.99997599999999998</v>
      </c>
      <c r="I114" s="6">
        <v>0.999973</v>
      </c>
      <c r="J114" s="6">
        <v>0.999977</v>
      </c>
      <c r="K114" s="2754"/>
      <c r="L114" s="1735"/>
    </row>
    <row r="115" spans="1:12" outlineLevel="1">
      <c r="A115" s="2749" t="s">
        <v>2654</v>
      </c>
      <c r="B115" s="2750"/>
      <c r="C115" s="2727"/>
      <c r="D115" s="2751" t="s">
        <v>2663</v>
      </c>
      <c r="E115" s="2751"/>
      <c r="F115" s="2751"/>
      <c r="G115" s="2751"/>
      <c r="H115" s="2751"/>
      <c r="I115" s="2751"/>
      <c r="J115" s="2382"/>
      <c r="K115" s="2735" t="s">
        <v>2655</v>
      </c>
      <c r="L115" s="1735"/>
    </row>
    <row r="116" spans="1:12" ht="28.5" outlineLevel="1">
      <c r="A116" s="2493" t="s">
        <v>2647</v>
      </c>
      <c r="B116" s="2611"/>
      <c r="C116" s="731" t="s">
        <v>2669</v>
      </c>
      <c r="D116" s="2579"/>
      <c r="E116" s="2579"/>
      <c r="F116" s="2579"/>
      <c r="G116" s="2579"/>
      <c r="H116" s="2579"/>
      <c r="I116" s="2579"/>
      <c r="J116" s="2384"/>
      <c r="K116" s="2737"/>
      <c r="L116" s="1735"/>
    </row>
    <row r="117" spans="1:12" outlineLevel="1">
      <c r="A117" s="2583">
        <v>0.1</v>
      </c>
      <c r="B117" s="2740"/>
      <c r="C117" s="2745">
        <v>10</v>
      </c>
      <c r="D117" s="2298" t="s">
        <v>2664</v>
      </c>
      <c r="E117" s="2298"/>
      <c r="F117" s="2298" t="s">
        <v>2665</v>
      </c>
      <c r="G117" s="2298"/>
      <c r="H117" s="6" t="s">
        <v>2666</v>
      </c>
      <c r="I117" s="6" t="s">
        <v>2667</v>
      </c>
      <c r="J117" s="6" t="s">
        <v>2646</v>
      </c>
      <c r="K117" s="2752">
        <f>100*(MAX(D118,F118,H118,I118,J118,D120,F120,H120,I120,J120,D122,F122,H122,I122,J122)-MIN(D118,F118,H118,I118,J118,D120,F120,H120,I120,J120,D122,F122,H122,I122,J122))/AVERAGE(D118,F118,H118,I118,J118,D120,F120,H120,I120,J120,D122,F122,H122,I122,J122)</f>
        <v>6.0001408032546715E-4</v>
      </c>
      <c r="L117" s="1735"/>
    </row>
    <row r="118" spans="1:12" outlineLevel="1">
      <c r="A118" s="2741"/>
      <c r="B118" s="2742"/>
      <c r="C118" s="2339"/>
      <c r="D118" s="2756">
        <v>0.99997599999999998</v>
      </c>
      <c r="E118" s="2756"/>
      <c r="F118" s="2756">
        <v>0.99997800000000003</v>
      </c>
      <c r="G118" s="2756"/>
      <c r="H118" s="405">
        <v>0.999977</v>
      </c>
      <c r="I118" s="405">
        <v>0.999973</v>
      </c>
      <c r="J118" s="405">
        <v>0.99997599999999998</v>
      </c>
      <c r="K118" s="2753"/>
      <c r="L118" s="1735"/>
    </row>
    <row r="119" spans="1:12" outlineLevel="1">
      <c r="A119" s="2741"/>
      <c r="B119" s="2742"/>
      <c r="C119" s="2339"/>
      <c r="D119" s="2298" t="s">
        <v>2649</v>
      </c>
      <c r="E119" s="2298"/>
      <c r="F119" s="2298" t="s">
        <v>2650</v>
      </c>
      <c r="G119" s="2298"/>
      <c r="H119" s="6" t="s">
        <v>2651</v>
      </c>
      <c r="I119" s="6" t="s">
        <v>2652</v>
      </c>
      <c r="J119" s="6" t="s">
        <v>2653</v>
      </c>
      <c r="K119" s="2753"/>
      <c r="L119" s="1735"/>
    </row>
    <row r="120" spans="1:12" outlineLevel="1">
      <c r="A120" s="2741"/>
      <c r="B120" s="2742"/>
      <c r="C120" s="2339"/>
      <c r="D120" s="2756">
        <v>0.99997800000000003</v>
      </c>
      <c r="E120" s="2756"/>
      <c r="F120" s="2756">
        <v>0.999977</v>
      </c>
      <c r="G120" s="2756"/>
      <c r="H120" s="405">
        <v>0.99997599999999998</v>
      </c>
      <c r="I120" s="405">
        <v>0.99997899999999995</v>
      </c>
      <c r="J120" s="405">
        <v>0.99997800000000003</v>
      </c>
      <c r="K120" s="2753"/>
      <c r="L120" s="1735"/>
    </row>
    <row r="121" spans="1:12" outlineLevel="1">
      <c r="A121" s="2741"/>
      <c r="B121" s="2742"/>
      <c r="C121" s="2339"/>
      <c r="D121" s="2298" t="s">
        <v>2657</v>
      </c>
      <c r="E121" s="2298"/>
      <c r="F121" s="2298" t="s">
        <v>2658</v>
      </c>
      <c r="G121" s="2298"/>
      <c r="H121" s="6" t="s">
        <v>2659</v>
      </c>
      <c r="I121" s="6" t="s">
        <v>2660</v>
      </c>
      <c r="J121" s="6" t="s">
        <v>2661</v>
      </c>
      <c r="K121" s="2753"/>
      <c r="L121" s="1735"/>
    </row>
    <row r="122" spans="1:12" outlineLevel="1">
      <c r="A122" s="2743"/>
      <c r="B122" s="2744"/>
      <c r="C122" s="2746"/>
      <c r="D122" s="2756">
        <v>0.99997800000000003</v>
      </c>
      <c r="E122" s="2756"/>
      <c r="F122" s="2756">
        <v>0.99997599999999998</v>
      </c>
      <c r="G122" s="2756"/>
      <c r="H122" s="405">
        <v>0.99997400000000003</v>
      </c>
      <c r="I122" s="405">
        <v>0.99997599999999998</v>
      </c>
      <c r="J122" s="405">
        <v>0.99997599999999998</v>
      </c>
      <c r="K122" s="2754"/>
      <c r="L122" s="1736"/>
    </row>
    <row r="124" spans="1:12">
      <c r="A124" s="2738" t="s">
        <v>3472</v>
      </c>
      <c r="B124" s="2739"/>
      <c r="C124" s="2739"/>
      <c r="D124" s="2739"/>
      <c r="E124" s="2739"/>
      <c r="F124" s="2739"/>
      <c r="G124" s="2739"/>
      <c r="H124" s="881"/>
      <c r="I124" s="881"/>
      <c r="J124" s="882"/>
    </row>
    <row r="125" spans="1:12">
      <c r="A125" s="2385" t="s">
        <v>2601</v>
      </c>
      <c r="B125" s="2379"/>
      <c r="C125" s="2385" t="s">
        <v>2602</v>
      </c>
      <c r="D125" s="2386"/>
      <c r="E125" s="2379"/>
      <c r="F125" s="2735" t="s">
        <v>2670</v>
      </c>
      <c r="G125" s="2735" t="s">
        <v>2671</v>
      </c>
      <c r="H125" s="2735" t="s">
        <v>2672</v>
      </c>
      <c r="I125" s="2735" t="s">
        <v>2673</v>
      </c>
      <c r="J125" s="2747" t="s">
        <v>2674</v>
      </c>
    </row>
    <row r="126" spans="1:12">
      <c r="A126" s="2381" t="s">
        <v>2675</v>
      </c>
      <c r="B126" s="2382"/>
      <c r="C126" s="960" t="s">
        <v>2675</v>
      </c>
      <c r="D126" s="2730" t="s">
        <v>2613</v>
      </c>
      <c r="E126" s="2735" t="s">
        <v>2676</v>
      </c>
      <c r="F126" s="2736"/>
      <c r="G126" s="2736"/>
      <c r="H126" s="2736"/>
      <c r="I126" s="2736"/>
      <c r="J126" s="2748"/>
      <c r="L126" s="1034" t="s">
        <v>2677</v>
      </c>
    </row>
    <row r="127" spans="1:12">
      <c r="A127" s="2383" t="s">
        <v>2678</v>
      </c>
      <c r="B127" s="2384"/>
      <c r="C127" s="730" t="s">
        <v>2678</v>
      </c>
      <c r="D127" s="2430"/>
      <c r="E127" s="2737"/>
      <c r="F127" s="2737"/>
      <c r="G127" s="2737"/>
      <c r="H127" s="2737"/>
      <c r="I127" s="2737"/>
      <c r="J127" s="730" t="s">
        <v>2679</v>
      </c>
    </row>
    <row r="128" spans="1:12">
      <c r="A128" s="717">
        <v>1E-3</v>
      </c>
      <c r="B128" s="719"/>
      <c r="C128" s="1035">
        <v>0.1</v>
      </c>
      <c r="D128" s="698">
        <v>736</v>
      </c>
      <c r="E128" s="698">
        <v>-26</v>
      </c>
      <c r="F128" s="698">
        <v>862</v>
      </c>
      <c r="G128" s="698">
        <v>-812</v>
      </c>
      <c r="H128" s="1036">
        <f t="shared" ref="H128:H134" si="12">(F128+G128)/2</f>
        <v>25</v>
      </c>
      <c r="I128" s="1037">
        <f>A128+A128*0.000001*(H128+E128)</f>
        <v>9.9999900000000011E-4</v>
      </c>
      <c r="J128" s="698">
        <v>5</v>
      </c>
    </row>
    <row r="129" spans="1:25">
      <c r="A129" s="717">
        <v>0.01</v>
      </c>
      <c r="B129" s="719"/>
      <c r="C129" s="1035">
        <v>1</v>
      </c>
      <c r="D129" s="698">
        <v>743</v>
      </c>
      <c r="E129" s="698">
        <v>-60</v>
      </c>
      <c r="F129" s="698">
        <v>380</v>
      </c>
      <c r="G129" s="698">
        <v>-420</v>
      </c>
      <c r="H129" s="1036">
        <f t="shared" si="12"/>
        <v>-20</v>
      </c>
      <c r="I129" s="1038">
        <f>A129+A129*0.000001*(H129+E129)</f>
        <v>9.9991999999999998E-3</v>
      </c>
      <c r="J129" s="698">
        <v>2</v>
      </c>
      <c r="L129" s="779" t="s">
        <v>2158</v>
      </c>
      <c r="S129" s="779" t="s">
        <v>2157</v>
      </c>
    </row>
    <row r="130" spans="1:25" ht="28.5" customHeight="1">
      <c r="A130" s="717">
        <v>0.1</v>
      </c>
      <c r="B130" s="719"/>
      <c r="C130" s="1035">
        <v>10</v>
      </c>
      <c r="D130" s="698">
        <v>618</v>
      </c>
      <c r="E130" s="698">
        <v>-31</v>
      </c>
      <c r="F130" s="698">
        <v>50</v>
      </c>
      <c r="G130" s="698">
        <v>-53</v>
      </c>
      <c r="H130" s="1036">
        <f t="shared" si="12"/>
        <v>-1.5</v>
      </c>
      <c r="I130" s="1039">
        <f>A130+A130*0.000001*(H130+E130)</f>
        <v>9.9996750000000009E-2</v>
      </c>
      <c r="J130" s="698">
        <v>0.3</v>
      </c>
      <c r="L130" s="2385" t="s">
        <v>2680</v>
      </c>
      <c r="M130" s="2386"/>
      <c r="N130" s="1814" t="s">
        <v>2681</v>
      </c>
      <c r="O130" s="1713"/>
      <c r="P130" s="676" t="s">
        <v>2682</v>
      </c>
      <c r="S130" s="2385" t="s">
        <v>2680</v>
      </c>
      <c r="T130" s="2386"/>
      <c r="U130" s="1814" t="s">
        <v>2681</v>
      </c>
      <c r="V130" s="1713"/>
      <c r="W130" s="676" t="s">
        <v>2682</v>
      </c>
      <c r="X130" s="2493" t="s">
        <v>2683</v>
      </c>
      <c r="Y130" s="2732"/>
    </row>
    <row r="131" spans="1:25">
      <c r="A131" s="2385">
        <v>1</v>
      </c>
      <c r="B131" s="2379"/>
      <c r="C131" s="730">
        <v>1</v>
      </c>
      <c r="D131" s="730">
        <v>743</v>
      </c>
      <c r="E131" s="796">
        <v>-60</v>
      </c>
      <c r="F131" s="796">
        <v>-84</v>
      </c>
      <c r="G131" s="796">
        <v>-74</v>
      </c>
      <c r="H131" s="1036">
        <f t="shared" si="12"/>
        <v>-79</v>
      </c>
      <c r="I131" s="1040">
        <f>A131+A131*0.000001*H131</f>
        <v>0.99992099999999995</v>
      </c>
      <c r="J131" s="698">
        <v>0.1</v>
      </c>
      <c r="L131" s="1814" t="e">
        <f>'[17]原始记录（电阻）'!L146</f>
        <v>#REF!</v>
      </c>
      <c r="M131" s="1713"/>
      <c r="N131" s="1814" t="e">
        <f>'[17]原始记录（电阻）'!T146</f>
        <v>#REF!</v>
      </c>
      <c r="O131" s="1713"/>
      <c r="P131" s="6" t="e">
        <f>'[17]原始记录（电阻）'!U146</f>
        <v>#REF!</v>
      </c>
      <c r="S131" s="1814" t="e">
        <f>'[17]原始记录（电阻）'!U146</f>
        <v>#REF!</v>
      </c>
      <c r="T131" s="1713"/>
      <c r="U131" s="1814" t="e">
        <f>'[17]原始记录（电阻）'!AC146</f>
        <v>#REF!</v>
      </c>
      <c r="V131" s="1713"/>
      <c r="W131" s="6" t="e">
        <f>'[17]原始记录（电阻）'!AD146</f>
        <v>#REF!</v>
      </c>
      <c r="X131" s="2724">
        <v>1.2E-4</v>
      </c>
      <c r="Y131" s="2725"/>
    </row>
    <row r="132" spans="1:25">
      <c r="A132" s="2385">
        <v>10</v>
      </c>
      <c r="B132" s="2379"/>
      <c r="C132" s="730">
        <v>10</v>
      </c>
      <c r="D132" s="730">
        <v>618</v>
      </c>
      <c r="E132" s="796">
        <v>-31</v>
      </c>
      <c r="F132" s="796">
        <v>-85</v>
      </c>
      <c r="G132" s="796">
        <v>-95</v>
      </c>
      <c r="H132" s="1036">
        <f t="shared" si="12"/>
        <v>-90</v>
      </c>
      <c r="I132" s="1041">
        <f>A132+A132*0.000001*H132</f>
        <v>9.9991000000000003</v>
      </c>
      <c r="J132" s="698">
        <v>0.03</v>
      </c>
      <c r="L132" s="1814" t="e">
        <f>'[17]原始记录（电阻）'!L147</f>
        <v>#REF!</v>
      </c>
      <c r="M132" s="1713"/>
      <c r="N132" s="1814" t="e">
        <f>'[17]原始记录（电阻）'!T147</f>
        <v>#REF!</v>
      </c>
      <c r="O132" s="1713"/>
      <c r="P132" s="6" t="e">
        <f>'[17]原始记录（电阻）'!U147</f>
        <v>#REF!</v>
      </c>
      <c r="S132" s="1814" t="e">
        <f>'[17]原始记录（电阻）'!U147</f>
        <v>#REF!</v>
      </c>
      <c r="T132" s="1713"/>
      <c r="U132" s="1814" t="e">
        <f>'[17]原始记录（电阻）'!AC147</f>
        <v>#REF!</v>
      </c>
      <c r="V132" s="1713"/>
      <c r="W132" s="37" t="e">
        <f>'[17]原始记录（电阻）'!AD147</f>
        <v>#REF!</v>
      </c>
      <c r="X132" s="2724">
        <v>1.2E-4</v>
      </c>
      <c r="Y132" s="2725"/>
    </row>
    <row r="133" spans="1:25">
      <c r="A133" s="2385">
        <v>100</v>
      </c>
      <c r="B133" s="2379"/>
      <c r="C133" s="730">
        <v>100</v>
      </c>
      <c r="D133" s="730">
        <v>663</v>
      </c>
      <c r="E133" s="796">
        <v>-18</v>
      </c>
      <c r="F133" s="796">
        <v>74</v>
      </c>
      <c r="G133" s="796">
        <v>29</v>
      </c>
      <c r="H133" s="1036">
        <f t="shared" si="12"/>
        <v>51.5</v>
      </c>
      <c r="I133" s="1042">
        <f>A133+A133*0.000001*H133</f>
        <v>100.00515</v>
      </c>
      <c r="J133" s="698">
        <v>0.01</v>
      </c>
      <c r="L133" s="1814" t="e">
        <f>'[17]原始记录（电阻）'!L148</f>
        <v>#REF!</v>
      </c>
      <c r="M133" s="1713"/>
      <c r="N133" s="1814" t="e">
        <f>'[17]原始记录（电阻）'!T148</f>
        <v>#REF!</v>
      </c>
      <c r="O133" s="1713"/>
      <c r="P133" s="6" t="e">
        <f>'[17]原始记录（电阻）'!U148</f>
        <v>#REF!</v>
      </c>
      <c r="S133" s="1814" t="e">
        <f>'[17]原始记录（电阻）'!U148</f>
        <v>#REF!</v>
      </c>
      <c r="T133" s="1713"/>
      <c r="U133" s="1814" t="e">
        <f>'[17]原始记录（电阻）'!AC148</f>
        <v>#REF!</v>
      </c>
      <c r="V133" s="1713"/>
      <c r="W133" s="37" t="e">
        <f>'[17]原始记录（电阻）'!AD148</f>
        <v>#REF!</v>
      </c>
      <c r="X133" s="2724">
        <v>1.2E-4</v>
      </c>
      <c r="Y133" s="2725"/>
    </row>
    <row r="134" spans="1:25">
      <c r="A134" s="2385">
        <v>1000</v>
      </c>
      <c r="B134" s="2379"/>
      <c r="C134" s="837">
        <v>1000</v>
      </c>
      <c r="D134" s="837">
        <v>729</v>
      </c>
      <c r="E134" s="837">
        <v>6</v>
      </c>
      <c r="F134" s="837">
        <v>-29</v>
      </c>
      <c r="G134" s="837">
        <v>102</v>
      </c>
      <c r="H134" s="1036">
        <f t="shared" si="12"/>
        <v>36.5</v>
      </c>
      <c r="I134" s="1043">
        <f>A134+A134*0.000001*H134</f>
        <v>1000.0365</v>
      </c>
      <c r="J134" s="698">
        <v>3.0000000000000001E-3</v>
      </c>
      <c r="L134" s="1814" t="e">
        <f>'[17]原始记录（电阻）'!L149</f>
        <v>#REF!</v>
      </c>
      <c r="M134" s="1713"/>
      <c r="N134" s="1814" t="e">
        <f>'[17]原始记录（电阻）'!T149</f>
        <v>#REF!</v>
      </c>
      <c r="O134" s="1713"/>
      <c r="P134" s="6" t="e">
        <f>'[17]原始记录（电阻）'!U149</f>
        <v>#REF!</v>
      </c>
      <c r="S134" s="1814" t="e">
        <f>'[17]原始记录（电阻）'!U149</f>
        <v>#REF!</v>
      </c>
      <c r="T134" s="1713"/>
      <c r="U134" s="1814" t="e">
        <f>'[17]原始记录（电阻）'!AC149</f>
        <v>#REF!</v>
      </c>
      <c r="V134" s="1713"/>
      <c r="W134" s="6" t="e">
        <f>'[17]原始记录（电阻）'!AD149</f>
        <v>#REF!</v>
      </c>
      <c r="X134" s="2724">
        <v>1.2E-4</v>
      </c>
      <c r="Y134" s="2725"/>
    </row>
    <row r="135" spans="1:25">
      <c r="A135" s="2385">
        <v>10000</v>
      </c>
      <c r="B135" s="2379"/>
      <c r="C135" s="837">
        <v>1000</v>
      </c>
      <c r="D135" s="837">
        <v>695</v>
      </c>
      <c r="E135" s="837">
        <v>6</v>
      </c>
      <c r="F135" s="837">
        <v>-29</v>
      </c>
      <c r="G135" s="837">
        <v>102</v>
      </c>
      <c r="H135" s="1036">
        <f>(F135+G135)/2</f>
        <v>36.5</v>
      </c>
      <c r="I135" s="1043">
        <f>A135+A135*0.000001*H135</f>
        <v>10000.365</v>
      </c>
      <c r="J135" s="698">
        <v>3.0000000000000001E-3</v>
      </c>
    </row>
    <row r="136" spans="1:25">
      <c r="A136" s="1375" t="s">
        <v>2684</v>
      </c>
      <c r="B136" s="1044"/>
      <c r="C136" s="2733"/>
      <c r="D136" s="2733"/>
      <c r="E136" s="2733"/>
      <c r="F136" s="2733"/>
      <c r="G136" s="2733"/>
      <c r="H136" s="2733"/>
      <c r="I136" s="2733"/>
      <c r="J136" s="1046"/>
    </row>
    <row r="137" spans="1:25">
      <c r="A137" s="1047"/>
      <c r="B137" s="1045"/>
      <c r="C137" s="2733"/>
      <c r="D137" s="2733"/>
      <c r="E137" s="2733"/>
      <c r="F137" s="2733"/>
      <c r="G137" s="2733"/>
      <c r="H137" s="2733"/>
      <c r="I137" s="2733"/>
      <c r="J137" s="1046"/>
    </row>
    <row r="138" spans="1:25">
      <c r="A138" s="1048"/>
      <c r="B138" s="1049"/>
      <c r="C138" s="1050"/>
      <c r="D138" s="1050"/>
      <c r="E138" s="1050"/>
      <c r="F138" s="1050"/>
      <c r="G138" s="1050"/>
      <c r="H138" s="1051"/>
      <c r="I138" s="1051"/>
      <c r="J138" s="995"/>
      <c r="L138" s="779" t="s">
        <v>2685</v>
      </c>
      <c r="S138" s="779" t="s">
        <v>2686</v>
      </c>
    </row>
    <row r="139" spans="1:25" ht="28.5" customHeight="1">
      <c r="A139" s="2385" t="s">
        <v>2687</v>
      </c>
      <c r="B139" s="2379"/>
      <c r="C139" s="2385" t="s">
        <v>2688</v>
      </c>
      <c r="D139" s="2386"/>
      <c r="E139" s="2386"/>
      <c r="F139" s="2379"/>
      <c r="G139" s="2734" t="s">
        <v>2689</v>
      </c>
      <c r="H139" s="2734" t="s">
        <v>2690</v>
      </c>
      <c r="I139" s="2735" t="s">
        <v>2691</v>
      </c>
      <c r="J139" s="2730" t="s">
        <v>2692</v>
      </c>
      <c r="L139" s="2385" t="s">
        <v>2693</v>
      </c>
      <c r="M139" s="2386"/>
      <c r="N139" s="1814" t="s">
        <v>2694</v>
      </c>
      <c r="O139" s="1713"/>
      <c r="P139" s="676" t="s">
        <v>2695</v>
      </c>
      <c r="S139" s="2385" t="s">
        <v>2693</v>
      </c>
      <c r="T139" s="2386"/>
      <c r="U139" s="1814" t="s">
        <v>2694</v>
      </c>
      <c r="V139" s="1713"/>
      <c r="W139" s="676" t="s">
        <v>2695</v>
      </c>
      <c r="X139" s="2493" t="s">
        <v>2696</v>
      </c>
      <c r="Y139" s="2732"/>
    </row>
    <row r="140" spans="1:25">
      <c r="A140" s="2381" t="s">
        <v>2697</v>
      </c>
      <c r="B140" s="2382"/>
      <c r="C140" s="960" t="s">
        <v>2697</v>
      </c>
      <c r="D140" s="2730" t="s">
        <v>2698</v>
      </c>
      <c r="E140" s="2726" t="s">
        <v>2699</v>
      </c>
      <c r="F140" s="2727"/>
      <c r="G140" s="2731"/>
      <c r="H140" s="2731"/>
      <c r="I140" s="2736"/>
      <c r="J140" s="2731"/>
      <c r="L140" s="1814" t="e">
        <f>'[17]原始记录（电阻）'!L155</f>
        <v>#REF!</v>
      </c>
      <c r="M140" s="1713"/>
      <c r="N140" s="1814" t="e">
        <f>'[17]原始记录（电阻）'!T155</f>
        <v>#REF!</v>
      </c>
      <c r="O140" s="1713"/>
      <c r="P140" s="6" t="e">
        <f>'[17]原始记录（电阻）'!U155</f>
        <v>#REF!</v>
      </c>
      <c r="S140" s="1814" t="e">
        <f>'[17]原始记录（电阻）'!U155</f>
        <v>#REF!</v>
      </c>
      <c r="T140" s="1713"/>
      <c r="U140" s="1814" t="e">
        <f>'[17]原始记录（电阻）'!AC155</f>
        <v>#REF!</v>
      </c>
      <c r="V140" s="1713"/>
      <c r="W140" s="6" t="e">
        <f>'[17]原始记录（电阻）'!AD155</f>
        <v>#REF!</v>
      </c>
      <c r="X140" s="2724">
        <v>1.2E-4</v>
      </c>
      <c r="Y140" s="2725"/>
    </row>
    <row r="141" spans="1:25">
      <c r="A141" s="2383" t="s">
        <v>2700</v>
      </c>
      <c r="B141" s="2384"/>
      <c r="C141" s="730" t="s">
        <v>2700</v>
      </c>
      <c r="D141" s="2430"/>
      <c r="E141" s="2728"/>
      <c r="F141" s="2729"/>
      <c r="G141" s="2430"/>
      <c r="H141" s="2430"/>
      <c r="I141" s="2737"/>
      <c r="J141" s="730" t="s">
        <v>2701</v>
      </c>
      <c r="L141" s="1814" t="e">
        <f>'[17]原始记录（电阻）'!L156</f>
        <v>#REF!</v>
      </c>
      <c r="M141" s="1713"/>
      <c r="N141" s="1814" t="e">
        <f>'[17]原始记录（电阻）'!T156</f>
        <v>#REF!</v>
      </c>
      <c r="O141" s="1713"/>
      <c r="P141" s="6" t="e">
        <f>'[17]原始记录（电阻）'!U156</f>
        <v>#REF!</v>
      </c>
      <c r="S141" s="1814" t="e">
        <f>'[17]原始记录（电阻）'!U156</f>
        <v>#REF!</v>
      </c>
      <c r="T141" s="1713"/>
      <c r="U141" s="1814" t="e">
        <f>'[17]原始记录（电阻）'!AC156</f>
        <v>#REF!</v>
      </c>
      <c r="V141" s="1713"/>
      <c r="W141" s="37" t="e">
        <f>'[17]原始记录（电阻）'!AD156</f>
        <v>#REF!</v>
      </c>
      <c r="X141" s="2724">
        <v>1.2E-4</v>
      </c>
      <c r="Y141" s="2725"/>
    </row>
    <row r="142" spans="1:25">
      <c r="A142" s="2385">
        <v>10</v>
      </c>
      <c r="B142" s="2379"/>
      <c r="C142" s="730">
        <v>10</v>
      </c>
      <c r="D142" s="730">
        <v>618</v>
      </c>
      <c r="E142" s="2493">
        <v>9.9996500000000008</v>
      </c>
      <c r="F142" s="2611"/>
      <c r="G142" s="1052">
        <v>0.99992199999999998</v>
      </c>
      <c r="H142" s="1052">
        <v>0.999973</v>
      </c>
      <c r="I142" s="971">
        <f>G142/J142-H142/J142+E142</f>
        <v>9.9991400000000006</v>
      </c>
      <c r="J142" s="1053">
        <v>0.1</v>
      </c>
      <c r="L142" s="1814" t="e">
        <f>'[17]原始记录（电阻）'!L157</f>
        <v>#REF!</v>
      </c>
      <c r="M142" s="1713"/>
      <c r="N142" s="1814" t="e">
        <f>'[17]原始记录（电阻）'!T157</f>
        <v>#REF!</v>
      </c>
      <c r="O142" s="1713"/>
      <c r="P142" s="6" t="e">
        <f>'[17]原始记录（电阻）'!U157</f>
        <v>#REF!</v>
      </c>
      <c r="S142" s="1814" t="e">
        <f>'[17]原始记录（电阻）'!U157</f>
        <v>#REF!</v>
      </c>
      <c r="T142" s="1713"/>
      <c r="U142" s="1814" t="e">
        <f>'[17]原始记录（电阻）'!AC157</f>
        <v>#REF!</v>
      </c>
      <c r="V142" s="1713"/>
      <c r="W142" s="37" t="e">
        <f>'[17]原始记录（电阻）'!AD157</f>
        <v>#REF!</v>
      </c>
      <c r="X142" s="2724">
        <v>1.2E-4</v>
      </c>
      <c r="Y142" s="2725"/>
    </row>
    <row r="143" spans="1:25">
      <c r="A143" s="2385">
        <v>100</v>
      </c>
      <c r="B143" s="2379"/>
      <c r="C143" s="730">
        <v>100</v>
      </c>
      <c r="D143" s="730">
        <v>674</v>
      </c>
      <c r="E143" s="2493">
        <v>99.996799999999993</v>
      </c>
      <c r="F143" s="2611"/>
      <c r="G143" s="730">
        <v>0.99995000000000001</v>
      </c>
      <c r="H143" s="1054">
        <v>0.99996300000000005</v>
      </c>
      <c r="I143" s="973">
        <f>G143/J143-H143/J143+E143</f>
        <v>99.995499999999993</v>
      </c>
      <c r="J143" s="1053">
        <v>0.01</v>
      </c>
      <c r="L143" s="1814" t="e">
        <f>'[17]原始记录（电阻）'!L158</f>
        <v>#REF!</v>
      </c>
      <c r="M143" s="1713"/>
      <c r="N143" s="1814" t="e">
        <f>'[17]原始记录（电阻）'!T158</f>
        <v>#REF!</v>
      </c>
      <c r="O143" s="1713"/>
      <c r="P143" s="6" t="e">
        <f>'[17]原始记录（电阻）'!U158</f>
        <v>#REF!</v>
      </c>
      <c r="S143" s="1814" t="e">
        <f>'[17]原始记录（电阻）'!U158</f>
        <v>#REF!</v>
      </c>
      <c r="T143" s="1713"/>
      <c r="U143" s="1814" t="e">
        <f>'[17]原始记录（电阻）'!AC158</f>
        <v>#REF!</v>
      </c>
      <c r="V143" s="1713"/>
      <c r="W143" s="6" t="e">
        <f>'[17]原始记录（电阻）'!AD158</f>
        <v>#REF!</v>
      </c>
      <c r="X143" s="2724">
        <v>1.2E-4</v>
      </c>
      <c r="Y143" s="2725"/>
    </row>
    <row r="144" spans="1:25">
      <c r="A144" s="2385">
        <v>1000</v>
      </c>
      <c r="B144" s="2379"/>
      <c r="C144" s="837">
        <v>1000</v>
      </c>
      <c r="D144" s="837">
        <v>729</v>
      </c>
      <c r="E144" s="2385">
        <v>1000.003</v>
      </c>
      <c r="F144" s="2379"/>
      <c r="G144" s="1055">
        <v>0.99998200000000004</v>
      </c>
      <c r="H144" s="968">
        <v>0.99998799999999999</v>
      </c>
      <c r="I144" s="976">
        <f>G144/J144-H144/J144+E144</f>
        <v>999.99700000000007</v>
      </c>
      <c r="J144" s="1053">
        <v>1E-3</v>
      </c>
    </row>
    <row r="145" spans="1:10">
      <c r="A145" s="2385">
        <v>10000</v>
      </c>
      <c r="B145" s="2379"/>
      <c r="C145" s="837">
        <v>10000</v>
      </c>
      <c r="D145" s="698">
        <v>697</v>
      </c>
      <c r="E145" s="2385">
        <v>9999.67</v>
      </c>
      <c r="F145" s="2379"/>
      <c r="G145" s="698">
        <v>0.99995699999999998</v>
      </c>
      <c r="H145" s="968">
        <v>0.999973</v>
      </c>
      <c r="I145" s="978">
        <f>G145/J145-H145/J145+E145</f>
        <v>9999.51</v>
      </c>
      <c r="J145" s="6">
        <v>1E-4</v>
      </c>
    </row>
    <row r="146" spans="1:10">
      <c r="A146" s="1376" t="s">
        <v>3473</v>
      </c>
    </row>
  </sheetData>
  <mergeCells count="501">
    <mergeCell ref="A57:B57"/>
    <mergeCell ref="G58:H58"/>
    <mergeCell ref="G60:H60"/>
    <mergeCell ref="O53:P53"/>
    <mergeCell ref="S53:T53"/>
    <mergeCell ref="W53:X53"/>
    <mergeCell ref="C23:J23"/>
    <mergeCell ref="P25:U25"/>
    <mergeCell ref="I12:I14"/>
    <mergeCell ref="F42:G43"/>
    <mergeCell ref="F44:G44"/>
    <mergeCell ref="F45:G45"/>
    <mergeCell ref="K22:L24"/>
    <mergeCell ref="D12:F12"/>
    <mergeCell ref="J12:J14"/>
    <mergeCell ref="K12:K13"/>
    <mergeCell ref="C13:C14"/>
    <mergeCell ref="A12:C12"/>
    <mergeCell ref="F13:F14"/>
    <mergeCell ref="A58:B58"/>
    <mergeCell ref="A60:B60"/>
    <mergeCell ref="B13:B14"/>
    <mergeCell ref="E13:E14"/>
    <mergeCell ref="C22:J22"/>
    <mergeCell ref="A11:H11"/>
    <mergeCell ref="Y25:Z25"/>
    <mergeCell ref="A26:E26"/>
    <mergeCell ref="F26:H26"/>
    <mergeCell ref="I26:K26"/>
    <mergeCell ref="P26:Q26"/>
    <mergeCell ref="R26:S26"/>
    <mergeCell ref="V15:Y18"/>
    <mergeCell ref="T26:U26"/>
    <mergeCell ref="L11:L14"/>
    <mergeCell ref="G12:G14"/>
    <mergeCell ref="H12:H14"/>
    <mergeCell ref="A29:E29"/>
    <mergeCell ref="F29:H29"/>
    <mergeCell ref="I29:K29"/>
    <mergeCell ref="P29:Q29"/>
    <mergeCell ref="R29:S29"/>
    <mergeCell ref="T29:U29"/>
    <mergeCell ref="P27:Q27"/>
    <mergeCell ref="R27:S27"/>
    <mergeCell ref="T27:U27"/>
    <mergeCell ref="A28:E28"/>
    <mergeCell ref="F28:H28"/>
    <mergeCell ref="I28:K28"/>
    <mergeCell ref="P28:Q28"/>
    <mergeCell ref="R28:S28"/>
    <mergeCell ref="T28:U28"/>
    <mergeCell ref="F27:H27"/>
    <mergeCell ref="I27:K27"/>
    <mergeCell ref="A27:E27"/>
    <mergeCell ref="A31:E31"/>
    <mergeCell ref="F31:H31"/>
    <mergeCell ref="I31:K31"/>
    <mergeCell ref="P31:Q31"/>
    <mergeCell ref="R31:S31"/>
    <mergeCell ref="T31:U31"/>
    <mergeCell ref="A30:E30"/>
    <mergeCell ref="F30:H30"/>
    <mergeCell ref="I30:K30"/>
    <mergeCell ref="P30:Q30"/>
    <mergeCell ref="R30:S30"/>
    <mergeCell ref="T30:U30"/>
    <mergeCell ref="A33:E33"/>
    <mergeCell ref="F33:H33"/>
    <mergeCell ref="I33:K33"/>
    <mergeCell ref="P33:Q33"/>
    <mergeCell ref="R33:S33"/>
    <mergeCell ref="T33:U33"/>
    <mergeCell ref="A32:E32"/>
    <mergeCell ref="F32:H32"/>
    <mergeCell ref="I32:K32"/>
    <mergeCell ref="P32:Q32"/>
    <mergeCell ref="R32:S32"/>
    <mergeCell ref="T32:U32"/>
    <mergeCell ref="A35:E35"/>
    <mergeCell ref="F35:H35"/>
    <mergeCell ref="I35:K35"/>
    <mergeCell ref="P35:Q35"/>
    <mergeCell ref="R35:S35"/>
    <mergeCell ref="T35:U35"/>
    <mergeCell ref="A34:E34"/>
    <mergeCell ref="F34:H34"/>
    <mergeCell ref="I34:K34"/>
    <mergeCell ref="P34:Q34"/>
    <mergeCell ref="R34:S34"/>
    <mergeCell ref="T34:U34"/>
    <mergeCell ref="A37:E37"/>
    <mergeCell ref="F37:H37"/>
    <mergeCell ref="I37:K37"/>
    <mergeCell ref="P37:Q37"/>
    <mergeCell ref="R37:S37"/>
    <mergeCell ref="T37:U37"/>
    <mergeCell ref="A36:E36"/>
    <mergeCell ref="F36:H36"/>
    <mergeCell ref="I36:K36"/>
    <mergeCell ref="P36:Q36"/>
    <mergeCell ref="R36:S36"/>
    <mergeCell ref="T36:U36"/>
    <mergeCell ref="B42:B43"/>
    <mergeCell ref="A41:C41"/>
    <mergeCell ref="D41:G41"/>
    <mergeCell ref="J41:J43"/>
    <mergeCell ref="E42:E43"/>
    <mergeCell ref="Y54:Z54"/>
    <mergeCell ref="G54:H54"/>
    <mergeCell ref="O54:P54"/>
    <mergeCell ref="Q54:R54"/>
    <mergeCell ref="S54:T54"/>
    <mergeCell ref="K41:K42"/>
    <mergeCell ref="L41:L43"/>
    <mergeCell ref="N53:N54"/>
    <mergeCell ref="I41:I43"/>
    <mergeCell ref="C50:G50"/>
    <mergeCell ref="A52:L52"/>
    <mergeCell ref="C42:C43"/>
    <mergeCell ref="H41:H43"/>
    <mergeCell ref="A53:B54"/>
    <mergeCell ref="U54:V54"/>
    <mergeCell ref="W54:X54"/>
    <mergeCell ref="W55:X55"/>
    <mergeCell ref="Y55:Z55"/>
    <mergeCell ref="A55:B55"/>
    <mergeCell ref="G55:H55"/>
    <mergeCell ref="O55:P55"/>
    <mergeCell ref="Q55:R55"/>
    <mergeCell ref="S55:T55"/>
    <mergeCell ref="A56:B56"/>
    <mergeCell ref="G56:H56"/>
    <mergeCell ref="G57:H57"/>
    <mergeCell ref="O57:P57"/>
    <mergeCell ref="Q57:R57"/>
    <mergeCell ref="S57:T57"/>
    <mergeCell ref="U57:V57"/>
    <mergeCell ref="U55:V55"/>
    <mergeCell ref="O56:P56"/>
    <mergeCell ref="Q56:R56"/>
    <mergeCell ref="S56:T56"/>
    <mergeCell ref="U56:V56"/>
    <mergeCell ref="Y58:Z58"/>
    <mergeCell ref="W57:X57"/>
    <mergeCell ref="Y57:Z57"/>
    <mergeCell ref="U58:V58"/>
    <mergeCell ref="W56:X56"/>
    <mergeCell ref="W58:X58"/>
    <mergeCell ref="O58:P58"/>
    <mergeCell ref="Q58:R58"/>
    <mergeCell ref="S58:T58"/>
    <mergeCell ref="Y56:Z56"/>
    <mergeCell ref="W59:X59"/>
    <mergeCell ref="Y59:Z59"/>
    <mergeCell ref="A59:B59"/>
    <mergeCell ref="G59:H59"/>
    <mergeCell ref="O59:P59"/>
    <mergeCell ref="Q59:R59"/>
    <mergeCell ref="S59:T59"/>
    <mergeCell ref="U59:V59"/>
    <mergeCell ref="O60:P60"/>
    <mergeCell ref="Q60:R60"/>
    <mergeCell ref="S60:T60"/>
    <mergeCell ref="U60:V60"/>
    <mergeCell ref="W62:X62"/>
    <mergeCell ref="Y62:Z62"/>
    <mergeCell ref="W61:X61"/>
    <mergeCell ref="Y61:Z61"/>
    <mergeCell ref="U62:V62"/>
    <mergeCell ref="W60:X60"/>
    <mergeCell ref="Y60:Z60"/>
    <mergeCell ref="W63:X63"/>
    <mergeCell ref="Y63:Z63"/>
    <mergeCell ref="A63:B63"/>
    <mergeCell ref="G63:H63"/>
    <mergeCell ref="O63:P63"/>
    <mergeCell ref="Q63:R63"/>
    <mergeCell ref="S63:T63"/>
    <mergeCell ref="U63:V63"/>
    <mergeCell ref="O61:P61"/>
    <mergeCell ref="Q61:R61"/>
    <mergeCell ref="S61:T61"/>
    <mergeCell ref="U61:V61"/>
    <mergeCell ref="A62:B62"/>
    <mergeCell ref="G62:H62"/>
    <mergeCell ref="O62:P62"/>
    <mergeCell ref="Q62:R62"/>
    <mergeCell ref="S62:T62"/>
    <mergeCell ref="A61:B61"/>
    <mergeCell ref="G61:H61"/>
    <mergeCell ref="W65:X65"/>
    <mergeCell ref="Y65:Z65"/>
    <mergeCell ref="A65:B65"/>
    <mergeCell ref="G65:H65"/>
    <mergeCell ref="O65:P65"/>
    <mergeCell ref="Q65:R65"/>
    <mergeCell ref="S65:T65"/>
    <mergeCell ref="U65:V65"/>
    <mergeCell ref="A64:B64"/>
    <mergeCell ref="G64:H64"/>
    <mergeCell ref="O64:P64"/>
    <mergeCell ref="Q64:R64"/>
    <mergeCell ref="S64:T64"/>
    <mergeCell ref="U64:V64"/>
    <mergeCell ref="W64:X64"/>
    <mergeCell ref="Y64:Z64"/>
    <mergeCell ref="A66:B66"/>
    <mergeCell ref="C66:E66"/>
    <mergeCell ref="F66:I66"/>
    <mergeCell ref="J66:L66"/>
    <mergeCell ref="O66:R66"/>
    <mergeCell ref="S66:V66"/>
    <mergeCell ref="I68:I70"/>
    <mergeCell ref="J68:J70"/>
    <mergeCell ref="W66:Z66"/>
    <mergeCell ref="K68:K70"/>
    <mergeCell ref="L68:L70"/>
    <mergeCell ref="F68:F70"/>
    <mergeCell ref="G68:G70"/>
    <mergeCell ref="V69:X69"/>
    <mergeCell ref="Y69:AA69"/>
    <mergeCell ref="AM69:AO69"/>
    <mergeCell ref="A67:L67"/>
    <mergeCell ref="A68:B68"/>
    <mergeCell ref="C68:E68"/>
    <mergeCell ref="M68:M70"/>
    <mergeCell ref="A69:B70"/>
    <mergeCell ref="E69:E70"/>
    <mergeCell ref="H68:H70"/>
    <mergeCell ref="C69:C70"/>
    <mergeCell ref="D69:D70"/>
    <mergeCell ref="P69:R69"/>
    <mergeCell ref="S69:U69"/>
    <mergeCell ref="AJ70:AL70"/>
    <mergeCell ref="AM70:AO70"/>
    <mergeCell ref="P70:R70"/>
    <mergeCell ref="S70:U70"/>
    <mergeCell ref="V70:X70"/>
    <mergeCell ref="Y70:AA70"/>
    <mergeCell ref="AD70:AF70"/>
    <mergeCell ref="AG70:AI70"/>
    <mergeCell ref="AD69:AF69"/>
    <mergeCell ref="AG69:AI69"/>
    <mergeCell ref="AJ69:AL69"/>
    <mergeCell ref="AM71:AO71"/>
    <mergeCell ref="A72:B72"/>
    <mergeCell ref="P72:R72"/>
    <mergeCell ref="S72:U72"/>
    <mergeCell ref="V72:X72"/>
    <mergeCell ref="Y72:AA72"/>
    <mergeCell ref="AD72:AF72"/>
    <mergeCell ref="AG72:AI72"/>
    <mergeCell ref="AJ72:AL72"/>
    <mergeCell ref="AM72:AO72"/>
    <mergeCell ref="A71:B71"/>
    <mergeCell ref="P71:R71"/>
    <mergeCell ref="S71:U71"/>
    <mergeCell ref="V71:X71"/>
    <mergeCell ref="Y71:AA71"/>
    <mergeCell ref="AD71:AF71"/>
    <mergeCell ref="AG71:AI71"/>
    <mergeCell ref="AJ71:AL71"/>
    <mergeCell ref="AG73:AI73"/>
    <mergeCell ref="AJ73:AL73"/>
    <mergeCell ref="AM73:AO73"/>
    <mergeCell ref="A74:B74"/>
    <mergeCell ref="P74:R74"/>
    <mergeCell ref="S74:U74"/>
    <mergeCell ref="V74:X74"/>
    <mergeCell ref="Y74:AA74"/>
    <mergeCell ref="AD74:AF74"/>
    <mergeCell ref="AG74:AI74"/>
    <mergeCell ref="A73:B73"/>
    <mergeCell ref="P73:R73"/>
    <mergeCell ref="S73:U73"/>
    <mergeCell ref="V73:X73"/>
    <mergeCell ref="Y73:AA73"/>
    <mergeCell ref="AD73:AF73"/>
    <mergeCell ref="AJ74:AL74"/>
    <mergeCell ref="AM74:AO74"/>
    <mergeCell ref="AM75:AO75"/>
    <mergeCell ref="A76:B76"/>
    <mergeCell ref="P76:R76"/>
    <mergeCell ref="S76:U76"/>
    <mergeCell ref="V76:X76"/>
    <mergeCell ref="Y76:AA76"/>
    <mergeCell ref="AD76:AF76"/>
    <mergeCell ref="AG76:AI76"/>
    <mergeCell ref="AJ76:AL76"/>
    <mergeCell ref="AM76:AO76"/>
    <mergeCell ref="A75:B75"/>
    <mergeCell ref="P75:R75"/>
    <mergeCell ref="S75:U75"/>
    <mergeCell ref="V75:X75"/>
    <mergeCell ref="Y75:AA75"/>
    <mergeCell ref="AD75:AF75"/>
    <mergeCell ref="AG75:AI75"/>
    <mergeCell ref="AJ75:AL75"/>
    <mergeCell ref="AM77:AO77"/>
    <mergeCell ref="V77:X77"/>
    <mergeCell ref="Y77:AA77"/>
    <mergeCell ref="AD77:AF77"/>
    <mergeCell ref="W87:Y88"/>
    <mergeCell ref="F91:G91"/>
    <mergeCell ref="A79:C79"/>
    <mergeCell ref="L79:M81"/>
    <mergeCell ref="A77:B77"/>
    <mergeCell ref="P77:R77"/>
    <mergeCell ref="S77:U77"/>
    <mergeCell ref="AG77:AI77"/>
    <mergeCell ref="AJ77:AL77"/>
    <mergeCell ref="A78:B78"/>
    <mergeCell ref="S87:T87"/>
    <mergeCell ref="U87:V88"/>
    <mergeCell ref="P91:Q91"/>
    <mergeCell ref="U90:V90"/>
    <mergeCell ref="A86:C86"/>
    <mergeCell ref="D86:J87"/>
    <mergeCell ref="L86:L87"/>
    <mergeCell ref="A87:B87"/>
    <mergeCell ref="K86:K87"/>
    <mergeCell ref="D89:E89"/>
    <mergeCell ref="A88:B93"/>
    <mergeCell ref="C88:C93"/>
    <mergeCell ref="D88:E88"/>
    <mergeCell ref="F88:G88"/>
    <mergeCell ref="N88:O88"/>
    <mergeCell ref="P88:Q89"/>
    <mergeCell ref="F89:G89"/>
    <mergeCell ref="P90:Q90"/>
    <mergeCell ref="D90:E90"/>
    <mergeCell ref="F90:G90"/>
    <mergeCell ref="N86:P87"/>
    <mergeCell ref="V85:X86"/>
    <mergeCell ref="W89:Y90"/>
    <mergeCell ref="P94:Q94"/>
    <mergeCell ref="W93:Y94"/>
    <mergeCell ref="K88:K93"/>
    <mergeCell ref="L88:L93"/>
    <mergeCell ref="U89:V89"/>
    <mergeCell ref="W91:Y92"/>
    <mergeCell ref="D94:J95"/>
    <mergeCell ref="K94:K95"/>
    <mergeCell ref="L94:L95"/>
    <mergeCell ref="P95:Q95"/>
    <mergeCell ref="U94:V94"/>
    <mergeCell ref="N92:O92"/>
    <mergeCell ref="P92:Q93"/>
    <mergeCell ref="S91:T91"/>
    <mergeCell ref="U91:V92"/>
    <mergeCell ref="D92:E92"/>
    <mergeCell ref="F92:G92"/>
    <mergeCell ref="D91:E91"/>
    <mergeCell ref="D93:E93"/>
    <mergeCell ref="U93:V93"/>
    <mergeCell ref="L107:L108"/>
    <mergeCell ref="L96:L101"/>
    <mergeCell ref="D107:J108"/>
    <mergeCell ref="F93:G93"/>
    <mergeCell ref="K107:K108"/>
    <mergeCell ref="A95:B95"/>
    <mergeCell ref="D98:E98"/>
    <mergeCell ref="F98:G98"/>
    <mergeCell ref="D101:E101"/>
    <mergeCell ref="F101:G101"/>
    <mergeCell ref="A108:B108"/>
    <mergeCell ref="A96:B101"/>
    <mergeCell ref="C96:C101"/>
    <mergeCell ref="D96:E96"/>
    <mergeCell ref="F96:G96"/>
    <mergeCell ref="K96:K101"/>
    <mergeCell ref="D97:E97"/>
    <mergeCell ref="F97:G97"/>
    <mergeCell ref="A107:C107"/>
    <mergeCell ref="D99:E99"/>
    <mergeCell ref="F99:G99"/>
    <mergeCell ref="D100:E100"/>
    <mergeCell ref="F100:G100"/>
    <mergeCell ref="A94:C94"/>
    <mergeCell ref="L109:L122"/>
    <mergeCell ref="D110:E110"/>
    <mergeCell ref="F110:G110"/>
    <mergeCell ref="D111:E111"/>
    <mergeCell ref="F111:G111"/>
    <mergeCell ref="D112:E112"/>
    <mergeCell ref="F112:G112"/>
    <mergeCell ref="D113:E113"/>
    <mergeCell ref="F113:G113"/>
    <mergeCell ref="D114:E114"/>
    <mergeCell ref="K117:K122"/>
    <mergeCell ref="D118:E118"/>
    <mergeCell ref="F118:G118"/>
    <mergeCell ref="D119:E119"/>
    <mergeCell ref="F119:G119"/>
    <mergeCell ref="D120:E120"/>
    <mergeCell ref="F114:G114"/>
    <mergeCell ref="F120:G120"/>
    <mergeCell ref="D121:E121"/>
    <mergeCell ref="F121:G121"/>
    <mergeCell ref="D122:E122"/>
    <mergeCell ref="F122:G122"/>
    <mergeCell ref="A115:C115"/>
    <mergeCell ref="D115:J116"/>
    <mergeCell ref="K115:K116"/>
    <mergeCell ref="A116:B116"/>
    <mergeCell ref="K109:K114"/>
    <mergeCell ref="A109:B114"/>
    <mergeCell ref="C109:C114"/>
    <mergeCell ref="D109:E109"/>
    <mergeCell ref="F109:G109"/>
    <mergeCell ref="A117:B122"/>
    <mergeCell ref="C117:C122"/>
    <mergeCell ref="D117:E117"/>
    <mergeCell ref="F117:G117"/>
    <mergeCell ref="J125:J126"/>
    <mergeCell ref="A126:B126"/>
    <mergeCell ref="D126:D127"/>
    <mergeCell ref="E126:E127"/>
    <mergeCell ref="A127:B127"/>
    <mergeCell ref="A125:B125"/>
    <mergeCell ref="C125:E125"/>
    <mergeCell ref="F125:F127"/>
    <mergeCell ref="G125:G127"/>
    <mergeCell ref="H125:H127"/>
    <mergeCell ref="I125:I127"/>
    <mergeCell ref="A132:B132"/>
    <mergeCell ref="L132:M132"/>
    <mergeCell ref="A124:G124"/>
    <mergeCell ref="N132:O132"/>
    <mergeCell ref="S132:T132"/>
    <mergeCell ref="U132:V132"/>
    <mergeCell ref="X132:Y132"/>
    <mergeCell ref="N130:O130"/>
    <mergeCell ref="S130:T130"/>
    <mergeCell ref="U130:V130"/>
    <mergeCell ref="X130:Y130"/>
    <mergeCell ref="A131:B131"/>
    <mergeCell ref="L131:M131"/>
    <mergeCell ref="N131:O131"/>
    <mergeCell ref="S131:T131"/>
    <mergeCell ref="U131:V131"/>
    <mergeCell ref="X131:Y131"/>
    <mergeCell ref="L130:M130"/>
    <mergeCell ref="A134:B134"/>
    <mergeCell ref="L134:M134"/>
    <mergeCell ref="N134:O134"/>
    <mergeCell ref="S134:T134"/>
    <mergeCell ref="U134:V134"/>
    <mergeCell ref="X134:Y134"/>
    <mergeCell ref="A133:B133"/>
    <mergeCell ref="L133:M133"/>
    <mergeCell ref="N133:O133"/>
    <mergeCell ref="S133:T133"/>
    <mergeCell ref="U133:V133"/>
    <mergeCell ref="X133:Y133"/>
    <mergeCell ref="A135:B135"/>
    <mergeCell ref="C136:I136"/>
    <mergeCell ref="C137:I137"/>
    <mergeCell ref="A139:B139"/>
    <mergeCell ref="C139:F139"/>
    <mergeCell ref="G139:G141"/>
    <mergeCell ref="H139:H141"/>
    <mergeCell ref="I139:I141"/>
    <mergeCell ref="A140:B140"/>
    <mergeCell ref="D140:D141"/>
    <mergeCell ref="A141:B141"/>
    <mergeCell ref="L141:M141"/>
    <mergeCell ref="N141:O141"/>
    <mergeCell ref="S141:T141"/>
    <mergeCell ref="U141:V141"/>
    <mergeCell ref="X141:Y141"/>
    <mergeCell ref="E140:F141"/>
    <mergeCell ref="L140:M140"/>
    <mergeCell ref="N140:O140"/>
    <mergeCell ref="S140:T140"/>
    <mergeCell ref="U140:V140"/>
    <mergeCell ref="X140:Y140"/>
    <mergeCell ref="J139:J140"/>
    <mergeCell ref="L139:M139"/>
    <mergeCell ref="N139:O139"/>
    <mergeCell ref="S139:T139"/>
    <mergeCell ref="U139:V139"/>
    <mergeCell ref="X139:Y139"/>
    <mergeCell ref="A144:B144"/>
    <mergeCell ref="E144:F144"/>
    <mergeCell ref="A145:B145"/>
    <mergeCell ref="E145:F145"/>
    <mergeCell ref="X142:Y142"/>
    <mergeCell ref="A143:B143"/>
    <mergeCell ref="E143:F143"/>
    <mergeCell ref="L143:M143"/>
    <mergeCell ref="N143:O143"/>
    <mergeCell ref="S143:T143"/>
    <mergeCell ref="U143:V143"/>
    <mergeCell ref="X143:Y143"/>
    <mergeCell ref="A142:B142"/>
    <mergeCell ref="E142:F142"/>
    <mergeCell ref="L142:M142"/>
    <mergeCell ref="N142:O142"/>
    <mergeCell ref="S142:T142"/>
    <mergeCell ref="U142:V142"/>
  </mergeCells>
  <phoneticPr fontId="25" type="noConversion"/>
  <pageMargins left="0.75" right="0.75" top="1" bottom="1" header="0.5" footer="0.5"/>
  <drawing r:id="rId1"/>
  <legacyDrawing r:id="rId2"/>
  <oleObjects>
    <oleObject progId="Equation.3" shapeId="69758" r:id="rId3"/>
    <oleObject progId="Equation.3" shapeId="69759" r:id="rId4"/>
    <oleObject progId="Equation.3" shapeId="69760" r:id="rId5"/>
    <oleObject progId="Equation.3" shapeId="69762" r:id="rId6"/>
    <oleObject progId="Equation.3" shapeId="69763" r:id="rId7"/>
    <oleObject progId="Equation.3" shapeId="69764" r:id="rId8"/>
    <oleObject progId="Equation.3" shapeId="70474" r:id="rId9"/>
    <oleObject progId="Equation.3" shapeId="70475" r:id="rId10"/>
    <oleObject progId="Equation.3" shapeId="70476" r:id="rId11"/>
    <oleObject progId="Equation.3" shapeId="70477" r:id="rId12"/>
    <oleObject progId="Equation.3" shapeId="70478" r:id="rId13"/>
    <oleObject progId="Equation.3" shapeId="70479" r:id="rId14"/>
    <oleObject progId="Equation.3" shapeId="70480" r:id="rId15"/>
    <oleObject progId="Equation.3" shapeId="70481" r:id="rId16"/>
    <oleObject progId="Equation.3" shapeId="70482" r:id="rId17"/>
    <oleObject progId="Equation.3" shapeId="70483" r:id="rId18"/>
    <oleObject progId="Equation.3" shapeId="70484" r:id="rId19"/>
    <oleObject progId="Equation.3" shapeId="70485" r:id="rId20"/>
    <oleObject progId="Equation.3" shapeId="70486" r:id="rId21"/>
    <oleObject progId="Equation.3" shapeId="70487" r:id="rId22"/>
    <oleObject progId="Equation.3" shapeId="70488" r:id="rId23"/>
    <oleObject progId="Equation.3" shapeId="70489" r:id="rId24"/>
    <oleObject progId="Equation.3" shapeId="70490" r:id="rId25"/>
    <oleObject progId="Equation.3" shapeId="70491" r:id="rId26"/>
    <oleObject progId="Equation.3" shapeId="70492" r:id="rId27"/>
    <oleObject progId="Equation.3" shapeId="70493" r:id="rId28"/>
    <oleObject progId="Equation.3" shapeId="70494" r:id="rId29"/>
    <oleObject progId="Equation.3" shapeId="70495" r:id="rId30"/>
    <oleObject progId="Equation.3" shapeId="70496" r:id="rId31"/>
    <oleObject progId="Equation.3" shapeId="70497" r:id="rId32"/>
    <oleObject progId="Equation.3" shapeId="70498" r:id="rId33"/>
    <oleObject progId="Equation.3" shapeId="70499" r:id="rId34"/>
  </oleObjects>
</worksheet>
</file>

<file path=xl/worksheets/sheet43.xml><?xml version="1.0" encoding="utf-8"?>
<worksheet xmlns="http://schemas.openxmlformats.org/spreadsheetml/2006/main" xmlns:r="http://schemas.openxmlformats.org/officeDocument/2006/relationships">
  <dimension ref="A1:U62"/>
  <sheetViews>
    <sheetView topLeftCell="A10" workbookViewId="0">
      <selection activeCell="D4" sqref="D4"/>
    </sheetView>
  </sheetViews>
  <sheetFormatPr defaultRowHeight="14.25"/>
  <cols>
    <col min="1" max="1" width="4.75" style="529" customWidth="1"/>
    <col min="2" max="2" width="8.875" style="529" customWidth="1"/>
    <col min="3" max="3" width="8.25" style="529" customWidth="1"/>
    <col min="4" max="4" width="8.375" style="529" customWidth="1"/>
    <col min="5" max="5" width="7.5" style="529" customWidth="1"/>
    <col min="6" max="6" width="8.375" style="529" customWidth="1"/>
    <col min="7" max="7" width="8.5" style="529" customWidth="1"/>
    <col min="8" max="8" width="9.375" style="529" customWidth="1"/>
    <col min="9" max="9" width="7.625" style="529" customWidth="1"/>
    <col min="10" max="10" width="8" style="529" customWidth="1"/>
    <col min="11" max="11" width="7.125" style="529" customWidth="1"/>
    <col min="12" max="12" width="7.875" style="529" customWidth="1"/>
    <col min="13" max="13" width="7.625" style="529" customWidth="1"/>
    <col min="14" max="15" width="2.125" style="529" customWidth="1"/>
    <col min="16" max="16" width="3.5" style="529" customWidth="1"/>
    <col min="17" max="17" width="1.625" style="529" customWidth="1"/>
    <col min="18" max="18" width="2" style="529" customWidth="1"/>
    <col min="19" max="19" width="1.625" style="529" customWidth="1"/>
    <col min="20" max="20" width="3.875" style="529" customWidth="1"/>
    <col min="21" max="16384" width="9" style="529"/>
  </cols>
  <sheetData>
    <row r="1" spans="1:21" customFormat="1" ht="18.75" customHeight="1">
      <c r="A1" s="454" t="s">
        <v>1165</v>
      </c>
      <c r="B1" s="2861" t="s">
        <v>1197</v>
      </c>
      <c r="C1" s="2861"/>
      <c r="D1" s="2861"/>
      <c r="E1" s="2862" t="s">
        <v>1258</v>
      </c>
      <c r="F1" s="2704"/>
      <c r="G1" s="2704"/>
      <c r="H1" s="2704"/>
      <c r="I1" s="2704"/>
      <c r="J1" s="534" t="s">
        <v>1259</v>
      </c>
      <c r="K1" s="315"/>
      <c r="L1" s="508"/>
      <c r="M1" s="508"/>
      <c r="N1" s="508"/>
      <c r="O1" s="508"/>
      <c r="P1" s="508"/>
      <c r="Q1" s="508"/>
      <c r="R1" s="508"/>
      <c r="S1" s="508"/>
      <c r="T1" s="508"/>
      <c r="U1" s="508"/>
    </row>
    <row r="2" spans="1:21" customFormat="1">
      <c r="A2" s="13"/>
      <c r="B2" s="509"/>
      <c r="C2" s="395"/>
      <c r="D2" s="395"/>
      <c r="E2" s="395"/>
      <c r="F2" s="496"/>
      <c r="G2" s="315"/>
      <c r="H2" s="315"/>
      <c r="I2" s="315"/>
      <c r="J2" s="315"/>
      <c r="K2" s="315"/>
      <c r="L2" s="13"/>
      <c r="M2" s="13"/>
      <c r="N2" s="13"/>
      <c r="O2" s="13"/>
      <c r="P2" s="13"/>
      <c r="Q2" s="13"/>
      <c r="R2" s="13"/>
      <c r="S2" s="13"/>
      <c r="T2" s="13"/>
      <c r="U2" s="13"/>
    </row>
    <row r="3" spans="1:21" customFormat="1">
      <c r="A3" s="2863" t="s">
        <v>1167</v>
      </c>
      <c r="B3" s="2863"/>
      <c r="C3" s="2863"/>
      <c r="D3" s="2863"/>
      <c r="E3" s="2863"/>
      <c r="F3" s="13"/>
      <c r="G3" s="13" t="s">
        <v>1168</v>
      </c>
      <c r="H3" s="13"/>
      <c r="I3" s="13"/>
      <c r="J3" s="13"/>
      <c r="K3" s="13"/>
      <c r="L3" s="13"/>
      <c r="M3" s="13"/>
      <c r="N3" s="13"/>
      <c r="O3" s="13"/>
      <c r="P3" s="13"/>
      <c r="Q3" s="13"/>
      <c r="R3" s="13"/>
      <c r="S3" s="13"/>
      <c r="T3" s="13"/>
      <c r="U3" s="13"/>
    </row>
    <row r="4" spans="1:21" customFormat="1">
      <c r="A4" s="510"/>
      <c r="B4" s="510"/>
      <c r="C4" s="510" t="s">
        <v>1199</v>
      </c>
      <c r="D4" s="510">
        <v>100</v>
      </c>
      <c r="E4" s="510" t="s">
        <v>1260</v>
      </c>
      <c r="F4" s="13"/>
      <c r="G4" s="13"/>
      <c r="H4" s="13"/>
      <c r="I4" s="13"/>
      <c r="J4" s="13"/>
      <c r="K4" s="13"/>
      <c r="L4" s="13"/>
      <c r="M4" s="13"/>
      <c r="N4" s="13"/>
      <c r="O4" s="13"/>
      <c r="P4" s="13"/>
      <c r="Q4" s="13"/>
      <c r="R4" s="13"/>
      <c r="S4" s="13"/>
      <c r="T4" s="13"/>
      <c r="U4" s="13"/>
    </row>
    <row r="5" spans="1:21" customFormat="1" ht="16.5" thickBot="1">
      <c r="A5" s="13"/>
      <c r="B5" s="347" t="s">
        <v>1239</v>
      </c>
      <c r="C5" s="347" t="s">
        <v>1240</v>
      </c>
      <c r="D5" s="347" t="s">
        <v>1241</v>
      </c>
      <c r="E5" s="347" t="s">
        <v>1242</v>
      </c>
      <c r="F5" s="347" t="s">
        <v>1243</v>
      </c>
      <c r="G5" s="347" t="s">
        <v>1244</v>
      </c>
      <c r="H5" s="347" t="s">
        <v>1245</v>
      </c>
      <c r="I5" s="348" t="s">
        <v>1246</v>
      </c>
      <c r="J5" s="348" t="s">
        <v>1247</v>
      </c>
      <c r="K5" s="347" t="s">
        <v>1248</v>
      </c>
      <c r="L5" s="13"/>
      <c r="M5" s="13"/>
      <c r="N5" s="13"/>
      <c r="O5" s="13"/>
      <c r="P5" s="13"/>
      <c r="Q5" s="13"/>
      <c r="R5" s="13"/>
      <c r="S5" s="13"/>
      <c r="T5" s="13"/>
      <c r="U5" s="13"/>
    </row>
    <row r="6" spans="1:21" customFormat="1" ht="15" thickBot="1">
      <c r="A6" s="13"/>
      <c r="B6" s="535">
        <v>99.996200000000002</v>
      </c>
      <c r="C6" s="536">
        <v>99.996099999999998</v>
      </c>
      <c r="D6" s="536">
        <v>99.996099999999998</v>
      </c>
      <c r="E6" s="536">
        <v>99.995999999999995</v>
      </c>
      <c r="F6" s="536">
        <v>99.995999999999995</v>
      </c>
      <c r="G6" s="535">
        <v>99.995599999999996</v>
      </c>
      <c r="H6" s="536">
        <v>99.995699999999999</v>
      </c>
      <c r="I6" s="536">
        <v>99.995599999999996</v>
      </c>
      <c r="J6" s="536">
        <v>99.995800000000003</v>
      </c>
      <c r="K6" s="536">
        <v>99.995699999999999</v>
      </c>
      <c r="L6" s="537"/>
      <c r="M6" s="13"/>
      <c r="N6" s="13"/>
      <c r="O6" s="13"/>
      <c r="P6" s="13"/>
      <c r="Q6" s="13"/>
      <c r="R6" s="13"/>
      <c r="S6" s="13"/>
      <c r="T6" s="13"/>
      <c r="U6" s="13"/>
    </row>
    <row r="7" spans="1:21" customFormat="1" ht="18.75">
      <c r="A7" s="13"/>
      <c r="B7" s="394" t="s">
        <v>1174</v>
      </c>
      <c r="C7" s="2705">
        <f>STDEV(C6:K6)/D4</f>
        <v>2.0682789409965186E-6</v>
      </c>
      <c r="D7" s="2706"/>
      <c r="E7" s="2706"/>
      <c r="F7" s="2706"/>
      <c r="G7" s="2706"/>
      <c r="H7" s="2706"/>
      <c r="I7" s="2706"/>
      <c r="J7" s="2706"/>
      <c r="K7" s="2707"/>
      <c r="L7" s="13"/>
      <c r="M7" s="508" t="s">
        <v>1261</v>
      </c>
      <c r="N7" s="13"/>
      <c r="O7" s="13"/>
      <c r="P7" s="13"/>
      <c r="Q7" s="13"/>
      <c r="R7" s="13"/>
      <c r="S7" s="13"/>
      <c r="T7" s="13"/>
      <c r="U7" s="13"/>
    </row>
    <row r="8" spans="1:21" customFormat="1">
      <c r="A8" s="13"/>
      <c r="B8" s="511"/>
      <c r="C8" s="511"/>
      <c r="D8" s="511"/>
      <c r="E8" s="511"/>
      <c r="F8" s="511"/>
      <c r="G8" s="511"/>
      <c r="H8" s="511"/>
      <c r="I8" s="511"/>
      <c r="J8" s="511"/>
      <c r="K8" s="511"/>
      <c r="L8" s="13"/>
      <c r="M8" s="508" t="s">
        <v>1262</v>
      </c>
      <c r="N8" s="13"/>
      <c r="O8" s="13"/>
      <c r="P8" s="13"/>
      <c r="Q8" s="13"/>
      <c r="R8" s="13"/>
      <c r="S8" s="13"/>
      <c r="T8" s="13"/>
      <c r="U8" s="13"/>
    </row>
    <row r="9" spans="1:21" customFormat="1" ht="15.75" customHeight="1">
      <c r="A9" s="512" t="s">
        <v>1263</v>
      </c>
      <c r="B9" s="153" t="s">
        <v>1264</v>
      </c>
    </row>
    <row r="10" spans="1:21">
      <c r="A10" s="527"/>
      <c r="B10" s="527"/>
      <c r="C10" s="527"/>
      <c r="D10" s="527"/>
      <c r="E10" s="527"/>
      <c r="F10" s="527"/>
      <c r="G10" s="527"/>
      <c r="H10" s="527"/>
      <c r="I10" s="527"/>
      <c r="J10" s="527"/>
      <c r="K10" s="527"/>
      <c r="L10" s="527"/>
      <c r="M10" s="527"/>
      <c r="N10" s="527"/>
      <c r="O10" s="527"/>
      <c r="P10" s="527"/>
      <c r="Q10" s="527"/>
      <c r="R10" s="527"/>
      <c r="S10" s="527"/>
      <c r="T10" s="527"/>
    </row>
    <row r="11" spans="1:21" ht="30" customHeight="1">
      <c r="A11" s="2864" t="s">
        <v>1265</v>
      </c>
      <c r="B11" s="2865"/>
      <c r="C11" s="2864" t="s">
        <v>1266</v>
      </c>
      <c r="D11" s="2866"/>
      <c r="E11" s="2866"/>
      <c r="F11" s="2866"/>
      <c r="G11" s="2866"/>
      <c r="H11" s="2866"/>
      <c r="I11" s="2865"/>
      <c r="J11" s="2867" t="s">
        <v>1267</v>
      </c>
      <c r="K11" s="2867"/>
      <c r="L11" s="2867" t="s">
        <v>1268</v>
      </c>
      <c r="M11" s="2867"/>
      <c r="N11" s="2867"/>
      <c r="O11" s="2868" t="s">
        <v>1269</v>
      </c>
      <c r="P11" s="2868"/>
      <c r="Q11" s="2868" t="s">
        <v>1270</v>
      </c>
      <c r="R11" s="2867"/>
      <c r="S11" s="2867"/>
      <c r="T11" s="2867"/>
      <c r="U11" s="508" t="s">
        <v>1271</v>
      </c>
    </row>
    <row r="12" spans="1:21" ht="30" customHeight="1">
      <c r="A12" s="2869">
        <v>1</v>
      </c>
      <c r="B12" s="2870"/>
      <c r="C12" s="2869" t="s">
        <v>1272</v>
      </c>
      <c r="D12" s="2871"/>
      <c r="E12" s="2871"/>
      <c r="F12" s="2871"/>
      <c r="G12" s="2871"/>
      <c r="H12" s="2871"/>
      <c r="I12" s="2870"/>
      <c r="J12" s="2872">
        <v>1.9999999999999999E-6</v>
      </c>
      <c r="K12" s="2873"/>
      <c r="L12" s="2867" t="s">
        <v>1273</v>
      </c>
      <c r="M12" s="2867" t="s">
        <v>1274</v>
      </c>
      <c r="N12" s="2867" t="s">
        <v>1274</v>
      </c>
      <c r="O12" s="2867"/>
      <c r="P12" s="2867"/>
      <c r="Q12" s="2874">
        <f>J12/SQRT(3)</f>
        <v>1.1547005383792516E-6</v>
      </c>
      <c r="R12" s="2875"/>
      <c r="S12" s="2875"/>
      <c r="T12" s="2876"/>
    </row>
    <row r="13" spans="1:21" ht="37.5" customHeight="1">
      <c r="A13" s="2869">
        <v>2</v>
      </c>
      <c r="B13" s="2870"/>
      <c r="C13" s="2869" t="s">
        <v>1275</v>
      </c>
      <c r="D13" s="2871"/>
      <c r="E13" s="2871"/>
      <c r="F13" s="2871"/>
      <c r="G13" s="2871"/>
      <c r="H13" s="2871"/>
      <c r="I13" s="2870"/>
      <c r="J13" s="2877">
        <v>1.0000000000000001E-5</v>
      </c>
      <c r="K13" s="2878"/>
      <c r="L13" s="2867" t="s">
        <v>1274</v>
      </c>
      <c r="M13" s="2867" t="s">
        <v>1276</v>
      </c>
      <c r="N13" s="2867" t="s">
        <v>1276</v>
      </c>
      <c r="O13" s="2867">
        <v>3</v>
      </c>
      <c r="P13" s="2867"/>
      <c r="Q13" s="2874">
        <f>J13/O13</f>
        <v>3.3333333333333337E-6</v>
      </c>
      <c r="R13" s="2875"/>
      <c r="S13" s="2875"/>
      <c r="T13" s="2876"/>
    </row>
    <row r="14" spans="1:21" ht="38.25" customHeight="1">
      <c r="A14" s="2869">
        <v>3</v>
      </c>
      <c r="B14" s="2870"/>
      <c r="C14" s="2869" t="s">
        <v>1277</v>
      </c>
      <c r="D14" s="2871"/>
      <c r="E14" s="2871"/>
      <c r="F14" s="2871"/>
      <c r="G14" s="2871"/>
      <c r="H14" s="2871"/>
      <c r="I14" s="2870"/>
      <c r="J14" s="2877">
        <v>2.0000000000000002E-5</v>
      </c>
      <c r="K14" s="2878"/>
      <c r="L14" s="2867" t="s">
        <v>1273</v>
      </c>
      <c r="M14" s="2867" t="s">
        <v>1274</v>
      </c>
      <c r="N14" s="2867" t="s">
        <v>1274</v>
      </c>
      <c r="O14" s="2868"/>
      <c r="P14" s="2868"/>
      <c r="Q14" s="2874">
        <f>J14/SQRT(3)</f>
        <v>1.1547005383792517E-5</v>
      </c>
      <c r="R14" s="2875"/>
      <c r="S14" s="2875"/>
      <c r="T14" s="2876"/>
    </row>
    <row r="15" spans="1:21" ht="38.25" customHeight="1">
      <c r="A15" s="2869">
        <v>4</v>
      </c>
      <c r="B15" s="2870"/>
      <c r="C15" s="2869" t="s">
        <v>1278</v>
      </c>
      <c r="D15" s="2871"/>
      <c r="E15" s="2871"/>
      <c r="F15" s="2871"/>
      <c r="G15" s="2871"/>
      <c r="H15" s="2871"/>
      <c r="I15" s="2870"/>
      <c r="J15" s="2880">
        <v>3.4999999999999999E-6</v>
      </c>
      <c r="K15" s="2881"/>
      <c r="L15" s="2867" t="s">
        <v>1273</v>
      </c>
      <c r="M15" s="2867" t="s">
        <v>1274</v>
      </c>
      <c r="N15" s="2867" t="s">
        <v>1274</v>
      </c>
      <c r="O15" s="2868"/>
      <c r="P15" s="2868"/>
      <c r="Q15" s="2874">
        <f>J15/SQRT(3)</f>
        <v>2.0207259421636902E-6</v>
      </c>
      <c r="R15" s="2875"/>
      <c r="S15" s="2875"/>
      <c r="T15" s="2876"/>
    </row>
    <row r="16" spans="1:21" ht="30" customHeight="1">
      <c r="A16" s="2867" t="s">
        <v>1279</v>
      </c>
      <c r="B16" s="2867"/>
      <c r="C16" s="2879">
        <f>SQRT(SUMSQ(Q12:Q15))</f>
        <v>1.2241777285635904E-5</v>
      </c>
      <c r="D16" s="2879"/>
      <c r="E16" s="2879"/>
      <c r="F16" s="2879"/>
      <c r="G16" s="2879"/>
      <c r="H16" s="2879"/>
      <c r="I16" s="2879"/>
      <c r="J16" s="2879"/>
      <c r="K16" s="2879"/>
      <c r="L16" s="2879"/>
      <c r="M16" s="2879"/>
      <c r="N16" s="2879"/>
      <c r="O16" s="2879"/>
      <c r="P16" s="2879"/>
      <c r="Q16" s="2879"/>
      <c r="R16" s="2879"/>
      <c r="S16" s="2879"/>
      <c r="T16" s="2879"/>
    </row>
    <row r="17" spans="1:21" ht="30" customHeight="1">
      <c r="A17" s="526"/>
      <c r="B17" s="505" t="s">
        <v>1280</v>
      </c>
      <c r="C17"/>
      <c r="D17" s="526"/>
      <c r="E17" s="527"/>
      <c r="F17" s="528"/>
      <c r="G17" s="528"/>
      <c r="H17" s="528"/>
      <c r="I17" s="538"/>
      <c r="K17" s="527"/>
      <c r="L17" s="527"/>
      <c r="M17" s="527"/>
      <c r="N17" s="527"/>
      <c r="O17" s="527"/>
      <c r="P17" s="527"/>
      <c r="Q17" s="527"/>
      <c r="R17" s="539"/>
      <c r="S17" s="527"/>
      <c r="T17" s="527"/>
      <c r="U17" s="527"/>
    </row>
    <row r="18" spans="1:21" ht="30" customHeight="1">
      <c r="A18" s="526"/>
      <c r="C18" s="517"/>
      <c r="D18" s="516" t="s">
        <v>1281</v>
      </c>
      <c r="E18" s="2722">
        <f>SQRT(SUMSQ(C7,C16))</f>
        <v>1.2415268377642139E-5</v>
      </c>
      <c r="F18" s="2722"/>
      <c r="G18" s="2722"/>
      <c r="H18" s="528"/>
      <c r="I18" s="538"/>
      <c r="K18" s="527"/>
      <c r="L18" s="527"/>
      <c r="M18" s="527"/>
      <c r="N18" s="527"/>
      <c r="O18" s="527"/>
      <c r="P18" s="527"/>
      <c r="Q18" s="527"/>
      <c r="R18" s="539"/>
      <c r="S18" s="527"/>
      <c r="T18" s="527"/>
      <c r="U18" s="527"/>
    </row>
    <row r="19" spans="1:21" ht="30" customHeight="1">
      <c r="A19" s="526"/>
      <c r="B19" s="505" t="s">
        <v>1282</v>
      </c>
      <c r="C19" s="28"/>
      <c r="D19" s="526"/>
      <c r="E19" s="527"/>
      <c r="F19" s="528"/>
      <c r="G19" s="528"/>
      <c r="H19" s="528"/>
      <c r="I19" s="538"/>
      <c r="K19" s="527"/>
      <c r="L19" s="527"/>
      <c r="M19" s="527"/>
      <c r="N19" s="527"/>
      <c r="O19" s="527"/>
      <c r="P19" s="527"/>
      <c r="Q19" s="527"/>
      <c r="R19" s="539"/>
      <c r="S19" s="527"/>
      <c r="T19" s="527"/>
      <c r="U19" s="527"/>
    </row>
    <row r="20" spans="1:21" ht="20.100000000000001" customHeight="1">
      <c r="A20" s="527"/>
      <c r="B20" s="518" t="s">
        <v>1283</v>
      </c>
      <c r="C20" s="540">
        <f>E18*2</f>
        <v>2.4830536755284277E-5</v>
      </c>
      <c r="D20" s="527"/>
      <c r="E20" s="527"/>
      <c r="F20" s="527"/>
      <c r="G20" s="527"/>
      <c r="H20" s="527"/>
      <c r="I20" s="527"/>
      <c r="J20" s="527"/>
      <c r="K20" s="527"/>
      <c r="L20" s="527"/>
      <c r="M20" s="527"/>
      <c r="N20" s="527"/>
      <c r="O20" s="527"/>
      <c r="P20" s="527"/>
      <c r="Q20" s="527"/>
      <c r="R20" s="539"/>
      <c r="S20" s="527"/>
      <c r="T20" s="527"/>
      <c r="U20" s="527"/>
    </row>
    <row r="21" spans="1:21" ht="20.100000000000001" customHeight="1">
      <c r="A21" s="527"/>
      <c r="B21" s="518"/>
      <c r="C21" s="540"/>
      <c r="D21" s="527"/>
      <c r="E21" s="527"/>
      <c r="F21" s="527"/>
      <c r="G21" s="527"/>
      <c r="H21" s="527"/>
      <c r="I21" s="527"/>
      <c r="J21" s="527"/>
      <c r="K21" s="527"/>
      <c r="L21" s="527"/>
      <c r="M21" s="527"/>
      <c r="N21" s="527"/>
      <c r="O21" s="527"/>
      <c r="P21" s="527"/>
      <c r="Q21" s="527"/>
      <c r="R21" s="539"/>
      <c r="S21" s="527"/>
      <c r="T21" s="527"/>
      <c r="U21" s="527"/>
    </row>
    <row r="22" spans="1:21" customFormat="1" ht="18.75" customHeight="1">
      <c r="A22" s="530" t="s">
        <v>1284</v>
      </c>
      <c r="B22" s="2861" t="s">
        <v>1285</v>
      </c>
      <c r="C22" s="2861"/>
      <c r="D22" s="2861"/>
      <c r="E22" s="2704" t="s">
        <v>1304</v>
      </c>
      <c r="F22" s="2704"/>
      <c r="G22" s="2704"/>
      <c r="H22" s="2704"/>
      <c r="I22" s="2704"/>
      <c r="J22" s="315"/>
      <c r="K22" s="315"/>
      <c r="L22" s="508"/>
      <c r="M22" s="508"/>
      <c r="N22" s="508"/>
      <c r="O22" s="508"/>
      <c r="P22" s="508"/>
      <c r="Q22" s="508"/>
      <c r="R22" s="508"/>
      <c r="S22" s="508"/>
      <c r="T22" s="508"/>
      <c r="U22" s="508"/>
    </row>
    <row r="23" spans="1:21" customFormat="1">
      <c r="A23" s="13"/>
      <c r="B23" s="509"/>
      <c r="C23" s="395"/>
      <c r="D23" s="395"/>
      <c r="E23" s="395"/>
      <c r="F23" s="496"/>
      <c r="G23" s="315"/>
      <c r="H23" s="315"/>
      <c r="I23" s="315"/>
      <c r="J23" s="315"/>
      <c r="K23" s="315"/>
      <c r="L23" s="13"/>
      <c r="M23" s="13"/>
      <c r="N23" s="13"/>
      <c r="O23" s="13"/>
      <c r="P23" s="13"/>
      <c r="Q23" s="13"/>
      <c r="R23" s="13"/>
      <c r="S23" s="13"/>
      <c r="T23" s="13"/>
      <c r="U23" s="13"/>
    </row>
    <row r="24" spans="1:21" customFormat="1">
      <c r="A24" s="2863" t="s">
        <v>1286</v>
      </c>
      <c r="B24" s="2863"/>
      <c r="C24" s="2863"/>
      <c r="D24" s="2863"/>
      <c r="E24" s="2863"/>
      <c r="F24" s="13"/>
      <c r="G24" s="13" t="s">
        <v>1287</v>
      </c>
      <c r="H24" s="13"/>
      <c r="I24" s="13"/>
      <c r="J24" s="13"/>
      <c r="K24" s="13"/>
      <c r="L24" s="13"/>
      <c r="M24" s="13"/>
      <c r="N24" s="13"/>
      <c r="O24" s="13"/>
      <c r="P24" s="13"/>
      <c r="Q24" s="13"/>
      <c r="R24" s="13"/>
      <c r="S24" s="13"/>
      <c r="T24" s="13"/>
      <c r="U24" s="13"/>
    </row>
    <row r="25" spans="1:21" customFormat="1">
      <c r="A25" s="510"/>
      <c r="B25" s="510"/>
      <c r="C25" s="510" t="s">
        <v>1288</v>
      </c>
      <c r="D25" s="510">
        <v>100000</v>
      </c>
      <c r="E25" s="510" t="s">
        <v>1289</v>
      </c>
      <c r="F25" s="13"/>
      <c r="G25" s="13"/>
      <c r="H25" s="13"/>
      <c r="I25" s="13"/>
      <c r="J25" s="13"/>
      <c r="K25" s="13"/>
      <c r="L25" s="13"/>
      <c r="M25" s="13"/>
      <c r="N25" s="13"/>
      <c r="O25" s="13"/>
      <c r="P25" s="13"/>
      <c r="Q25" s="13"/>
      <c r="R25" s="13"/>
      <c r="S25" s="13"/>
      <c r="T25" s="13"/>
      <c r="U25" s="13"/>
    </row>
    <row r="26" spans="1:21" customFormat="1" ht="16.5" thickBot="1">
      <c r="A26" s="13"/>
      <c r="B26" s="347" t="s">
        <v>1290</v>
      </c>
      <c r="C26" s="347" t="s">
        <v>1291</v>
      </c>
      <c r="D26" s="347" t="s">
        <v>1292</v>
      </c>
      <c r="E26" s="347" t="s">
        <v>1293</v>
      </c>
      <c r="F26" s="347" t="s">
        <v>1294</v>
      </c>
      <c r="G26" s="347" t="s">
        <v>1295</v>
      </c>
      <c r="H26" s="347" t="s">
        <v>1296</v>
      </c>
      <c r="I26" s="348" t="s">
        <v>1297</v>
      </c>
      <c r="J26" s="348" t="s">
        <v>1298</v>
      </c>
      <c r="K26" s="347" t="s">
        <v>1299</v>
      </c>
      <c r="L26" s="13"/>
      <c r="M26" s="13"/>
      <c r="N26" s="13"/>
      <c r="O26" s="13"/>
      <c r="P26" s="13"/>
      <c r="Q26" s="13"/>
      <c r="R26" s="13"/>
      <c r="S26" s="13"/>
      <c r="T26" s="13"/>
      <c r="U26" s="13"/>
    </row>
    <row r="27" spans="1:21" customFormat="1" ht="15" thickBot="1">
      <c r="A27" s="13"/>
      <c r="B27" s="535">
        <v>100001.5</v>
      </c>
      <c r="C27" s="536">
        <v>100001.4</v>
      </c>
      <c r="D27" s="536">
        <v>100001.5</v>
      </c>
      <c r="E27" s="536">
        <v>100001.2</v>
      </c>
      <c r="F27" s="536">
        <v>100001.2</v>
      </c>
      <c r="G27" s="535">
        <v>100001.3</v>
      </c>
      <c r="H27" s="536">
        <v>100001.3</v>
      </c>
      <c r="I27" s="536">
        <v>100001.2</v>
      </c>
      <c r="J27" s="536">
        <v>100001.3</v>
      </c>
      <c r="K27" s="536">
        <v>100001.4</v>
      </c>
      <c r="L27" s="13"/>
      <c r="M27" s="13"/>
      <c r="N27" s="13"/>
      <c r="O27" s="13"/>
      <c r="P27" s="13"/>
      <c r="Q27" s="13"/>
      <c r="R27" s="13"/>
      <c r="S27" s="13"/>
      <c r="T27" s="13"/>
      <c r="U27" s="13"/>
    </row>
    <row r="28" spans="1:21" customFormat="1" ht="18.75">
      <c r="A28" s="13"/>
      <c r="B28" s="394" t="s">
        <v>1300</v>
      </c>
      <c r="C28" s="2705">
        <f>STDEV(C27:K27)/D25</f>
        <v>1.0540925533875423E-6</v>
      </c>
      <c r="D28" s="2706"/>
      <c r="E28" s="2706"/>
      <c r="F28" s="2706"/>
      <c r="G28" s="2706"/>
      <c r="H28" s="2706"/>
      <c r="I28" s="2706"/>
      <c r="J28" s="2706"/>
      <c r="K28" s="2707"/>
      <c r="L28" s="13"/>
      <c r="M28" s="508" t="s">
        <v>1261</v>
      </c>
      <c r="N28" s="13"/>
      <c r="O28" s="13"/>
      <c r="P28" s="13"/>
      <c r="Q28" s="13"/>
      <c r="R28" s="13"/>
      <c r="S28" s="13"/>
      <c r="T28" s="13"/>
      <c r="U28" s="13"/>
    </row>
    <row r="29" spans="1:21" customFormat="1" ht="15.75" customHeight="1">
      <c r="A29" s="512" t="s">
        <v>1263</v>
      </c>
      <c r="B29" s="153" t="s">
        <v>1264</v>
      </c>
    </row>
    <row r="30" spans="1:21" ht="30" customHeight="1">
      <c r="A30" s="2864" t="s">
        <v>1265</v>
      </c>
      <c r="B30" s="2865"/>
      <c r="C30" s="2864" t="s">
        <v>1266</v>
      </c>
      <c r="D30" s="2866"/>
      <c r="E30" s="2866"/>
      <c r="F30" s="2866"/>
      <c r="G30" s="2866"/>
      <c r="H30" s="2866"/>
      <c r="I30" s="2865"/>
      <c r="J30" s="2867" t="s">
        <v>1301</v>
      </c>
      <c r="K30" s="2867"/>
      <c r="L30" s="2867" t="s">
        <v>1268</v>
      </c>
      <c r="M30" s="2867"/>
      <c r="N30" s="2867"/>
      <c r="O30" s="2868" t="s">
        <v>1269</v>
      </c>
      <c r="P30" s="2868"/>
      <c r="Q30" s="2868" t="s">
        <v>1270</v>
      </c>
      <c r="R30" s="2867"/>
      <c r="S30" s="2867"/>
      <c r="T30" s="2867"/>
    </row>
    <row r="31" spans="1:21" ht="30" customHeight="1">
      <c r="A31" s="2869">
        <v>1</v>
      </c>
      <c r="B31" s="2870"/>
      <c r="C31" s="2869" t="s">
        <v>1302</v>
      </c>
      <c r="D31" s="2871"/>
      <c r="E31" s="2871"/>
      <c r="F31" s="2871"/>
      <c r="G31" s="2871"/>
      <c r="H31" s="2871"/>
      <c r="I31" s="2870"/>
      <c r="J31" s="2872">
        <v>1.0000000000000001E-5</v>
      </c>
      <c r="K31" s="2873"/>
      <c r="L31" s="2867" t="s">
        <v>1273</v>
      </c>
      <c r="M31" s="2867" t="s">
        <v>1274</v>
      </c>
      <c r="N31" s="2867" t="s">
        <v>1274</v>
      </c>
      <c r="O31" s="2867"/>
      <c r="P31" s="2867"/>
      <c r="Q31" s="2874">
        <f>J31/SQRT(3)</f>
        <v>5.7735026918962587E-6</v>
      </c>
      <c r="R31" s="2875"/>
      <c r="S31" s="2875"/>
      <c r="T31" s="2876"/>
    </row>
    <row r="32" spans="1:21" ht="37.5" customHeight="1">
      <c r="A32" s="2869">
        <v>2</v>
      </c>
      <c r="B32" s="2870"/>
      <c r="C32" s="2869" t="s">
        <v>1275</v>
      </c>
      <c r="D32" s="2871"/>
      <c r="E32" s="2871"/>
      <c r="F32" s="2871"/>
      <c r="G32" s="2871"/>
      <c r="H32" s="2871"/>
      <c r="I32" s="2870"/>
      <c r="J32" s="2877">
        <v>1.0000000000000001E-5</v>
      </c>
      <c r="K32" s="2878"/>
      <c r="L32" s="2867" t="s">
        <v>1274</v>
      </c>
      <c r="M32" s="2867" t="s">
        <v>1276</v>
      </c>
      <c r="N32" s="2867" t="s">
        <v>1276</v>
      </c>
      <c r="O32" s="2867">
        <v>3</v>
      </c>
      <c r="P32" s="2867"/>
      <c r="Q32" s="2874">
        <f>J32/O32</f>
        <v>3.3333333333333337E-6</v>
      </c>
      <c r="R32" s="2875"/>
      <c r="S32" s="2875"/>
      <c r="T32" s="2876"/>
    </row>
    <row r="33" spans="1:21" ht="38.25" customHeight="1">
      <c r="A33" s="2869">
        <v>3</v>
      </c>
      <c r="B33" s="2870"/>
      <c r="C33" s="2869" t="s">
        <v>1303</v>
      </c>
      <c r="D33" s="2871"/>
      <c r="E33" s="2871"/>
      <c r="F33" s="2871"/>
      <c r="G33" s="2871"/>
      <c r="H33" s="2871"/>
      <c r="I33" s="2870"/>
      <c r="J33" s="2877">
        <v>2.0000000000000002E-5</v>
      </c>
      <c r="K33" s="2878"/>
      <c r="L33" s="2867" t="s">
        <v>1273</v>
      </c>
      <c r="M33" s="2867" t="s">
        <v>1274</v>
      </c>
      <c r="N33" s="2867" t="s">
        <v>1274</v>
      </c>
      <c r="O33" s="2868"/>
      <c r="P33" s="2868"/>
      <c r="Q33" s="2874">
        <f>J33/SQRT(3)</f>
        <v>1.1547005383792517E-5</v>
      </c>
      <c r="R33" s="2875"/>
      <c r="S33" s="2875"/>
      <c r="T33" s="2876"/>
    </row>
    <row r="34" spans="1:21" ht="38.25" customHeight="1">
      <c r="A34" s="2869">
        <v>4</v>
      </c>
      <c r="B34" s="2870"/>
      <c r="C34" s="2869" t="s">
        <v>1278</v>
      </c>
      <c r="D34" s="2871"/>
      <c r="E34" s="2871"/>
      <c r="F34" s="2871"/>
      <c r="G34" s="2871"/>
      <c r="H34" s="2871"/>
      <c r="I34" s="2870"/>
      <c r="J34" s="2880">
        <v>3.4999999999999999E-6</v>
      </c>
      <c r="K34" s="2881"/>
      <c r="L34" s="2867" t="s">
        <v>1273</v>
      </c>
      <c r="M34" s="2867" t="s">
        <v>1274</v>
      </c>
      <c r="N34" s="2867" t="s">
        <v>1274</v>
      </c>
      <c r="O34" s="2868"/>
      <c r="P34" s="2868"/>
      <c r="Q34" s="2874">
        <f>J34/SQRT(3)</f>
        <v>2.0207259421636902E-6</v>
      </c>
      <c r="R34" s="2875"/>
      <c r="S34" s="2875"/>
      <c r="T34" s="2876"/>
    </row>
    <row r="35" spans="1:21" ht="30" customHeight="1">
      <c r="A35" s="2867" t="s">
        <v>1279</v>
      </c>
      <c r="B35" s="2867"/>
      <c r="C35" s="2879">
        <f>SQRT(SUMSQ(Q31:Q34))</f>
        <v>1.3485589016098303E-5</v>
      </c>
      <c r="D35" s="2879"/>
      <c r="E35" s="2879"/>
      <c r="F35" s="2879"/>
      <c r="G35" s="2879"/>
      <c r="H35" s="2879"/>
      <c r="I35" s="2879"/>
      <c r="J35" s="2879"/>
      <c r="K35" s="2879"/>
      <c r="L35" s="2879"/>
      <c r="M35" s="2879"/>
      <c r="N35" s="2879"/>
      <c r="O35" s="2879"/>
      <c r="P35" s="2879"/>
      <c r="Q35" s="2879"/>
      <c r="R35" s="2879"/>
      <c r="S35" s="2879"/>
      <c r="T35" s="2879"/>
    </row>
    <row r="36" spans="1:21" ht="30" customHeight="1">
      <c r="A36" s="526"/>
      <c r="B36" s="505" t="s">
        <v>1280</v>
      </c>
      <c r="C36"/>
      <c r="D36" s="526"/>
      <c r="E36" s="527"/>
      <c r="F36" s="528"/>
      <c r="G36" s="528"/>
      <c r="H36" s="528"/>
      <c r="I36" s="538"/>
      <c r="K36" s="527"/>
      <c r="L36" s="527"/>
      <c r="M36" s="527"/>
      <c r="N36" s="527"/>
      <c r="O36" s="527"/>
      <c r="P36" s="527"/>
      <c r="Q36" s="527"/>
      <c r="R36" s="539"/>
      <c r="S36" s="527"/>
      <c r="T36" s="527"/>
      <c r="U36" s="527"/>
    </row>
    <row r="37" spans="1:21" ht="30" customHeight="1">
      <c r="A37" s="526"/>
      <c r="C37" s="517"/>
      <c r="D37" s="516" t="s">
        <v>1281</v>
      </c>
      <c r="E37" s="2722">
        <f>SQRT(SUMSQ(C28,C35))</f>
        <v>1.3526722523295075E-5</v>
      </c>
      <c r="F37" s="2722"/>
      <c r="G37" s="2722"/>
      <c r="H37" s="528"/>
      <c r="I37" s="538"/>
      <c r="K37" s="527"/>
      <c r="L37" s="527"/>
      <c r="M37" s="527"/>
      <c r="N37" s="527"/>
      <c r="O37" s="527"/>
      <c r="P37" s="527"/>
      <c r="Q37" s="527"/>
      <c r="R37" s="539"/>
      <c r="S37" s="527"/>
      <c r="T37" s="527"/>
      <c r="U37" s="527"/>
    </row>
    <row r="38" spans="1:21" ht="30" customHeight="1">
      <c r="A38" s="526"/>
      <c r="B38" s="505" t="s">
        <v>1282</v>
      </c>
      <c r="C38" s="28"/>
      <c r="D38" s="526"/>
      <c r="E38" s="527"/>
      <c r="F38" s="528"/>
      <c r="G38" s="528"/>
      <c r="H38" s="528"/>
      <c r="I38" s="538"/>
      <c r="K38" s="527"/>
      <c r="L38" s="527"/>
      <c r="M38" s="527"/>
      <c r="N38" s="527"/>
      <c r="O38" s="527"/>
      <c r="P38" s="527"/>
      <c r="Q38" s="527"/>
      <c r="R38" s="539"/>
      <c r="S38" s="527"/>
      <c r="T38" s="527"/>
      <c r="U38" s="527"/>
    </row>
    <row r="39" spans="1:21" ht="20.100000000000001" customHeight="1">
      <c r="A39" s="527"/>
      <c r="B39" s="518" t="s">
        <v>1283</v>
      </c>
      <c r="C39" s="540">
        <f>E37*2</f>
        <v>2.705344504659015E-5</v>
      </c>
      <c r="D39" s="527"/>
      <c r="E39" s="527"/>
      <c r="F39" s="527"/>
      <c r="G39" s="527"/>
      <c r="H39" s="527"/>
      <c r="I39" s="527"/>
      <c r="J39" s="527"/>
      <c r="K39" s="527"/>
      <c r="L39" s="527"/>
      <c r="M39" s="527"/>
      <c r="N39" s="527"/>
      <c r="O39" s="527"/>
      <c r="P39" s="527"/>
      <c r="Q39" s="527"/>
      <c r="R39" s="539"/>
      <c r="S39" s="527"/>
      <c r="T39" s="527"/>
      <c r="U39" s="527"/>
    </row>
    <row r="43" spans="1:21" s="551" customFormat="1"/>
    <row r="44" spans="1:21">
      <c r="A44" s="530" t="s">
        <v>1254</v>
      </c>
      <c r="B44" s="506" t="s">
        <v>1197</v>
      </c>
      <c r="C44" s="2704" t="s">
        <v>1415</v>
      </c>
      <c r="D44" s="2704"/>
      <c r="E44" s="507"/>
      <c r="F44"/>
      <c r="G44"/>
      <c r="H44"/>
      <c r="I44"/>
      <c r="J44"/>
      <c r="K44"/>
      <c r="L44"/>
      <c r="M44"/>
      <c r="N44"/>
      <c r="O44"/>
      <c r="P44"/>
      <c r="Q44"/>
      <c r="R44"/>
      <c r="S44"/>
    </row>
    <row r="45" spans="1:21">
      <c r="A45" s="13"/>
      <c r="B45" s="509"/>
      <c r="C45" s="395"/>
      <c r="D45" s="395"/>
      <c r="E45" s="395"/>
      <c r="F45"/>
      <c r="G45"/>
      <c r="H45"/>
      <c r="I45"/>
      <c r="J45"/>
      <c r="K45"/>
      <c r="L45"/>
      <c r="M45"/>
      <c r="N45"/>
      <c r="O45"/>
      <c r="P45"/>
      <c r="Q45"/>
      <c r="R45"/>
      <c r="S45"/>
    </row>
    <row r="46" spans="1:21">
      <c r="A46" s="13"/>
      <c r="B46" s="510" t="s">
        <v>1167</v>
      </c>
      <c r="C46" s="13"/>
      <c r="D46" s="13" t="s">
        <v>1168</v>
      </c>
      <c r="E46" s="13"/>
      <c r="F46"/>
      <c r="G46"/>
      <c r="H46"/>
      <c r="I46"/>
      <c r="J46"/>
      <c r="K46"/>
      <c r="L46"/>
      <c r="M46"/>
      <c r="N46"/>
      <c r="O46"/>
      <c r="P46"/>
      <c r="Q46"/>
      <c r="R46"/>
      <c r="S46"/>
    </row>
    <row r="47" spans="1:21">
      <c r="A47"/>
      <c r="B47" s="347" t="s">
        <v>1239</v>
      </c>
      <c r="C47" s="347" t="s">
        <v>1240</v>
      </c>
      <c r="D47" s="347" t="s">
        <v>1241</v>
      </c>
      <c r="E47" s="347" t="s">
        <v>1242</v>
      </c>
      <c r="F47" s="347" t="s">
        <v>1243</v>
      </c>
      <c r="G47" s="347" t="s">
        <v>1244</v>
      </c>
      <c r="H47" s="347" t="s">
        <v>1245</v>
      </c>
      <c r="I47" s="348" t="s">
        <v>1246</v>
      </c>
      <c r="J47" s="348" t="s">
        <v>1247</v>
      </c>
      <c r="K47" s="347" t="s">
        <v>1248</v>
      </c>
      <c r="L47"/>
      <c r="M47"/>
      <c r="N47"/>
      <c r="O47"/>
      <c r="P47"/>
      <c r="Q47"/>
      <c r="R47"/>
      <c r="S47"/>
    </row>
    <row r="48" spans="1:21">
      <c r="A48"/>
      <c r="B48" s="550">
        <v>8.9999999999999998E-4</v>
      </c>
      <c r="C48" s="550">
        <v>8.9999999999999998E-4</v>
      </c>
      <c r="D48" s="550">
        <v>8.9999999999999998E-4</v>
      </c>
      <c r="E48" s="550">
        <v>8.9999999999999998E-4</v>
      </c>
      <c r="F48" s="550">
        <v>8.9999999999999998E-4</v>
      </c>
      <c r="G48" s="550">
        <v>8.9999999999999998E-4</v>
      </c>
      <c r="H48" s="550">
        <v>8.9999999999999998E-4</v>
      </c>
      <c r="I48" s="550">
        <v>8.9999999999999998E-4</v>
      </c>
      <c r="J48" s="550">
        <v>8.9999999999999998E-4</v>
      </c>
      <c r="K48" s="550">
        <v>8.9999999999999998E-4</v>
      </c>
      <c r="L48"/>
      <c r="M48"/>
      <c r="N48"/>
      <c r="O48"/>
      <c r="P48"/>
      <c r="Q48"/>
      <c r="R48"/>
      <c r="S48"/>
    </row>
    <row r="49" spans="1:19" ht="18.75">
      <c r="A49"/>
      <c r="B49" s="394" t="s">
        <v>1174</v>
      </c>
      <c r="C49" s="2705">
        <f>STDEV(B48:K48)</f>
        <v>0</v>
      </c>
      <c r="D49" s="2706"/>
      <c r="E49" s="2706"/>
      <c r="F49" s="2706"/>
      <c r="G49" s="2706"/>
      <c r="H49" s="2706"/>
      <c r="I49" s="2706"/>
      <c r="J49" s="2706"/>
      <c r="K49" s="2707"/>
      <c r="L49"/>
      <c r="M49"/>
      <c r="N49"/>
      <c r="O49"/>
      <c r="P49"/>
      <c r="Q49"/>
      <c r="R49"/>
      <c r="S49"/>
    </row>
    <row r="50" spans="1:19">
      <c r="A50"/>
      <c r="B50"/>
      <c r="C50"/>
      <c r="D50"/>
      <c r="E50"/>
      <c r="F50"/>
      <c r="G50"/>
      <c r="H50"/>
      <c r="I50"/>
      <c r="J50"/>
      <c r="K50"/>
      <c r="L50"/>
      <c r="M50"/>
      <c r="N50"/>
      <c r="O50"/>
      <c r="P50"/>
      <c r="Q50"/>
      <c r="R50"/>
      <c r="S50"/>
    </row>
    <row r="51" spans="1:19">
      <c r="A51" s="512" t="s">
        <v>1401</v>
      </c>
      <c r="B51" s="153" t="s">
        <v>1402</v>
      </c>
      <c r="C51"/>
      <c r="D51"/>
      <c r="E51"/>
      <c r="F51"/>
      <c r="G51"/>
      <c r="H51"/>
      <c r="I51"/>
      <c r="J51"/>
      <c r="K51"/>
      <c r="L51"/>
      <c r="M51"/>
      <c r="N51"/>
      <c r="O51"/>
      <c r="P51"/>
      <c r="Q51"/>
      <c r="R51"/>
      <c r="S51"/>
    </row>
    <row r="52" spans="1:19">
      <c r="A52"/>
      <c r="B52"/>
      <c r="C52"/>
      <c r="D52"/>
      <c r="E52"/>
      <c r="F52"/>
      <c r="G52"/>
      <c r="H52"/>
      <c r="I52"/>
      <c r="J52"/>
      <c r="K52"/>
      <c r="L52"/>
      <c r="M52"/>
      <c r="N52"/>
      <c r="O52"/>
      <c r="P52"/>
      <c r="Q52"/>
      <c r="R52"/>
      <c r="S52"/>
    </row>
    <row r="53" spans="1:19">
      <c r="A53"/>
      <c r="B53" s="2882" t="s">
        <v>1403</v>
      </c>
      <c r="C53" s="2883"/>
      <c r="D53" s="2883"/>
      <c r="E53" s="2883"/>
      <c r="F53" s="2883"/>
      <c r="G53" s="2883"/>
      <c r="H53" s="2883"/>
      <c r="I53" s="2883"/>
      <c r="J53" s="2884"/>
      <c r="K53" s="2711" t="s">
        <v>1404</v>
      </c>
      <c r="L53" s="2888" t="s">
        <v>1405</v>
      </c>
      <c r="M53" s="2888"/>
      <c r="N53" s="2889" t="s">
        <v>959</v>
      </c>
      <c r="O53" s="2882" t="s">
        <v>1406</v>
      </c>
      <c r="P53" s="2883"/>
      <c r="Q53" s="2883"/>
      <c r="R53" s="2884"/>
      <c r="S53"/>
    </row>
    <row r="54" spans="1:19">
      <c r="A54"/>
      <c r="B54" s="2885"/>
      <c r="C54" s="2886"/>
      <c r="D54" s="2886"/>
      <c r="E54" s="2886"/>
      <c r="F54" s="2886"/>
      <c r="G54" s="2886"/>
      <c r="H54" s="2886"/>
      <c r="I54" s="2886"/>
      <c r="J54" s="2887"/>
      <c r="K54" s="2711"/>
      <c r="L54" s="2888"/>
      <c r="M54" s="2888"/>
      <c r="N54" s="2889"/>
      <c r="O54" s="2885"/>
      <c r="P54" s="2886"/>
      <c r="Q54" s="2886"/>
      <c r="R54" s="2887"/>
      <c r="S54"/>
    </row>
    <row r="55" spans="1:19">
      <c r="A55"/>
      <c r="B55" s="2892" t="s">
        <v>1407</v>
      </c>
      <c r="C55" s="2893"/>
      <c r="D55" s="2893"/>
      <c r="E55" s="2893"/>
      <c r="F55" s="2893"/>
      <c r="G55" s="2893"/>
      <c r="H55" s="2893"/>
      <c r="I55" s="2893"/>
      <c r="J55" s="2894"/>
      <c r="K55" s="544">
        <v>1.0000000000000001E-5</v>
      </c>
      <c r="L55" s="2888" t="s">
        <v>1408</v>
      </c>
      <c r="M55" s="2888"/>
      <c r="N55" s="514"/>
      <c r="O55" s="2895">
        <f>K55/SQRT(3)</f>
        <v>5.7735026918962587E-6</v>
      </c>
      <c r="P55" s="2895"/>
      <c r="Q55" s="2895"/>
      <c r="R55" s="2895"/>
      <c r="S55"/>
    </row>
    <row r="56" spans="1:19">
      <c r="A56"/>
      <c r="B56" s="2892" t="s">
        <v>1409</v>
      </c>
      <c r="C56" s="2893"/>
      <c r="D56" s="2893"/>
      <c r="E56" s="2893"/>
      <c r="F56" s="2893"/>
      <c r="G56" s="2893"/>
      <c r="H56" s="2893"/>
      <c r="I56" s="2893"/>
      <c r="J56" s="2894"/>
      <c r="K56" s="544">
        <v>1.0000000000000001E-5</v>
      </c>
      <c r="L56" s="2888" t="s">
        <v>1408</v>
      </c>
      <c r="M56" s="2888"/>
      <c r="N56" s="514"/>
      <c r="O56" s="2895">
        <f>K56/SQRT(3)</f>
        <v>5.7735026918962587E-6</v>
      </c>
      <c r="P56" s="2895"/>
      <c r="Q56" s="2895"/>
      <c r="R56" s="2895"/>
      <c r="S56"/>
    </row>
    <row r="57" spans="1:19">
      <c r="A57"/>
      <c r="B57" s="2867" t="s">
        <v>1410</v>
      </c>
      <c r="C57" s="2867"/>
      <c r="D57" s="2890">
        <f>SQRT(SUMSQ(O55:R56))</f>
        <v>8.1649658092772615E-6</v>
      </c>
      <c r="E57" s="2891"/>
      <c r="F57" s="2891"/>
      <c r="G57" s="2891"/>
      <c r="H57" s="2891"/>
      <c r="I57" s="2891"/>
      <c r="J57" s="2891"/>
      <c r="K57" s="2891"/>
      <c r="L57" s="2891"/>
      <c r="M57" s="2891"/>
      <c r="N57" s="2891"/>
      <c r="O57" s="2891"/>
      <c r="P57" s="2891"/>
      <c r="Q57" s="2891"/>
      <c r="R57" s="2891"/>
      <c r="S57"/>
    </row>
    <row r="58" spans="1:19">
      <c r="A58"/>
      <c r="B58"/>
      <c r="C58"/>
      <c r="D58"/>
      <c r="E58"/>
      <c r="F58"/>
      <c r="G58"/>
      <c r="H58"/>
      <c r="I58"/>
      <c r="J58"/>
      <c r="K58"/>
      <c r="L58"/>
      <c r="M58"/>
      <c r="N58"/>
      <c r="O58"/>
      <c r="P58"/>
      <c r="Q58"/>
      <c r="R58"/>
      <c r="S58"/>
    </row>
    <row r="59" spans="1:19" ht="15.75">
      <c r="A59" s="505" t="s">
        <v>1411</v>
      </c>
      <c r="B59"/>
      <c r="C59" s="526"/>
      <c r="D59" s="527"/>
      <c r="E59" s="528"/>
      <c r="F59" s="528"/>
      <c r="G59"/>
      <c r="H59"/>
      <c r="I59"/>
      <c r="J59"/>
      <c r="K59"/>
      <c r="L59"/>
      <c r="M59"/>
      <c r="N59"/>
      <c r="O59"/>
      <c r="P59"/>
      <c r="Q59"/>
      <c r="R59"/>
      <c r="S59"/>
    </row>
    <row r="60" spans="1:19" ht="18.75">
      <c r="B60" s="517"/>
      <c r="C60" s="516" t="s">
        <v>1412</v>
      </c>
      <c r="D60" s="2722">
        <f>SQRT(SUMSQ(C49,D57))</f>
        <v>8.1649658092772615E-6</v>
      </c>
      <c r="E60" s="2722"/>
      <c r="F60" s="2722"/>
      <c r="G60"/>
      <c r="H60"/>
      <c r="I60"/>
      <c r="J60"/>
      <c r="K60"/>
      <c r="L60"/>
      <c r="M60"/>
      <c r="N60"/>
      <c r="O60"/>
      <c r="P60"/>
      <c r="Q60"/>
      <c r="R60"/>
      <c r="S60"/>
    </row>
    <row r="61" spans="1:19" ht="15.75">
      <c r="A61" s="505" t="s">
        <v>1413</v>
      </c>
      <c r="B61" s="28"/>
      <c r="C61" s="526"/>
      <c r="D61" s="527"/>
      <c r="E61" s="528"/>
      <c r="F61" s="528"/>
      <c r="G61"/>
      <c r="H61"/>
      <c r="I61"/>
      <c r="J61"/>
      <c r="K61"/>
      <c r="L61"/>
      <c r="M61"/>
      <c r="N61"/>
      <c r="O61"/>
      <c r="P61"/>
      <c r="Q61"/>
      <c r="R61"/>
      <c r="S61"/>
    </row>
    <row r="62" spans="1:19">
      <c r="A62" s="518" t="s">
        <v>1414</v>
      </c>
      <c r="B62" s="393">
        <f>D60*2</f>
        <v>1.6329931618554523E-5</v>
      </c>
      <c r="C62" s="527"/>
      <c r="D62" s="527"/>
      <c r="E62" s="527"/>
      <c r="F62" s="527"/>
      <c r="G62"/>
      <c r="H62"/>
      <c r="I62"/>
      <c r="J62"/>
      <c r="K62"/>
      <c r="L62"/>
      <c r="M62"/>
      <c r="N62"/>
      <c r="O62"/>
      <c r="P62"/>
      <c r="Q62"/>
      <c r="R62"/>
      <c r="S62"/>
    </row>
  </sheetData>
  <mergeCells count="90">
    <mergeCell ref="O53:R54"/>
    <mergeCell ref="B57:C57"/>
    <mergeCell ref="D57:R57"/>
    <mergeCell ref="D60:F60"/>
    <mergeCell ref="B55:J55"/>
    <mergeCell ref="L55:M55"/>
    <mergeCell ref="O55:R55"/>
    <mergeCell ref="B56:J56"/>
    <mergeCell ref="L56:M56"/>
    <mergeCell ref="O56:R56"/>
    <mergeCell ref="C49:K49"/>
    <mergeCell ref="B53:J54"/>
    <mergeCell ref="K53:K54"/>
    <mergeCell ref="L53:M54"/>
    <mergeCell ref="N53:N54"/>
    <mergeCell ref="Q34:T34"/>
    <mergeCell ref="A35:B35"/>
    <mergeCell ref="C35:T35"/>
    <mergeCell ref="E37:G37"/>
    <mergeCell ref="C44:D44"/>
    <mergeCell ref="A34:B34"/>
    <mergeCell ref="C34:I34"/>
    <mergeCell ref="J34:K34"/>
    <mergeCell ref="L34:N34"/>
    <mergeCell ref="O34:P34"/>
    <mergeCell ref="Q32:T32"/>
    <mergeCell ref="A33:B33"/>
    <mergeCell ref="C33:I33"/>
    <mergeCell ref="J33:K33"/>
    <mergeCell ref="L33:N33"/>
    <mergeCell ref="O33:P33"/>
    <mergeCell ref="Q33:T33"/>
    <mergeCell ref="A32:B32"/>
    <mergeCell ref="C32:I32"/>
    <mergeCell ref="J32:K32"/>
    <mergeCell ref="L32:N32"/>
    <mergeCell ref="O32:P32"/>
    <mergeCell ref="L30:N30"/>
    <mergeCell ref="O30:P30"/>
    <mergeCell ref="Q30:T30"/>
    <mergeCell ref="A31:B31"/>
    <mergeCell ref="C31:I31"/>
    <mergeCell ref="J31:K31"/>
    <mergeCell ref="L31:N31"/>
    <mergeCell ref="O31:P31"/>
    <mergeCell ref="Q31:T31"/>
    <mergeCell ref="A24:E24"/>
    <mergeCell ref="C28:K28"/>
    <mergeCell ref="A30:B30"/>
    <mergeCell ref="C30:I30"/>
    <mergeCell ref="J30:K30"/>
    <mergeCell ref="Q15:T15"/>
    <mergeCell ref="A16:B16"/>
    <mergeCell ref="C16:T16"/>
    <mergeCell ref="E18:G18"/>
    <mergeCell ref="B22:D22"/>
    <mergeCell ref="E22:I22"/>
    <mergeCell ref="A15:B15"/>
    <mergeCell ref="C15:I15"/>
    <mergeCell ref="J15:K15"/>
    <mergeCell ref="L15:N15"/>
    <mergeCell ref="O15:P15"/>
    <mergeCell ref="Q13:T13"/>
    <mergeCell ref="A14:B14"/>
    <mergeCell ref="C14:I14"/>
    <mergeCell ref="J14:K14"/>
    <mergeCell ref="L14:N14"/>
    <mergeCell ref="O14:P14"/>
    <mergeCell ref="Q14:T14"/>
    <mergeCell ref="A13:B13"/>
    <mergeCell ref="C13:I13"/>
    <mergeCell ref="J13:K13"/>
    <mergeCell ref="L13:N13"/>
    <mergeCell ref="O13:P13"/>
    <mergeCell ref="L11:N11"/>
    <mergeCell ref="O11:P11"/>
    <mergeCell ref="Q11:T11"/>
    <mergeCell ref="A12:B12"/>
    <mergeCell ref="C12:I12"/>
    <mergeCell ref="J12:K12"/>
    <mergeCell ref="L12:N12"/>
    <mergeCell ref="O12:P12"/>
    <mergeCell ref="Q12:T12"/>
    <mergeCell ref="B1:D1"/>
    <mergeCell ref="E1:I1"/>
    <mergeCell ref="A3:E3"/>
    <mergeCell ref="C7:K7"/>
    <mergeCell ref="A11:B11"/>
    <mergeCell ref="C11:I11"/>
    <mergeCell ref="J11:K11"/>
  </mergeCells>
  <phoneticPr fontId="107" type="noConversion"/>
  <pageMargins left="0.75" right="0.75" top="1" bottom="1" header="0.5" footer="0.5"/>
  <legacyDrawing r:id="rId1"/>
  <oleObjects>
    <oleObject progId="Equation.3" shapeId="119809" r:id="rId2"/>
    <oleObject progId="Equation.3" shapeId="119810" r:id="rId3"/>
    <oleObject progId="Equation.3" shapeId="119811" r:id="rId4"/>
    <oleObject progId="Equation.3" shapeId="119812" r:id="rId5"/>
    <oleObject progId="Equation.3" shapeId="119813" r:id="rId6"/>
    <oleObject progId="Equation.3" shapeId="119814" r:id="rId7"/>
    <oleObject progId="Equation.3" shapeId="119821" r:id="rId8"/>
    <oleObject progId="Equation.3" shapeId="119822" r:id="rId9"/>
    <oleObject progId="Equation.3" shapeId="119823" r:id="rId10"/>
  </oleObjects>
</worksheet>
</file>

<file path=xl/worksheets/sheet44.xml><?xml version="1.0" encoding="utf-8"?>
<worksheet xmlns="http://schemas.openxmlformats.org/spreadsheetml/2006/main" xmlns:r="http://schemas.openxmlformats.org/officeDocument/2006/relationships">
  <dimension ref="A1:AD106"/>
  <sheetViews>
    <sheetView workbookViewId="0"/>
  </sheetViews>
  <sheetFormatPr defaultRowHeight="14.25" outlineLevelRow="1"/>
  <cols>
    <col min="1" max="1" width="24.875" customWidth="1"/>
    <col min="2" max="2" width="19.5" customWidth="1"/>
    <col min="3" max="3" width="10.875" customWidth="1"/>
    <col min="4" max="4" width="26.25" customWidth="1"/>
    <col min="6" max="6" width="14.75" customWidth="1"/>
    <col min="7" max="7" width="12.5" customWidth="1"/>
    <col min="8" max="8" width="14.375" customWidth="1"/>
    <col min="11" max="11" width="7.125" customWidth="1"/>
    <col min="14" max="14" width="4.875" customWidth="1"/>
    <col min="16" max="16" width="3.125" customWidth="1"/>
    <col min="17" max="17" width="11.25" bestFit="1" customWidth="1"/>
    <col min="18" max="18" width="15" bestFit="1" customWidth="1"/>
  </cols>
  <sheetData>
    <row r="1" spans="1:15">
      <c r="B1" s="717" t="s">
        <v>2703</v>
      </c>
      <c r="F1" s="702" t="s">
        <v>2704</v>
      </c>
    </row>
    <row r="2" spans="1:15" outlineLevel="1">
      <c r="A2" s="2298" t="s">
        <v>32</v>
      </c>
      <c r="B2" s="2298"/>
      <c r="C2" s="2298"/>
      <c r="D2" s="2"/>
    </row>
    <row r="3" spans="1:15" ht="18.75" outlineLevel="1">
      <c r="A3" s="699" t="s">
        <v>1920</v>
      </c>
      <c r="B3" s="6" t="s">
        <v>69</v>
      </c>
      <c r="C3" s="6" t="s">
        <v>70</v>
      </c>
      <c r="D3" s="700" t="s">
        <v>2705</v>
      </c>
    </row>
    <row r="4" spans="1:15" outlineLevel="1">
      <c r="A4" s="6" t="s">
        <v>94</v>
      </c>
      <c r="B4" s="6" t="s">
        <v>72</v>
      </c>
      <c r="C4" s="6" t="s">
        <v>72</v>
      </c>
      <c r="D4" s="700" t="s">
        <v>2164</v>
      </c>
    </row>
    <row r="5" spans="1:15" outlineLevel="1">
      <c r="A5" s="6" t="s">
        <v>64</v>
      </c>
      <c r="B5" s="6" t="s">
        <v>72</v>
      </c>
      <c r="C5" s="6" t="s">
        <v>84</v>
      </c>
      <c r="D5" s="700" t="s">
        <v>2706</v>
      </c>
    </row>
    <row r="6" spans="1:15" outlineLevel="1">
      <c r="A6" s="6" t="s">
        <v>95</v>
      </c>
      <c r="B6" s="6" t="s">
        <v>72</v>
      </c>
      <c r="C6" s="6" t="s">
        <v>72</v>
      </c>
      <c r="D6" s="700" t="s">
        <v>2707</v>
      </c>
    </row>
    <row r="7" spans="1:15" outlineLevel="1">
      <c r="A7" s="6" t="s">
        <v>42</v>
      </c>
      <c r="B7" s="6" t="s">
        <v>72</v>
      </c>
      <c r="C7" s="6" t="s">
        <v>84</v>
      </c>
      <c r="D7" s="700" t="s">
        <v>2707</v>
      </c>
    </row>
    <row r="8" spans="1:15" outlineLevel="1">
      <c r="A8" s="6" t="s">
        <v>96</v>
      </c>
      <c r="B8" s="6" t="s">
        <v>72</v>
      </c>
      <c r="C8" s="6" t="s">
        <v>72</v>
      </c>
      <c r="D8" s="700" t="s">
        <v>2706</v>
      </c>
    </row>
    <row r="9" spans="1:15" outlineLevel="1">
      <c r="A9" s="6" t="s">
        <v>97</v>
      </c>
      <c r="B9" s="6" t="s">
        <v>72</v>
      </c>
      <c r="C9" s="6" t="s">
        <v>72</v>
      </c>
      <c r="D9" s="700" t="s">
        <v>2706</v>
      </c>
    </row>
    <row r="10" spans="1:15" outlineLevel="1">
      <c r="A10" s="6" t="s">
        <v>98</v>
      </c>
      <c r="B10" s="6" t="s">
        <v>72</v>
      </c>
      <c r="C10" s="6" t="s">
        <v>72</v>
      </c>
      <c r="D10" s="700" t="s">
        <v>2706</v>
      </c>
    </row>
    <row r="11" spans="1:15" outlineLevel="1">
      <c r="A11" s="6" t="s">
        <v>99</v>
      </c>
      <c r="B11" s="6" t="s">
        <v>72</v>
      </c>
      <c r="C11" s="6" t="s">
        <v>72</v>
      </c>
      <c r="D11" s="700" t="s">
        <v>2706</v>
      </c>
    </row>
    <row r="12" spans="1:15" outlineLevel="1">
      <c r="A12" s="6" t="s">
        <v>2165</v>
      </c>
      <c r="B12" s="6" t="s">
        <v>72</v>
      </c>
      <c r="C12" s="6" t="s">
        <v>72</v>
      </c>
      <c r="D12" s="700" t="s">
        <v>2708</v>
      </c>
      <c r="O12" s="702" t="s">
        <v>2709</v>
      </c>
    </row>
    <row r="13" spans="1:15" outlineLevel="1">
      <c r="A13" t="s">
        <v>73</v>
      </c>
      <c r="D13" s="1382" t="s">
        <v>3477</v>
      </c>
      <c r="E13" s="803"/>
      <c r="F13" s="803"/>
      <c r="G13" s="803"/>
      <c r="H13" s="803"/>
      <c r="O13" s="702"/>
    </row>
    <row r="14" spans="1:15">
      <c r="A14" s="152" t="s">
        <v>2710</v>
      </c>
      <c r="N14" s="702" t="s">
        <v>2177</v>
      </c>
    </row>
    <row r="15" spans="1:15" outlineLevel="1">
      <c r="A15" s="2942" t="s">
        <v>2711</v>
      </c>
      <c r="B15" s="2942"/>
      <c r="C15" s="2942"/>
      <c r="D15" s="2942"/>
      <c r="E15" s="2942"/>
      <c r="F15" s="2942"/>
      <c r="G15" s="2942"/>
      <c r="H15" s="2942"/>
      <c r="I15" s="2942"/>
      <c r="J15" s="2942"/>
      <c r="N15" s="702" t="s">
        <v>2712</v>
      </c>
    </row>
    <row r="16" spans="1:15" outlineLevel="1">
      <c r="A16" s="2395" t="s">
        <v>2713</v>
      </c>
      <c r="B16" s="1056" t="s">
        <v>2714</v>
      </c>
      <c r="C16" s="1007" t="s">
        <v>2715</v>
      </c>
      <c r="D16" s="957"/>
      <c r="E16" s="957"/>
      <c r="F16" s="1057"/>
      <c r="G16" s="1056"/>
      <c r="H16" s="1006" t="s">
        <v>90</v>
      </c>
      <c r="I16" s="2943" t="s">
        <v>2716</v>
      </c>
      <c r="J16" s="2944"/>
    </row>
    <row r="17" spans="1:18" outlineLevel="1">
      <c r="A17" s="2396"/>
      <c r="B17" s="951" t="s">
        <v>2717</v>
      </c>
      <c r="C17" s="790" t="s">
        <v>2718</v>
      </c>
      <c r="D17" s="2930" t="s">
        <v>2719</v>
      </c>
      <c r="E17" s="2931"/>
      <c r="F17" s="2932"/>
      <c r="G17" s="951" t="s">
        <v>2717</v>
      </c>
      <c r="H17" s="1059" t="s">
        <v>2718</v>
      </c>
      <c r="I17" s="2933" t="s">
        <v>100</v>
      </c>
      <c r="J17" s="2933"/>
      <c r="N17" s="2917" t="s">
        <v>3478</v>
      </c>
      <c r="O17" s="2917"/>
      <c r="P17" s="2917"/>
      <c r="Q17" s="2917"/>
      <c r="R17" s="2917"/>
    </row>
    <row r="18" spans="1:18" outlineLevel="1">
      <c r="A18" s="790">
        <v>1</v>
      </c>
      <c r="B18" s="886">
        <v>1000</v>
      </c>
      <c r="C18" s="1060">
        <v>1000</v>
      </c>
      <c r="D18" s="2935">
        <f>(C18-B18)/B18*100</f>
        <v>0</v>
      </c>
      <c r="E18" s="2936"/>
      <c r="F18" s="2937"/>
      <c r="G18" s="1062">
        <v>1099.9100000000001</v>
      </c>
      <c r="H18" s="1063">
        <v>1100</v>
      </c>
      <c r="I18" s="2938">
        <f t="shared" ref="I18:I26" si="0">(H18-G18)/H18*100</f>
        <v>8.1818181818107405E-3</v>
      </c>
      <c r="J18" s="2938"/>
      <c r="L18" s="702"/>
      <c r="M18" s="702"/>
    </row>
    <row r="19" spans="1:18" outlineLevel="1">
      <c r="A19" s="790">
        <v>2</v>
      </c>
      <c r="B19" s="886">
        <v>2000</v>
      </c>
      <c r="C19" s="1060">
        <v>2000</v>
      </c>
      <c r="D19" s="2935">
        <f t="shared" ref="D19:D25" si="1">(C19-B19)/C19*100</f>
        <v>0</v>
      </c>
      <c r="E19" s="2936"/>
      <c r="F19" s="2937"/>
      <c r="G19" s="1062">
        <v>1199.92</v>
      </c>
      <c r="H19" s="1063">
        <v>1200</v>
      </c>
      <c r="I19" s="2938">
        <f t="shared" si="0"/>
        <v>6.6666666666606034E-3</v>
      </c>
      <c r="J19" s="2938"/>
    </row>
    <row r="20" spans="1:18" outlineLevel="1">
      <c r="A20" s="790">
        <v>3</v>
      </c>
      <c r="B20" s="886">
        <v>2999.87</v>
      </c>
      <c r="C20" s="1060">
        <v>3000</v>
      </c>
      <c r="D20" s="2935">
        <f t="shared" si="1"/>
        <v>4.3333333333369717E-3</v>
      </c>
      <c r="E20" s="2936"/>
      <c r="F20" s="2937"/>
      <c r="G20" s="1062">
        <v>1299.92</v>
      </c>
      <c r="H20" s="1063">
        <v>1300</v>
      </c>
      <c r="I20" s="2938">
        <f t="shared" si="0"/>
        <v>6.1538461538405559E-3</v>
      </c>
      <c r="J20" s="2938"/>
    </row>
    <row r="21" spans="1:18" outlineLevel="1">
      <c r="A21" s="790">
        <v>4</v>
      </c>
      <c r="B21" s="886">
        <v>3999.82</v>
      </c>
      <c r="C21" s="1060">
        <v>4000</v>
      </c>
      <c r="D21" s="2935">
        <f t="shared" si="1"/>
        <v>4.4999999999959074E-3</v>
      </c>
      <c r="E21" s="2936"/>
      <c r="F21" s="2937"/>
      <c r="G21" s="1062">
        <v>1399.92</v>
      </c>
      <c r="H21" s="1063">
        <v>1400</v>
      </c>
      <c r="I21" s="2938">
        <f t="shared" si="0"/>
        <v>5.714285714280517E-3</v>
      </c>
      <c r="J21" s="2938"/>
    </row>
    <row r="22" spans="1:18" outlineLevel="1">
      <c r="A22" s="790">
        <v>5</v>
      </c>
      <c r="B22" s="886">
        <v>4999.72</v>
      </c>
      <c r="C22" s="1060">
        <v>5000</v>
      </c>
      <c r="D22" s="2935">
        <f t="shared" si="1"/>
        <v>5.5999999999949068E-3</v>
      </c>
      <c r="E22" s="2936"/>
      <c r="F22" s="2937"/>
      <c r="G22" s="1062">
        <v>1499.92</v>
      </c>
      <c r="H22" s="1063">
        <v>1500</v>
      </c>
      <c r="I22" s="2938">
        <f t="shared" si="0"/>
        <v>5.3333333333284829E-3</v>
      </c>
      <c r="J22" s="2938"/>
    </row>
    <row r="23" spans="1:18" outlineLevel="1">
      <c r="A23" s="790">
        <v>6</v>
      </c>
      <c r="B23" s="886">
        <v>5999.69</v>
      </c>
      <c r="C23" s="1060">
        <v>6000</v>
      </c>
      <c r="D23" s="2935">
        <f t="shared" si="1"/>
        <v>5.1666666666733366E-3</v>
      </c>
      <c r="E23" s="2936"/>
      <c r="F23" s="2937"/>
      <c r="G23" s="1062">
        <v>1599.92</v>
      </c>
      <c r="H23" s="1063">
        <v>1600</v>
      </c>
      <c r="I23" s="2938">
        <f t="shared" si="0"/>
        <v>4.9999999999954525E-3</v>
      </c>
      <c r="J23" s="2938"/>
    </row>
    <row r="24" spans="1:18" outlineLevel="1">
      <c r="A24" s="790">
        <v>7</v>
      </c>
      <c r="B24" s="886">
        <v>6999.49</v>
      </c>
      <c r="C24" s="1060">
        <v>7000</v>
      </c>
      <c r="D24" s="2935">
        <f t="shared" si="1"/>
        <v>7.2857142857174042E-3</v>
      </c>
      <c r="E24" s="2936"/>
      <c r="F24" s="2937"/>
      <c r="G24" s="1062">
        <v>1699.92</v>
      </c>
      <c r="H24" s="1063">
        <v>1700</v>
      </c>
      <c r="I24" s="2938">
        <f t="shared" si="0"/>
        <v>4.7058823529368965E-3</v>
      </c>
      <c r="J24" s="2938"/>
    </row>
    <row r="25" spans="1:18" outlineLevel="1">
      <c r="A25" s="790">
        <v>8</v>
      </c>
      <c r="B25" s="886">
        <v>7999.22</v>
      </c>
      <c r="C25" s="1060">
        <v>8000</v>
      </c>
      <c r="D25" s="2935">
        <f t="shared" si="1"/>
        <v>9.7499999999968168E-3</v>
      </c>
      <c r="E25" s="2936"/>
      <c r="F25" s="2937"/>
      <c r="G25" s="1062">
        <v>1799.92</v>
      </c>
      <c r="H25" s="1063">
        <v>1800</v>
      </c>
      <c r="I25" s="2938">
        <f t="shared" si="0"/>
        <v>4.4444444444404017E-3</v>
      </c>
      <c r="J25" s="2938"/>
    </row>
    <row r="26" spans="1:18" outlineLevel="1">
      <c r="A26" s="790">
        <v>9</v>
      </c>
      <c r="B26" s="886">
        <v>8998.99</v>
      </c>
      <c r="C26" s="1060">
        <v>9000</v>
      </c>
      <c r="D26" s="2935">
        <f>(C26-B26)/C26*100</f>
        <v>1.1222222222224647E-2</v>
      </c>
      <c r="E26" s="2936"/>
      <c r="F26" s="2937"/>
      <c r="G26" s="1062">
        <v>1899.92</v>
      </c>
      <c r="H26" s="1063">
        <v>1900</v>
      </c>
      <c r="I26" s="2938">
        <f t="shared" si="0"/>
        <v>4.2105263157856442E-3</v>
      </c>
      <c r="J26" s="2938"/>
    </row>
    <row r="27" spans="1:18" outlineLevel="1">
      <c r="A27" s="769" t="s">
        <v>2084</v>
      </c>
      <c r="B27" s="2939" t="s">
        <v>2720</v>
      </c>
      <c r="C27" s="2940"/>
      <c r="D27" s="2940"/>
      <c r="E27" s="2940"/>
      <c r="F27" s="2941"/>
      <c r="G27" s="2939" t="s">
        <v>2721</v>
      </c>
      <c r="H27" s="2940"/>
      <c r="I27" s="2940"/>
      <c r="J27" s="2941"/>
    </row>
    <row r="28" spans="1:18" outlineLevel="1">
      <c r="A28" s="2395" t="s">
        <v>2615</v>
      </c>
      <c r="B28" s="1056" t="s">
        <v>90</v>
      </c>
      <c r="C28" s="1007" t="s">
        <v>2722</v>
      </c>
      <c r="D28" s="957"/>
      <c r="E28" s="957"/>
      <c r="F28" s="1057"/>
      <c r="G28" s="1056"/>
      <c r="H28" s="1006" t="s">
        <v>90</v>
      </c>
      <c r="I28" s="1007" t="s">
        <v>2723</v>
      </c>
      <c r="J28" s="1010"/>
    </row>
    <row r="29" spans="1:18" outlineLevel="1">
      <c r="A29" s="2396"/>
      <c r="B29" s="951" t="s">
        <v>2717</v>
      </c>
      <c r="C29" s="790" t="s">
        <v>2718</v>
      </c>
      <c r="D29" s="2930" t="s">
        <v>2719</v>
      </c>
      <c r="E29" s="2931"/>
      <c r="F29" s="2932"/>
      <c r="G29" s="951" t="s">
        <v>2717</v>
      </c>
      <c r="H29" s="1065" t="s">
        <v>2718</v>
      </c>
      <c r="I29" s="2933" t="s">
        <v>2719</v>
      </c>
      <c r="J29" s="2933"/>
    </row>
    <row r="30" spans="1:18" outlineLevel="1">
      <c r="A30" s="790">
        <v>1</v>
      </c>
      <c r="B30" s="886">
        <v>1009.92</v>
      </c>
      <c r="C30" s="1060">
        <v>1010</v>
      </c>
      <c r="D30" s="2935">
        <f>(C30-B30)/C30*100</f>
        <v>7.9207920792119732E-3</v>
      </c>
      <c r="E30" s="2936"/>
      <c r="F30" s="2937"/>
      <c r="G30" s="1066">
        <v>1000.92</v>
      </c>
      <c r="H30" s="1067">
        <v>1001</v>
      </c>
      <c r="I30" s="2938">
        <f>(H30-G30)/H30*100</f>
        <v>7.9920079920120807E-3</v>
      </c>
      <c r="J30" s="2938"/>
    </row>
    <row r="31" spans="1:18" outlineLevel="1">
      <c r="A31" s="790">
        <v>2</v>
      </c>
      <c r="B31" s="886">
        <v>1019.92</v>
      </c>
      <c r="C31" s="1060">
        <v>1020</v>
      </c>
      <c r="D31" s="2935">
        <f t="shared" ref="D31:D38" si="2">(C31-B31)/C31*100</f>
        <v>7.8431372549059731E-3</v>
      </c>
      <c r="E31" s="2936"/>
      <c r="F31" s="2937"/>
      <c r="G31" s="1066">
        <v>1001.92</v>
      </c>
      <c r="H31" s="1068">
        <v>1002</v>
      </c>
      <c r="I31" s="2938">
        <f t="shared" ref="I31:I38" si="3">(H31-G31)/H31*100</f>
        <v>7.9840319361318291E-3</v>
      </c>
      <c r="J31" s="2938"/>
    </row>
    <row r="32" spans="1:18" outlineLevel="1">
      <c r="A32" s="790">
        <v>3</v>
      </c>
      <c r="B32" s="886">
        <v>1029.93</v>
      </c>
      <c r="C32" s="1060">
        <v>1030</v>
      </c>
      <c r="D32" s="2935">
        <f t="shared" si="2"/>
        <v>6.7961165048481872E-3</v>
      </c>
      <c r="E32" s="2936"/>
      <c r="F32" s="2937"/>
      <c r="G32" s="1066">
        <v>1002.92</v>
      </c>
      <c r="H32" s="1068">
        <v>1003</v>
      </c>
      <c r="I32" s="2938">
        <f t="shared" si="3"/>
        <v>7.9760717846501412E-3</v>
      </c>
      <c r="J32" s="2938"/>
    </row>
    <row r="33" spans="1:10" outlineLevel="1">
      <c r="A33" s="790">
        <v>4</v>
      </c>
      <c r="B33" s="886">
        <v>1039.92</v>
      </c>
      <c r="C33" s="1060">
        <v>1040</v>
      </c>
      <c r="D33" s="2935">
        <f t="shared" si="2"/>
        <v>7.6923076923006966E-3</v>
      </c>
      <c r="E33" s="2936"/>
      <c r="F33" s="2937"/>
      <c r="G33" s="1066">
        <v>1003.92</v>
      </c>
      <c r="H33" s="1068">
        <v>1004</v>
      </c>
      <c r="I33" s="2938">
        <f t="shared" si="3"/>
        <v>7.9681274900439171E-3</v>
      </c>
      <c r="J33" s="2938"/>
    </row>
    <row r="34" spans="1:10" outlineLevel="1">
      <c r="A34" s="790">
        <v>5</v>
      </c>
      <c r="B34" s="886">
        <v>1049.92</v>
      </c>
      <c r="C34" s="1060">
        <v>1050</v>
      </c>
      <c r="D34" s="2935">
        <f t="shared" si="2"/>
        <v>7.6190476190406888E-3</v>
      </c>
      <c r="E34" s="2936"/>
      <c r="F34" s="2937"/>
      <c r="G34" s="1066">
        <v>1004.92</v>
      </c>
      <c r="H34" s="1068">
        <v>1005</v>
      </c>
      <c r="I34" s="2938">
        <f t="shared" si="3"/>
        <v>7.960199004979197E-3</v>
      </c>
      <c r="J34" s="2938"/>
    </row>
    <row r="35" spans="1:10" outlineLevel="1">
      <c r="A35" s="790">
        <v>6</v>
      </c>
      <c r="B35" s="886">
        <v>1059.92</v>
      </c>
      <c r="C35" s="1060">
        <v>1060</v>
      </c>
      <c r="D35" s="2935">
        <f t="shared" si="2"/>
        <v>7.5471698113138905E-3</v>
      </c>
      <c r="E35" s="2936"/>
      <c r="F35" s="2937"/>
      <c r="G35" s="1066">
        <v>1005.92</v>
      </c>
      <c r="H35" s="1068">
        <v>1006</v>
      </c>
      <c r="I35" s="2938">
        <f t="shared" si="3"/>
        <v>7.9522862823102319E-3</v>
      </c>
      <c r="J35" s="2938"/>
    </row>
    <row r="36" spans="1:10" outlineLevel="1">
      <c r="A36" s="790">
        <v>7</v>
      </c>
      <c r="B36" s="886">
        <v>1069.92</v>
      </c>
      <c r="C36" s="1060">
        <v>1070</v>
      </c>
      <c r="D36" s="2935">
        <f t="shared" si="2"/>
        <v>7.4766355140118918E-3</v>
      </c>
      <c r="E36" s="2936"/>
      <c r="F36" s="2937"/>
      <c r="G36" s="1066">
        <v>1006.92</v>
      </c>
      <c r="H36" s="1068">
        <v>1007</v>
      </c>
      <c r="I36" s="2938">
        <f t="shared" si="3"/>
        <v>7.9443892750785429E-3</v>
      </c>
      <c r="J36" s="2938"/>
    </row>
    <row r="37" spans="1:10" outlineLevel="1">
      <c r="A37" s="790">
        <v>8</v>
      </c>
      <c r="B37" s="886">
        <v>1079.92</v>
      </c>
      <c r="C37" s="1060">
        <v>1080</v>
      </c>
      <c r="D37" s="2935">
        <f t="shared" si="2"/>
        <v>7.40740740740067E-3</v>
      </c>
      <c r="E37" s="2936"/>
      <c r="F37" s="2937"/>
      <c r="G37" s="1066">
        <v>1007.92</v>
      </c>
      <c r="H37" s="1068">
        <v>1008</v>
      </c>
      <c r="I37" s="2938">
        <f t="shared" si="3"/>
        <v>7.9365079365119971E-3</v>
      </c>
      <c r="J37" s="2938"/>
    </row>
    <row r="38" spans="1:10" outlineLevel="1">
      <c r="A38" s="790">
        <v>9</v>
      </c>
      <c r="B38" s="886">
        <v>1089.92</v>
      </c>
      <c r="C38" s="1060">
        <v>1090</v>
      </c>
      <c r="D38" s="2935">
        <f t="shared" si="2"/>
        <v>7.3394495412777289E-3</v>
      </c>
      <c r="E38" s="2936"/>
      <c r="F38" s="2937"/>
      <c r="G38" s="1066">
        <v>1008.92</v>
      </c>
      <c r="H38" s="1068">
        <v>1009</v>
      </c>
      <c r="I38" s="2938">
        <f t="shared" si="3"/>
        <v>7.9286422200238772E-3</v>
      </c>
      <c r="J38" s="2938"/>
    </row>
    <row r="39" spans="1:10" outlineLevel="1">
      <c r="A39" s="1069" t="s">
        <v>2084</v>
      </c>
      <c r="B39" s="2939" t="s">
        <v>2721</v>
      </c>
      <c r="C39" s="2940"/>
      <c r="D39" s="2940"/>
      <c r="E39" s="2940"/>
      <c r="F39" s="2941"/>
      <c r="G39" s="2939" t="s">
        <v>2724</v>
      </c>
      <c r="H39" s="2940"/>
      <c r="I39" s="2940"/>
      <c r="J39" s="2941"/>
    </row>
    <row r="40" spans="1:10" outlineLevel="1">
      <c r="A40" s="2945" t="s">
        <v>2725</v>
      </c>
      <c r="B40" s="2739"/>
      <c r="C40" s="2739"/>
      <c r="D40" s="2739"/>
      <c r="E40" s="2739"/>
      <c r="F40" s="2739"/>
      <c r="G40" s="2739"/>
      <c r="H40" s="2739"/>
      <c r="I40" s="2739"/>
      <c r="J40" s="2858"/>
    </row>
    <row r="41" spans="1:10" outlineLevel="1"/>
    <row r="42" spans="1:10" outlineLevel="1">
      <c r="A42" s="2798" t="s">
        <v>2726</v>
      </c>
      <c r="B42" s="2799"/>
      <c r="C42" s="2799"/>
      <c r="D42" s="2799"/>
      <c r="E42" s="2799"/>
      <c r="F42" s="2799"/>
      <c r="G42" s="2799"/>
      <c r="H42" s="2799"/>
      <c r="I42" s="2799"/>
      <c r="J42" s="2800"/>
    </row>
    <row r="43" spans="1:10" ht="42.75" outlineLevel="1">
      <c r="A43" s="2500" t="s">
        <v>1929</v>
      </c>
      <c r="B43" s="2500"/>
      <c r="C43" s="936" t="s">
        <v>2727</v>
      </c>
      <c r="D43" s="2658" t="s">
        <v>2356</v>
      </c>
      <c r="E43" s="2602"/>
      <c r="F43" s="2603"/>
      <c r="G43" s="948" t="s">
        <v>2717</v>
      </c>
      <c r="H43" s="1058" t="s">
        <v>2718</v>
      </c>
      <c r="I43" s="793" t="s">
        <v>2719</v>
      </c>
      <c r="J43" s="785" t="s">
        <v>2728</v>
      </c>
    </row>
    <row r="44" spans="1:10" outlineLevel="1">
      <c r="A44" s="1070" t="s">
        <v>90</v>
      </c>
      <c r="B44" s="1071">
        <v>1000</v>
      </c>
      <c r="C44" s="936" t="s">
        <v>2729</v>
      </c>
      <c r="D44" s="936" t="s">
        <v>2730</v>
      </c>
      <c r="E44" s="1072">
        <v>1</v>
      </c>
      <c r="F44" s="949" t="s">
        <v>2731</v>
      </c>
      <c r="G44" s="1013">
        <v>1000589</v>
      </c>
      <c r="H44" s="857">
        <v>1000000</v>
      </c>
      <c r="I44" s="787">
        <f>(H44-G44)/G44*100</f>
        <v>-5.8865328321618574E-2</v>
      </c>
      <c r="J44" s="359" t="s">
        <v>2720</v>
      </c>
    </row>
    <row r="45" spans="1:10" outlineLevel="1">
      <c r="A45" s="1070" t="s">
        <v>90</v>
      </c>
      <c r="B45" s="1071">
        <v>100</v>
      </c>
      <c r="C45" s="936" t="s">
        <v>2729</v>
      </c>
      <c r="D45" s="936" t="s">
        <v>2730</v>
      </c>
      <c r="E45" s="1072">
        <v>1</v>
      </c>
      <c r="F45" s="949" t="s">
        <v>2731</v>
      </c>
      <c r="G45" s="1013">
        <v>100027</v>
      </c>
      <c r="H45" s="857">
        <v>100000</v>
      </c>
      <c r="I45" s="787">
        <f>(H45-G45)/H45*100</f>
        <v>-2.7E-2</v>
      </c>
      <c r="J45" s="359" t="s">
        <v>2732</v>
      </c>
    </row>
    <row r="46" spans="1:10" outlineLevel="1">
      <c r="A46" s="1070" t="s">
        <v>90</v>
      </c>
      <c r="B46" s="1071">
        <v>10</v>
      </c>
      <c r="C46" s="936" t="s">
        <v>2729</v>
      </c>
      <c r="D46" s="936" t="s">
        <v>2730</v>
      </c>
      <c r="E46" s="1072">
        <v>1</v>
      </c>
      <c r="F46" s="949" t="s">
        <v>2731</v>
      </c>
      <c r="G46" s="786">
        <v>9999.9</v>
      </c>
      <c r="H46" s="1002">
        <v>10000</v>
      </c>
      <c r="I46" s="787">
        <f>(H46-G46)/H46*100</f>
        <v>1.000000000003638E-3</v>
      </c>
      <c r="J46" s="790" t="s">
        <v>2721</v>
      </c>
    </row>
    <row r="47" spans="1:10" outlineLevel="1">
      <c r="A47" s="1070" t="s">
        <v>90</v>
      </c>
      <c r="B47" s="1071">
        <v>0.1</v>
      </c>
      <c r="C47" s="936" t="s">
        <v>2729</v>
      </c>
      <c r="D47" s="936" t="s">
        <v>2730</v>
      </c>
      <c r="E47" s="1072">
        <v>1</v>
      </c>
      <c r="F47" s="949" t="s">
        <v>2731</v>
      </c>
      <c r="G47" s="886">
        <v>100</v>
      </c>
      <c r="H47" s="1061">
        <f>B47*E47*1000</f>
        <v>100</v>
      </c>
      <c r="I47" s="787">
        <f>(H47-G47)/H47*100</f>
        <v>0</v>
      </c>
      <c r="J47" s="790" t="s">
        <v>2724</v>
      </c>
    </row>
    <row r="48" spans="1:10" outlineLevel="1">
      <c r="A48" s="1070" t="s">
        <v>90</v>
      </c>
      <c r="B48" s="1071">
        <v>0.01</v>
      </c>
      <c r="C48" s="936" t="s">
        <v>2729</v>
      </c>
      <c r="D48" s="936" t="s">
        <v>2730</v>
      </c>
      <c r="E48" s="1072">
        <v>1</v>
      </c>
      <c r="F48" s="949" t="s">
        <v>2731</v>
      </c>
      <c r="G48" s="1073">
        <v>10</v>
      </c>
      <c r="H48" s="1074">
        <v>10</v>
      </c>
      <c r="I48" s="787">
        <f>(H48-G48)/H48*100</f>
        <v>0</v>
      </c>
      <c r="J48" s="790" t="s">
        <v>2733</v>
      </c>
    </row>
    <row r="49" spans="1:10" outlineLevel="1">
      <c r="A49" s="1070" t="s">
        <v>90</v>
      </c>
      <c r="B49" s="1071">
        <v>1E-3</v>
      </c>
      <c r="C49" s="936" t="s">
        <v>2729</v>
      </c>
      <c r="D49" s="936" t="s">
        <v>2730</v>
      </c>
      <c r="E49" s="1072">
        <v>1</v>
      </c>
      <c r="F49" s="949" t="s">
        <v>2731</v>
      </c>
      <c r="G49" s="1073">
        <v>1</v>
      </c>
      <c r="H49" s="1074">
        <v>1</v>
      </c>
      <c r="I49" s="787">
        <f>(H49-G49)/H49*100</f>
        <v>0</v>
      </c>
      <c r="J49" s="359" t="s">
        <v>2720</v>
      </c>
    </row>
    <row r="51" spans="1:10">
      <c r="A51" s="152" t="s">
        <v>2734</v>
      </c>
    </row>
    <row r="52" spans="1:10" outlineLevel="1">
      <c r="A52" s="2942" t="s">
        <v>2735</v>
      </c>
      <c r="B52" s="2942"/>
      <c r="C52" s="2942"/>
      <c r="D52" s="2942"/>
      <c r="E52" s="2942"/>
      <c r="F52" s="2942"/>
    </row>
    <row r="53" spans="1:10" outlineLevel="1">
      <c r="A53" s="2945" t="s">
        <v>2736</v>
      </c>
      <c r="B53" s="2739"/>
      <c r="C53" s="2739"/>
      <c r="D53" s="2739"/>
      <c r="E53" s="2739"/>
      <c r="F53" s="2858"/>
    </row>
    <row r="54" spans="1:10" outlineLevel="1">
      <c r="A54" s="705" t="s">
        <v>2615</v>
      </c>
      <c r="B54" s="1075" t="s">
        <v>2737</v>
      </c>
      <c r="C54" s="857" t="s">
        <v>2718</v>
      </c>
      <c r="D54" s="951" t="s">
        <v>2717</v>
      </c>
      <c r="E54" s="857" t="s">
        <v>2719</v>
      </c>
      <c r="F54" s="1076" t="s">
        <v>2084</v>
      </c>
    </row>
    <row r="55" spans="1:10" outlineLevel="1">
      <c r="A55" s="790">
        <v>1</v>
      </c>
      <c r="B55" s="790">
        <v>1E-3</v>
      </c>
      <c r="C55" s="1077">
        <v>0.1</v>
      </c>
      <c r="D55" s="1078">
        <v>0.1</v>
      </c>
      <c r="E55" s="787">
        <f t="shared" ref="E55:E64" si="4">(D55-C55)/C55*100</f>
        <v>0</v>
      </c>
      <c r="F55" s="360" t="s">
        <v>2738</v>
      </c>
    </row>
    <row r="56" spans="1:10" outlineLevel="1">
      <c r="A56" s="790">
        <v>2</v>
      </c>
      <c r="B56" s="790">
        <v>2E-3</v>
      </c>
      <c r="C56" s="1077">
        <v>0.2</v>
      </c>
      <c r="D56" s="1078">
        <v>0.2</v>
      </c>
      <c r="E56" s="787">
        <f t="shared" si="4"/>
        <v>0</v>
      </c>
      <c r="F56" s="360" t="s">
        <v>2738</v>
      </c>
    </row>
    <row r="57" spans="1:10" outlineLevel="1">
      <c r="A57" s="790">
        <v>3</v>
      </c>
      <c r="B57" s="790">
        <v>3.0000000000000001E-3</v>
      </c>
      <c r="C57" s="1077">
        <v>0.3</v>
      </c>
      <c r="D57" s="1078">
        <v>0.3</v>
      </c>
      <c r="E57" s="787">
        <f t="shared" si="4"/>
        <v>0</v>
      </c>
      <c r="F57" s="360" t="s">
        <v>2738</v>
      </c>
    </row>
    <row r="58" spans="1:10" outlineLevel="1">
      <c r="A58" s="790">
        <v>4</v>
      </c>
      <c r="B58" s="790">
        <v>4.0000000000000001E-3</v>
      </c>
      <c r="C58" s="1077">
        <v>0.4</v>
      </c>
      <c r="D58" s="1078">
        <v>0.4</v>
      </c>
      <c r="E58" s="787">
        <f t="shared" si="4"/>
        <v>0</v>
      </c>
      <c r="F58" s="360" t="s">
        <v>2738</v>
      </c>
    </row>
    <row r="59" spans="1:10" outlineLevel="1">
      <c r="A59" s="790">
        <v>5</v>
      </c>
      <c r="B59" s="790">
        <v>5.0000000000000001E-3</v>
      </c>
      <c r="C59" s="1077">
        <v>0.5</v>
      </c>
      <c r="D59" s="1078">
        <v>0.5</v>
      </c>
      <c r="E59" s="787">
        <f t="shared" si="4"/>
        <v>0</v>
      </c>
      <c r="F59" s="360" t="s">
        <v>2738</v>
      </c>
    </row>
    <row r="60" spans="1:10" outlineLevel="1">
      <c r="A60" s="790">
        <v>6</v>
      </c>
      <c r="B60" s="790">
        <v>6.0000000000000001E-3</v>
      </c>
      <c r="C60" s="1077">
        <v>0.6</v>
      </c>
      <c r="D60" s="1078">
        <v>0.6</v>
      </c>
      <c r="E60" s="787">
        <f t="shared" si="4"/>
        <v>0</v>
      </c>
      <c r="F60" s="360" t="s">
        <v>2738</v>
      </c>
    </row>
    <row r="61" spans="1:10" outlineLevel="1">
      <c r="A61" s="790">
        <v>7</v>
      </c>
      <c r="B61" s="790">
        <v>7.0000000000000001E-3</v>
      </c>
      <c r="C61" s="1077">
        <v>0.7</v>
      </c>
      <c r="D61" s="1078">
        <v>0.7</v>
      </c>
      <c r="E61" s="787">
        <f t="shared" si="4"/>
        <v>0</v>
      </c>
      <c r="F61" s="360" t="s">
        <v>2738</v>
      </c>
    </row>
    <row r="62" spans="1:10" outlineLevel="1">
      <c r="A62" s="790">
        <v>8</v>
      </c>
      <c r="B62" s="790">
        <v>8.0000000000000002E-3</v>
      </c>
      <c r="C62" s="1077">
        <v>0.8</v>
      </c>
      <c r="D62" s="1078">
        <v>0.8</v>
      </c>
      <c r="E62" s="787">
        <f t="shared" si="4"/>
        <v>0</v>
      </c>
      <c r="F62" s="360" t="s">
        <v>2738</v>
      </c>
    </row>
    <row r="63" spans="1:10" outlineLevel="1">
      <c r="A63" s="790">
        <v>9</v>
      </c>
      <c r="B63" s="790">
        <v>8.9999999999999993E-3</v>
      </c>
      <c r="C63" s="1077">
        <v>0.9</v>
      </c>
      <c r="D63" s="1078">
        <v>0.9</v>
      </c>
      <c r="E63" s="787">
        <f t="shared" si="4"/>
        <v>0</v>
      </c>
      <c r="F63" s="360" t="s">
        <v>2738</v>
      </c>
    </row>
    <row r="64" spans="1:10" outlineLevel="1">
      <c r="A64" s="790">
        <v>10</v>
      </c>
      <c r="B64" s="957">
        <v>0.01</v>
      </c>
      <c r="C64" s="1077">
        <v>1</v>
      </c>
      <c r="D64" s="1078">
        <v>1</v>
      </c>
      <c r="E64" s="787">
        <f t="shared" si="4"/>
        <v>0</v>
      </c>
      <c r="F64" s="360" t="s">
        <v>2738</v>
      </c>
    </row>
    <row r="65" spans="1:6" outlineLevel="1">
      <c r="A65" s="2798" t="s">
        <v>2739</v>
      </c>
      <c r="B65" s="2799"/>
      <c r="C65" s="2799"/>
      <c r="D65" s="2799"/>
      <c r="E65" s="2799"/>
      <c r="F65" s="2800"/>
    </row>
    <row r="66" spans="1:6" outlineLevel="1">
      <c r="A66" s="705" t="s">
        <v>2615</v>
      </c>
      <c r="B66" s="1075" t="s">
        <v>2737</v>
      </c>
      <c r="C66" s="857" t="s">
        <v>2718</v>
      </c>
      <c r="D66" s="951" t="s">
        <v>101</v>
      </c>
      <c r="E66" s="857" t="s">
        <v>2719</v>
      </c>
      <c r="F66" s="1076" t="s">
        <v>2084</v>
      </c>
    </row>
    <row r="67" spans="1:6" outlineLevel="1">
      <c r="A67" s="790">
        <v>1</v>
      </c>
      <c r="B67" s="1079" t="s">
        <v>2740</v>
      </c>
      <c r="C67" s="975">
        <v>2</v>
      </c>
      <c r="D67" s="1080">
        <v>2</v>
      </c>
      <c r="E67" s="787">
        <f t="shared" ref="E67:E76" si="5">(D67-C67)/C67*100</f>
        <v>0</v>
      </c>
      <c r="F67" s="360" t="s">
        <v>2738</v>
      </c>
    </row>
    <row r="68" spans="1:6" outlineLevel="1">
      <c r="A68" s="790">
        <v>2</v>
      </c>
      <c r="B68" s="1079" t="s">
        <v>2741</v>
      </c>
      <c r="C68" s="975">
        <v>3</v>
      </c>
      <c r="D68" s="1080">
        <v>3</v>
      </c>
      <c r="E68" s="787">
        <f t="shared" si="5"/>
        <v>0</v>
      </c>
      <c r="F68" s="360" t="s">
        <v>2738</v>
      </c>
    </row>
    <row r="69" spans="1:6" outlineLevel="1">
      <c r="A69" s="790">
        <v>3</v>
      </c>
      <c r="B69" s="1079" t="s">
        <v>2742</v>
      </c>
      <c r="C69" s="975">
        <v>4</v>
      </c>
      <c r="D69" s="1080">
        <v>4</v>
      </c>
      <c r="E69" s="787">
        <f>(D69-C69)/C69*100</f>
        <v>0</v>
      </c>
      <c r="F69" s="360" t="s">
        <v>2738</v>
      </c>
    </row>
    <row r="70" spans="1:6" outlineLevel="1">
      <c r="A70" s="790">
        <v>4</v>
      </c>
      <c r="B70" s="1060" t="s">
        <v>2743</v>
      </c>
      <c r="C70" s="975">
        <v>5</v>
      </c>
      <c r="D70" s="1080">
        <v>5</v>
      </c>
      <c r="E70" s="787">
        <f t="shared" si="5"/>
        <v>0</v>
      </c>
      <c r="F70" s="360" t="s">
        <v>2738</v>
      </c>
    </row>
    <row r="71" spans="1:6" outlineLevel="1">
      <c r="A71" s="790">
        <v>5</v>
      </c>
      <c r="B71" s="1060" t="s">
        <v>2744</v>
      </c>
      <c r="C71" s="975">
        <v>6</v>
      </c>
      <c r="D71" s="1080">
        <v>6</v>
      </c>
      <c r="E71" s="787">
        <f t="shared" si="5"/>
        <v>0</v>
      </c>
      <c r="F71" s="360" t="s">
        <v>2738</v>
      </c>
    </row>
    <row r="72" spans="1:6" outlineLevel="1">
      <c r="A72" s="790">
        <v>6</v>
      </c>
      <c r="B72" s="1060" t="s">
        <v>2745</v>
      </c>
      <c r="C72" s="975">
        <v>7</v>
      </c>
      <c r="D72" s="1080">
        <v>7</v>
      </c>
      <c r="E72" s="787">
        <f>(D72-C72)/C72*100</f>
        <v>0</v>
      </c>
      <c r="F72" s="360" t="s">
        <v>2738</v>
      </c>
    </row>
    <row r="73" spans="1:6" outlineLevel="1">
      <c r="A73" s="790">
        <v>7</v>
      </c>
      <c r="B73" s="1060" t="s">
        <v>2746</v>
      </c>
      <c r="C73" s="975">
        <v>8</v>
      </c>
      <c r="D73" s="1080">
        <v>8</v>
      </c>
      <c r="E73" s="787">
        <f>(D73-C73)/C73*100</f>
        <v>0</v>
      </c>
      <c r="F73" s="360" t="s">
        <v>2738</v>
      </c>
    </row>
    <row r="74" spans="1:6" outlineLevel="1">
      <c r="A74" s="790">
        <v>8</v>
      </c>
      <c r="B74" s="1060" t="s">
        <v>2747</v>
      </c>
      <c r="C74" s="975">
        <v>9</v>
      </c>
      <c r="D74" s="1080">
        <v>9</v>
      </c>
      <c r="E74" s="787">
        <f t="shared" si="5"/>
        <v>0</v>
      </c>
      <c r="F74" s="360" t="s">
        <v>2738</v>
      </c>
    </row>
    <row r="75" spans="1:6" outlineLevel="1">
      <c r="A75" s="790">
        <v>9</v>
      </c>
      <c r="B75" s="1060" t="s">
        <v>2748</v>
      </c>
      <c r="C75" s="975">
        <v>10</v>
      </c>
      <c r="D75" s="1080">
        <v>10</v>
      </c>
      <c r="E75" s="787">
        <f t="shared" si="5"/>
        <v>0</v>
      </c>
      <c r="F75" s="360" t="s">
        <v>2738</v>
      </c>
    </row>
    <row r="76" spans="1:6" outlineLevel="1">
      <c r="A76" s="790">
        <v>10</v>
      </c>
      <c r="B76" s="1060" t="s">
        <v>2749</v>
      </c>
      <c r="C76" s="975">
        <v>11</v>
      </c>
      <c r="D76" s="1080">
        <v>11</v>
      </c>
      <c r="E76" s="787">
        <f t="shared" si="5"/>
        <v>0</v>
      </c>
      <c r="F76" s="360" t="s">
        <v>2738</v>
      </c>
    </row>
    <row r="77" spans="1:6" outlineLevel="1"/>
    <row r="78" spans="1:6" outlineLevel="1">
      <c r="A78" s="2798" t="s">
        <v>2750</v>
      </c>
      <c r="B78" s="2799"/>
      <c r="C78" s="2799"/>
      <c r="D78" s="2799"/>
      <c r="E78" s="2799"/>
      <c r="F78" s="2800"/>
    </row>
    <row r="79" spans="1:6" outlineLevel="1">
      <c r="A79" s="1081" t="s">
        <v>1929</v>
      </c>
      <c r="B79" s="1082" t="s">
        <v>2737</v>
      </c>
      <c r="C79" s="790" t="s">
        <v>102</v>
      </c>
      <c r="D79" s="951" t="s">
        <v>101</v>
      </c>
      <c r="E79" s="857" t="s">
        <v>2751</v>
      </c>
      <c r="F79" s="1083" t="s">
        <v>2084</v>
      </c>
    </row>
    <row r="80" spans="1:6" outlineLevel="1">
      <c r="A80" s="1084" t="s">
        <v>2752</v>
      </c>
      <c r="B80" s="1084" t="s">
        <v>2753</v>
      </c>
      <c r="C80" s="1085">
        <v>1</v>
      </c>
      <c r="D80" s="1086">
        <v>1</v>
      </c>
      <c r="E80" s="787">
        <f>(D80-C80)/C80*100</f>
        <v>0</v>
      </c>
      <c r="F80" s="360" t="s">
        <v>2738</v>
      </c>
    </row>
    <row r="81" spans="1:30" outlineLevel="1">
      <c r="A81" s="1084" t="s">
        <v>2754</v>
      </c>
      <c r="B81" s="1084" t="s">
        <v>2753</v>
      </c>
      <c r="C81" s="1085">
        <v>0.1</v>
      </c>
      <c r="D81" s="1086">
        <v>0.1</v>
      </c>
      <c r="E81" s="787">
        <f>(D81-C81)/C81*100</f>
        <v>0</v>
      </c>
      <c r="F81" s="360" t="s">
        <v>2738</v>
      </c>
    </row>
    <row r="82" spans="1:30" outlineLevel="1">
      <c r="A82" s="1084" t="s">
        <v>2755</v>
      </c>
      <c r="B82" s="1084" t="s">
        <v>2753</v>
      </c>
      <c r="C82" s="1087">
        <v>0.01</v>
      </c>
      <c r="D82" s="1088">
        <v>0.01</v>
      </c>
      <c r="E82" s="787">
        <f>(D82-C82)/C82*100</f>
        <v>0</v>
      </c>
      <c r="F82" s="360" t="s">
        <v>2756</v>
      </c>
    </row>
    <row r="83" spans="1:30" outlineLevel="1">
      <c r="A83" s="1089" t="s">
        <v>2757</v>
      </c>
      <c r="B83" s="1090" t="s">
        <v>2753</v>
      </c>
      <c r="C83" s="1091">
        <v>1E-3</v>
      </c>
      <c r="D83" s="1092">
        <v>1E-3</v>
      </c>
      <c r="E83" s="1002">
        <f>(D83-C83)/C83*100</f>
        <v>0</v>
      </c>
      <c r="F83" s="360" t="s">
        <v>2758</v>
      </c>
    </row>
    <row r="85" spans="1:30">
      <c r="A85" s="935" t="s">
        <v>2759</v>
      </c>
      <c r="J85" s="702" t="s">
        <v>2158</v>
      </c>
      <c r="V85" s="1367" t="s">
        <v>3481</v>
      </c>
    </row>
    <row r="86" spans="1:30" ht="15.75">
      <c r="A86" s="2431" t="s">
        <v>2070</v>
      </c>
      <c r="B86" s="2431"/>
      <c r="C86" s="2749" t="s">
        <v>2071</v>
      </c>
      <c r="D86" s="2727"/>
      <c r="E86" s="2749" t="s">
        <v>1932</v>
      </c>
      <c r="F86" s="2727"/>
      <c r="G86" s="1093" t="s">
        <v>2473</v>
      </c>
      <c r="H86" s="1094" t="s">
        <v>2760</v>
      </c>
      <c r="I86" s="1384" t="s">
        <v>3480</v>
      </c>
      <c r="J86" s="1389"/>
      <c r="K86" s="1385" t="s">
        <v>1929</v>
      </c>
      <c r="L86" s="2493" t="s">
        <v>2071</v>
      </c>
      <c r="M86" s="2612"/>
      <c r="N86" s="2732"/>
      <c r="O86" s="2431" t="s">
        <v>1932</v>
      </c>
      <c r="P86" s="2338"/>
      <c r="Q86" s="1383" t="s">
        <v>3479</v>
      </c>
      <c r="R86" s="1093" t="s">
        <v>2599</v>
      </c>
      <c r="V86" s="2431" t="s">
        <v>1929</v>
      </c>
      <c r="W86" s="2431"/>
      <c r="X86" s="2749" t="s">
        <v>1930</v>
      </c>
      <c r="Y86" s="2727"/>
      <c r="Z86" s="2749" t="s">
        <v>1932</v>
      </c>
      <c r="AA86" s="2727"/>
      <c r="AB86" s="1093" t="s">
        <v>2083</v>
      </c>
      <c r="AC86" s="1094" t="s">
        <v>2760</v>
      </c>
      <c r="AD86" s="1384" t="s">
        <v>3480</v>
      </c>
    </row>
    <row r="87" spans="1:30">
      <c r="A87" s="2896">
        <v>20</v>
      </c>
      <c r="B87" s="2898" t="s">
        <v>2761</v>
      </c>
      <c r="C87" s="1073">
        <v>1</v>
      </c>
      <c r="D87" s="1098" t="s">
        <v>2761</v>
      </c>
      <c r="E87" s="1073">
        <v>1.004</v>
      </c>
      <c r="F87" s="1098" t="s">
        <v>2761</v>
      </c>
      <c r="G87" s="787">
        <f t="shared" ref="G87:G105" si="6">(E87-C87)/C87*100</f>
        <v>0.40000000000000036</v>
      </c>
      <c r="H87" s="1099" t="s">
        <v>2762</v>
      </c>
      <c r="I87" s="954"/>
      <c r="J87" s="1386"/>
      <c r="K87" s="2918"/>
      <c r="L87" s="2925" t="e">
        <f>'[18]原始记录（高压表）'!L88:M88</f>
        <v>#REF!</v>
      </c>
      <c r="M87" s="2926"/>
      <c r="N87" s="1100" t="s">
        <v>2763</v>
      </c>
      <c r="O87" s="2925" t="e">
        <f>'[18]原始记录（高压表）'!N88:O88</f>
        <v>#REF!</v>
      </c>
      <c r="P87" s="2927"/>
      <c r="Q87" s="1101" t="e">
        <f>'[18]原始记录（高压表）'!P88</f>
        <v>#REF!</v>
      </c>
      <c r="R87" s="1093" t="e">
        <f>'[18]原始记录（高压表）'!Q88</f>
        <v>#REF!</v>
      </c>
      <c r="V87" s="2896">
        <v>20</v>
      </c>
      <c r="W87" s="2898" t="s">
        <v>2761</v>
      </c>
      <c r="X87" s="1073">
        <v>1</v>
      </c>
      <c r="Y87" s="1098" t="s">
        <v>2761</v>
      </c>
      <c r="Z87" s="1073">
        <v>1.004</v>
      </c>
      <c r="AA87" s="1098" t="s">
        <v>2761</v>
      </c>
      <c r="AB87" s="787">
        <f t="shared" ref="AB87:AB105" si="7">(Z87-X87)/X87*100</f>
        <v>0.40000000000000036</v>
      </c>
      <c r="AC87" s="1099" t="s">
        <v>2756</v>
      </c>
      <c r="AD87" s="954"/>
    </row>
    <row r="88" spans="1:30">
      <c r="A88" s="2897"/>
      <c r="B88" s="2899"/>
      <c r="C88" s="1073">
        <v>5</v>
      </c>
      <c r="D88" s="1098"/>
      <c r="E88" s="1073">
        <v>5.0119999999999996</v>
      </c>
      <c r="F88" s="1098"/>
      <c r="G88" s="787">
        <f t="shared" si="6"/>
        <v>0.23999999999999136</v>
      </c>
      <c r="H88" s="1099" t="s">
        <v>2756</v>
      </c>
      <c r="I88" s="954"/>
      <c r="J88" s="1386"/>
      <c r="K88" s="2919"/>
      <c r="L88" s="2925" t="e">
        <f>'[18]原始记录（高压表）'!L89:M89</f>
        <v>#REF!</v>
      </c>
      <c r="M88" s="2926"/>
      <c r="N88" s="1102"/>
      <c r="O88" s="2925" t="e">
        <f>'[18]原始记录（高压表）'!N89:O89</f>
        <v>#REF!</v>
      </c>
      <c r="P88" s="2927"/>
      <c r="Q88" s="1101" t="e">
        <f>'[18]原始记录（高压表）'!P89</f>
        <v>#REF!</v>
      </c>
      <c r="R88" s="1093" t="e">
        <f>'[18]原始记录（高压表）'!Q89</f>
        <v>#REF!</v>
      </c>
      <c r="V88" s="2897"/>
      <c r="W88" s="2899"/>
      <c r="X88" s="1073">
        <v>5</v>
      </c>
      <c r="Y88" s="1098"/>
      <c r="Z88" s="1073">
        <v>5.0119999999999996</v>
      </c>
      <c r="AA88" s="1098"/>
      <c r="AB88" s="787">
        <f t="shared" si="7"/>
        <v>0.23999999999999136</v>
      </c>
      <c r="AC88" s="1099" t="s">
        <v>2756</v>
      </c>
      <c r="AD88" s="954"/>
    </row>
    <row r="89" spans="1:30">
      <c r="A89" s="2897"/>
      <c r="B89" s="2899"/>
      <c r="C89" s="1073">
        <v>9</v>
      </c>
      <c r="D89" s="1098"/>
      <c r="E89" s="1073">
        <v>9.0250000000000004</v>
      </c>
      <c r="F89" s="1098"/>
      <c r="G89" s="787">
        <f t="shared" si="6"/>
        <v>0.27777777777778173</v>
      </c>
      <c r="H89" s="1099" t="s">
        <v>2764</v>
      </c>
      <c r="I89" s="954"/>
      <c r="J89" s="1386"/>
      <c r="K89" s="2919"/>
      <c r="L89" s="2925" t="e">
        <f>'[18]原始记录（高压表）'!L90:M90</f>
        <v>#REF!</v>
      </c>
      <c r="M89" s="2926"/>
      <c r="N89" s="2927"/>
      <c r="O89" s="2925" t="e">
        <f>'[18]原始记录（高压表）'!N90:O90</f>
        <v>#REF!</v>
      </c>
      <c r="P89" s="2927"/>
      <c r="Q89" s="1101" t="e">
        <f>'[18]原始记录（高压表）'!P90</f>
        <v>#REF!</v>
      </c>
      <c r="R89" s="1093" t="e">
        <f>'[18]原始记录（高压表）'!Q90</f>
        <v>#REF!</v>
      </c>
      <c r="V89" s="2897"/>
      <c r="W89" s="2899"/>
      <c r="X89" s="1073">
        <v>9</v>
      </c>
      <c r="Y89" s="1098"/>
      <c r="Z89" s="1073">
        <v>9.0250000000000004</v>
      </c>
      <c r="AA89" s="1098"/>
      <c r="AB89" s="787">
        <f t="shared" si="7"/>
        <v>0.27777777777778173</v>
      </c>
      <c r="AC89" s="1099" t="s">
        <v>2756</v>
      </c>
      <c r="AD89" s="954"/>
    </row>
    <row r="90" spans="1:30">
      <c r="A90" s="1096">
        <v>200</v>
      </c>
      <c r="B90" s="1097" t="s">
        <v>2765</v>
      </c>
      <c r="C90" s="886">
        <v>10</v>
      </c>
      <c r="D90" s="1064"/>
      <c r="E90" s="886">
        <v>9.9700000000000006</v>
      </c>
      <c r="F90" s="1064"/>
      <c r="G90" s="787">
        <f t="shared" si="6"/>
        <v>-0.29999999999999361</v>
      </c>
      <c r="H90" s="1099" t="s">
        <v>2766</v>
      </c>
      <c r="I90" s="954"/>
      <c r="J90" s="1386"/>
      <c r="K90" s="2919"/>
      <c r="L90" s="2908" t="e">
        <f>'[18]原始记录（高压表）'!L91:M91</f>
        <v>#REF!</v>
      </c>
      <c r="M90" s="2909"/>
      <c r="N90" s="2910"/>
      <c r="O90" s="2908" t="e">
        <f>'[18]原始记录（高压表）'!N91:O91</f>
        <v>#REF!</v>
      </c>
      <c r="P90" s="2910"/>
      <c r="Q90" s="1103" t="e">
        <f>'[18]原始记录（高压表）'!P91</f>
        <v>#REF!</v>
      </c>
      <c r="R90" s="1093" t="e">
        <f>'[18]原始记录（高压表）'!Q91</f>
        <v>#REF!</v>
      </c>
      <c r="T90" s="2924" t="s">
        <v>2767</v>
      </c>
      <c r="U90" s="2924"/>
      <c r="V90" s="1096">
        <v>200</v>
      </c>
      <c r="W90" s="1097" t="s">
        <v>2761</v>
      </c>
      <c r="X90" s="886">
        <v>10</v>
      </c>
      <c r="Y90" s="1064"/>
      <c r="Z90" s="886">
        <v>9.9700000000000006</v>
      </c>
      <c r="AA90" s="1064"/>
      <c r="AB90" s="787">
        <f t="shared" si="7"/>
        <v>-0.29999999999999361</v>
      </c>
      <c r="AC90" s="1099" t="s">
        <v>2756</v>
      </c>
      <c r="AD90" s="954"/>
    </row>
    <row r="91" spans="1:30">
      <c r="A91" s="2896">
        <v>2</v>
      </c>
      <c r="B91" s="2898" t="s">
        <v>2190</v>
      </c>
      <c r="C91" s="1104">
        <v>1.2</v>
      </c>
      <c r="D91" s="1105" t="s">
        <v>2190</v>
      </c>
      <c r="E91" s="1104">
        <v>1.2044999999999999</v>
      </c>
      <c r="F91" s="1105"/>
      <c r="G91" s="787">
        <f t="shared" si="6"/>
        <v>0.37499999999999573</v>
      </c>
      <c r="H91" s="1099" t="s">
        <v>2764</v>
      </c>
      <c r="I91" s="954"/>
      <c r="J91" s="1386"/>
      <c r="K91" s="2919"/>
      <c r="L91" s="2908" t="e">
        <f>'[18]原始记录（高压表）'!L92:M92</f>
        <v>#REF!</v>
      </c>
      <c r="M91" s="2909"/>
      <c r="N91" s="2910"/>
      <c r="O91" s="2908" t="e">
        <f>'[18]原始记录（高压表）'!N92:O92</f>
        <v>#REF!</v>
      </c>
      <c r="P91" s="2910"/>
      <c r="Q91" s="1103" t="e">
        <f>'[18]原始记录（高压表）'!P92</f>
        <v>#REF!</v>
      </c>
      <c r="R91" s="1093" t="e">
        <f>'[18]原始记录（高压表）'!Q92</f>
        <v>#REF!</v>
      </c>
      <c r="T91" s="2924"/>
      <c r="U91" s="2924"/>
      <c r="V91" s="2896">
        <v>2</v>
      </c>
      <c r="W91" s="2898" t="s">
        <v>2190</v>
      </c>
      <c r="X91" s="1104">
        <v>1.2</v>
      </c>
      <c r="Y91" s="1105" t="s">
        <v>2190</v>
      </c>
      <c r="Z91" s="1104">
        <v>1.2044999999999999</v>
      </c>
      <c r="AA91" s="1105"/>
      <c r="AB91" s="787">
        <f t="shared" si="7"/>
        <v>0.37499999999999573</v>
      </c>
      <c r="AC91" s="1099" t="s">
        <v>2756</v>
      </c>
      <c r="AD91" s="954"/>
    </row>
    <row r="92" spans="1:30">
      <c r="A92" s="2897"/>
      <c r="B92" s="2899"/>
      <c r="C92" s="1104">
        <v>1.6</v>
      </c>
      <c r="D92" s="1105"/>
      <c r="E92" s="1104">
        <v>1.6052</v>
      </c>
      <c r="F92" s="1105"/>
      <c r="G92" s="787">
        <f t="shared" si="6"/>
        <v>0.32499999999999196</v>
      </c>
      <c r="H92" s="1099" t="s">
        <v>2764</v>
      </c>
      <c r="I92" s="954"/>
      <c r="J92" s="1386"/>
      <c r="K92" s="2920"/>
      <c r="L92" s="2908" t="e">
        <f>'[18]原始记录（高压表）'!L93:M93</f>
        <v>#REF!</v>
      </c>
      <c r="M92" s="2909"/>
      <c r="N92" s="2910"/>
      <c r="O92" s="2908" t="e">
        <f>'[18]原始记录（高压表）'!N93:O93</f>
        <v>#REF!</v>
      </c>
      <c r="P92" s="2910"/>
      <c r="Q92" s="1103" t="e">
        <f>'[18]原始记录（高压表）'!P93</f>
        <v>#REF!</v>
      </c>
      <c r="R92" s="1093" t="e">
        <f>'[18]原始记录（高压表）'!Q93</f>
        <v>#REF!</v>
      </c>
      <c r="T92" s="2924"/>
      <c r="U92" s="2924"/>
      <c r="V92" s="2897"/>
      <c r="W92" s="2899"/>
      <c r="X92" s="1104">
        <v>1.6</v>
      </c>
      <c r="Y92" s="1105"/>
      <c r="Z92" s="1104">
        <v>1.6052</v>
      </c>
      <c r="AA92" s="1105"/>
      <c r="AB92" s="787">
        <f t="shared" si="7"/>
        <v>0.32499999999999196</v>
      </c>
      <c r="AC92" s="1099" t="s">
        <v>2756</v>
      </c>
      <c r="AD92" s="954"/>
    </row>
    <row r="93" spans="1:30">
      <c r="A93" s="2897"/>
      <c r="B93" s="2899"/>
      <c r="C93" s="1104">
        <v>1.8</v>
      </c>
      <c r="D93" s="1105"/>
      <c r="E93" s="1104">
        <v>1.8055000000000001</v>
      </c>
      <c r="F93" s="1105"/>
      <c r="G93" s="787">
        <f t="shared" si="6"/>
        <v>0.30555555555555891</v>
      </c>
      <c r="H93" s="1099" t="s">
        <v>2764</v>
      </c>
      <c r="I93" s="954"/>
      <c r="J93" s="1387"/>
      <c r="K93" s="2904" t="e">
        <f>'[18]原始记录（高压表）'!K95</f>
        <v>#REF!</v>
      </c>
      <c r="L93" s="2928" t="e">
        <f>'[18]原始记录（高压表）'!L95:M95</f>
        <v>#REF!</v>
      </c>
      <c r="M93" s="2929"/>
      <c r="N93" s="755" t="s">
        <v>2768</v>
      </c>
      <c r="O93" s="2928" t="e">
        <f>'[18]原始记录（高压表）'!N95:O95</f>
        <v>#REF!</v>
      </c>
      <c r="P93" s="2934"/>
      <c r="Q93" s="1103" t="e">
        <f>'[18]原始记录（高压表）'!P95</f>
        <v>#REF!</v>
      </c>
      <c r="R93" s="1093" t="e">
        <f>'[18]原始记录（高压表）'!Q95</f>
        <v>#REF!</v>
      </c>
      <c r="T93" s="2924"/>
      <c r="U93" s="2924"/>
      <c r="V93" s="2897"/>
      <c r="W93" s="2899"/>
      <c r="X93" s="1104">
        <v>1.8</v>
      </c>
      <c r="Y93" s="1105"/>
      <c r="Z93" s="1104">
        <v>1.8055000000000001</v>
      </c>
      <c r="AA93" s="1105"/>
      <c r="AB93" s="787">
        <f t="shared" si="7"/>
        <v>0.30555555555555891</v>
      </c>
      <c r="AC93" s="1099" t="s">
        <v>2756</v>
      </c>
      <c r="AD93" s="954"/>
    </row>
    <row r="94" spans="1:30">
      <c r="A94" s="2896">
        <v>20</v>
      </c>
      <c r="B94" s="2898" t="s">
        <v>2769</v>
      </c>
      <c r="C94" s="1073">
        <v>12</v>
      </c>
      <c r="D94" s="1098"/>
      <c r="E94" s="1073">
        <v>12.007</v>
      </c>
      <c r="F94" s="1098"/>
      <c r="G94" s="787">
        <f t="shared" si="6"/>
        <v>5.8333333333330607E-2</v>
      </c>
      <c r="H94" s="1099" t="s">
        <v>2770</v>
      </c>
      <c r="I94" s="954"/>
      <c r="J94" s="1387"/>
      <c r="K94" s="2905"/>
      <c r="L94" s="2928" t="e">
        <f>'[18]原始记录（高压表）'!L96:M96</f>
        <v>#REF!</v>
      </c>
      <c r="M94" s="2929"/>
      <c r="N94" s="2934"/>
      <c r="O94" s="2928" t="e">
        <f>'[18]原始记录（高压表）'!N96:O96</f>
        <v>#REF!</v>
      </c>
      <c r="P94" s="2934"/>
      <c r="Q94" s="1103" t="e">
        <f>'[18]原始记录（高压表）'!P96</f>
        <v>#REF!</v>
      </c>
      <c r="R94" s="1093" t="e">
        <f>'[18]原始记录（高压表）'!Q96</f>
        <v>#REF!</v>
      </c>
      <c r="T94" s="2924"/>
      <c r="U94" s="2924"/>
      <c r="V94" s="2896">
        <v>20</v>
      </c>
      <c r="W94" s="2898" t="s">
        <v>2190</v>
      </c>
      <c r="X94" s="1073">
        <v>12</v>
      </c>
      <c r="Y94" s="1098"/>
      <c r="Z94" s="1073">
        <v>12.007</v>
      </c>
      <c r="AA94" s="1098"/>
      <c r="AB94" s="787">
        <f t="shared" si="7"/>
        <v>5.8333333333330607E-2</v>
      </c>
      <c r="AC94" s="1099" t="s">
        <v>2756</v>
      </c>
      <c r="AD94" s="954"/>
    </row>
    <row r="95" spans="1:30">
      <c r="A95" s="2897"/>
      <c r="B95" s="2899"/>
      <c r="C95" s="1073">
        <v>16</v>
      </c>
      <c r="D95" s="1098"/>
      <c r="E95" s="1073">
        <v>16.004999999999999</v>
      </c>
      <c r="F95" s="1098"/>
      <c r="G95" s="787">
        <f t="shared" si="6"/>
        <v>3.1249999999993783E-2</v>
      </c>
      <c r="H95" s="1099" t="s">
        <v>2770</v>
      </c>
      <c r="I95" s="954"/>
      <c r="J95" s="1387"/>
      <c r="K95" s="2906"/>
      <c r="L95" s="2928" t="e">
        <f>'[18]原始记录（高压表）'!L97:M97</f>
        <v>#REF!</v>
      </c>
      <c r="M95" s="2929"/>
      <c r="N95" s="2934"/>
      <c r="O95" s="2928" t="e">
        <f>'[18]原始记录（高压表）'!N97:O97</f>
        <v>#REF!</v>
      </c>
      <c r="P95" s="2934"/>
      <c r="Q95" s="1103" t="e">
        <f>'[18]原始记录（高压表）'!P97</f>
        <v>#REF!</v>
      </c>
      <c r="R95" s="1093" t="e">
        <f>'[18]原始记录（高压表）'!Q97</f>
        <v>#REF!</v>
      </c>
      <c r="V95" s="2897"/>
      <c r="W95" s="2899"/>
      <c r="X95" s="1073">
        <v>16</v>
      </c>
      <c r="Y95" s="1098"/>
      <c r="Z95" s="1073">
        <v>16.004999999999999</v>
      </c>
      <c r="AA95" s="1098"/>
      <c r="AB95" s="787">
        <f t="shared" si="7"/>
        <v>3.1249999999993783E-2</v>
      </c>
      <c r="AC95" s="1099" t="s">
        <v>2756</v>
      </c>
      <c r="AD95" s="954"/>
    </row>
    <row r="96" spans="1:30">
      <c r="A96" s="2897"/>
      <c r="B96" s="2899"/>
      <c r="C96" s="1073">
        <v>18</v>
      </c>
      <c r="D96" s="1098"/>
      <c r="E96" s="1073">
        <v>18.007999999999999</v>
      </c>
      <c r="F96" s="1098"/>
      <c r="G96" s="787">
        <f t="shared" si="6"/>
        <v>4.4444444444439554E-2</v>
      </c>
      <c r="H96" s="1099" t="s">
        <v>2771</v>
      </c>
      <c r="I96" s="954"/>
      <c r="J96" s="1387"/>
      <c r="K96" s="2904" t="e">
        <f>'[18]原始记录（高压表）'!K98</f>
        <v>#REF!</v>
      </c>
      <c r="L96" s="2921" t="e">
        <f>'[18]原始记录（高压表）'!L98:M98</f>
        <v>#REF!</v>
      </c>
      <c r="M96" s="2922"/>
      <c r="N96" s="2923"/>
      <c r="O96" s="2921" t="e">
        <f>'[18]原始记录（高压表）'!N98:O98</f>
        <v>#REF!</v>
      </c>
      <c r="P96" s="2923"/>
      <c r="Q96" s="1103" t="e">
        <f>'[18]原始记录（高压表）'!P98</f>
        <v>#REF!</v>
      </c>
      <c r="R96" s="1093" t="e">
        <f>'[18]原始记录（高压表）'!Q98</f>
        <v>#REF!</v>
      </c>
      <c r="V96" s="2897"/>
      <c r="W96" s="2899"/>
      <c r="X96" s="1073">
        <v>18</v>
      </c>
      <c r="Y96" s="1098"/>
      <c r="Z96" s="1073">
        <v>18.007999999999999</v>
      </c>
      <c r="AA96" s="1098"/>
      <c r="AB96" s="787">
        <f t="shared" si="7"/>
        <v>4.4444444444439554E-2</v>
      </c>
      <c r="AC96" s="1099" t="s">
        <v>2756</v>
      </c>
      <c r="AD96" s="954"/>
    </row>
    <row r="97" spans="1:30">
      <c r="A97" s="2896">
        <v>200</v>
      </c>
      <c r="B97" s="2898" t="s">
        <v>2772</v>
      </c>
      <c r="C97" s="886">
        <v>120</v>
      </c>
      <c r="D97" s="1064"/>
      <c r="E97" s="886">
        <v>119.95</v>
      </c>
      <c r="F97" s="1064"/>
      <c r="G97" s="787">
        <f t="shared" si="6"/>
        <v>-4.1666666666664298E-2</v>
      </c>
      <c r="H97" s="1099" t="s">
        <v>2771</v>
      </c>
      <c r="I97" s="954"/>
      <c r="J97" s="1387"/>
      <c r="K97" s="2905"/>
      <c r="L97" s="2921" t="e">
        <f>'[18]原始记录（高压表）'!L99:M99</f>
        <v>#REF!</v>
      </c>
      <c r="M97" s="2922"/>
      <c r="N97" s="2923"/>
      <c r="O97" s="2921" t="e">
        <f>'[18]原始记录（高压表）'!N99:O99</f>
        <v>#REF!</v>
      </c>
      <c r="P97" s="2923"/>
      <c r="Q97" s="1103" t="e">
        <f>'[18]原始记录（高压表）'!P99</f>
        <v>#REF!</v>
      </c>
      <c r="R97" s="1093" t="e">
        <f>'[18]原始记录（高压表）'!Q99</f>
        <v>#REF!</v>
      </c>
      <c r="V97" s="2896">
        <v>200</v>
      </c>
      <c r="W97" s="2898" t="s">
        <v>2190</v>
      </c>
      <c r="X97" s="886">
        <v>120</v>
      </c>
      <c r="Y97" s="1064"/>
      <c r="Z97" s="886">
        <v>119.95</v>
      </c>
      <c r="AA97" s="1064"/>
      <c r="AB97" s="787">
        <f t="shared" si="7"/>
        <v>-4.1666666666664298E-2</v>
      </c>
      <c r="AC97" s="1099" t="s">
        <v>2756</v>
      </c>
      <c r="AD97" s="954"/>
    </row>
    <row r="98" spans="1:30">
      <c r="A98" s="2897"/>
      <c r="B98" s="2899"/>
      <c r="C98" s="886">
        <v>160</v>
      </c>
      <c r="D98" s="1064"/>
      <c r="E98" s="886">
        <v>159.94</v>
      </c>
      <c r="F98" s="1064"/>
      <c r="G98" s="787">
        <f t="shared" si="6"/>
        <v>-3.7500000000001421E-2</v>
      </c>
      <c r="H98" s="1099" t="s">
        <v>2773</v>
      </c>
      <c r="I98" s="954"/>
      <c r="J98" s="1387"/>
      <c r="K98" s="2906"/>
      <c r="L98" s="2921" t="e">
        <f>'[18]原始记录（高压表）'!L100:M100</f>
        <v>#REF!</v>
      </c>
      <c r="M98" s="2922"/>
      <c r="N98" s="2923"/>
      <c r="O98" s="2921" t="e">
        <f>'[18]原始记录（高压表）'!N100:O100</f>
        <v>#REF!</v>
      </c>
      <c r="P98" s="2923"/>
      <c r="Q98" s="1103" t="e">
        <f>'[18]原始记录（高压表）'!P100</f>
        <v>#REF!</v>
      </c>
      <c r="R98" s="1093" t="e">
        <f>'[18]原始记录（高压表）'!Q100</f>
        <v>#REF!</v>
      </c>
      <c r="V98" s="2897"/>
      <c r="W98" s="2899"/>
      <c r="X98" s="886">
        <v>160</v>
      </c>
      <c r="Y98" s="1064"/>
      <c r="Z98" s="886">
        <v>159.94</v>
      </c>
      <c r="AA98" s="1064"/>
      <c r="AB98" s="787">
        <f t="shared" si="7"/>
        <v>-3.7500000000001421E-2</v>
      </c>
      <c r="AC98" s="1099" t="s">
        <v>2756</v>
      </c>
      <c r="AD98" s="954"/>
    </row>
    <row r="99" spans="1:30">
      <c r="A99" s="2900"/>
      <c r="B99" s="2899"/>
      <c r="C99" s="886">
        <v>180</v>
      </c>
      <c r="D99" s="1064"/>
      <c r="E99" s="886">
        <v>179.95</v>
      </c>
      <c r="F99" s="1064"/>
      <c r="G99" s="787">
        <f t="shared" si="6"/>
        <v>-2.7777777777784094E-2</v>
      </c>
      <c r="H99" s="1099" t="s">
        <v>2774</v>
      </c>
      <c r="I99" s="954"/>
      <c r="J99" s="1387"/>
      <c r="K99" s="2904" t="e">
        <f>'[18]原始记录（高压表）'!K101</f>
        <v>#REF!</v>
      </c>
      <c r="L99" s="2908" t="e">
        <f>'[18]原始记录（高压表）'!L101:M101</f>
        <v>#REF!</v>
      </c>
      <c r="M99" s="2909"/>
      <c r="N99" s="2910"/>
      <c r="O99" s="2908" t="e">
        <f>'[18]原始记录（高压表）'!N101:O101</f>
        <v>#REF!</v>
      </c>
      <c r="P99" s="2910"/>
      <c r="Q99" s="1103" t="e">
        <f>'[18]原始记录（高压表）'!P101</f>
        <v>#REF!</v>
      </c>
      <c r="R99" s="1093" t="e">
        <f>'[18]原始记录（高压表）'!Q101</f>
        <v>#REF!</v>
      </c>
      <c r="V99" s="2900"/>
      <c r="W99" s="2899"/>
      <c r="X99" s="886">
        <v>180</v>
      </c>
      <c r="Y99" s="1064"/>
      <c r="Z99" s="886">
        <v>179.95</v>
      </c>
      <c r="AA99" s="1064"/>
      <c r="AB99" s="787">
        <f t="shared" si="7"/>
        <v>-2.7777777777784094E-2</v>
      </c>
      <c r="AC99" s="1099" t="s">
        <v>2756</v>
      </c>
      <c r="AD99" s="954"/>
    </row>
    <row r="100" spans="1:30">
      <c r="A100" s="2896" t="s">
        <v>2775</v>
      </c>
      <c r="B100" s="2898" t="s">
        <v>2776</v>
      </c>
      <c r="C100" s="1104">
        <v>1</v>
      </c>
      <c r="D100" s="1105"/>
      <c r="E100" s="1104">
        <v>1.0004999999999999</v>
      </c>
      <c r="F100" s="1105"/>
      <c r="G100" s="787">
        <f t="shared" si="6"/>
        <v>4.9999999999994493E-2</v>
      </c>
      <c r="H100" s="1099" t="s">
        <v>2777</v>
      </c>
      <c r="I100" s="954"/>
      <c r="J100" s="1387"/>
      <c r="K100" s="2905"/>
      <c r="L100" s="2908" t="e">
        <f>'[18]原始记录（高压表）'!L102:M102</f>
        <v>#REF!</v>
      </c>
      <c r="M100" s="2909"/>
      <c r="N100" s="2910"/>
      <c r="O100" s="2908" t="e">
        <f>'[18]原始记录（高压表）'!N102:O102</f>
        <v>#REF!</v>
      </c>
      <c r="P100" s="2910"/>
      <c r="Q100" s="1103" t="e">
        <f>'[18]原始记录（高压表）'!P102</f>
        <v>#REF!</v>
      </c>
      <c r="R100" s="1093" t="e">
        <f>'[18]原始记录（高压表）'!Q102</f>
        <v>#REF!</v>
      </c>
      <c r="V100" s="2896" t="s">
        <v>2775</v>
      </c>
      <c r="W100" s="2898" t="s">
        <v>2190</v>
      </c>
      <c r="X100" s="1104">
        <v>1</v>
      </c>
      <c r="Y100" s="1105"/>
      <c r="Z100" s="1104">
        <v>1.0004999999999999</v>
      </c>
      <c r="AA100" s="1105"/>
      <c r="AB100" s="787">
        <f t="shared" si="7"/>
        <v>4.9999999999994493E-2</v>
      </c>
      <c r="AC100" s="1099" t="s">
        <v>2756</v>
      </c>
      <c r="AD100" s="954"/>
    </row>
    <row r="101" spans="1:30">
      <c r="A101" s="2897"/>
      <c r="B101" s="2899"/>
      <c r="C101" s="1104">
        <v>1.5</v>
      </c>
      <c r="D101" s="1105"/>
      <c r="E101" s="1104">
        <v>1.4994000000000001</v>
      </c>
      <c r="F101" s="1105"/>
      <c r="G101" s="787">
        <f t="shared" si="6"/>
        <v>-3.9999999999995595E-2</v>
      </c>
      <c r="H101" s="1099" t="s">
        <v>2774</v>
      </c>
      <c r="I101" s="954"/>
      <c r="J101" s="1387"/>
      <c r="K101" s="2906"/>
      <c r="L101" s="2908" t="e">
        <f>'[18]原始记录（高压表）'!L103:M103</f>
        <v>#REF!</v>
      </c>
      <c r="M101" s="2909"/>
      <c r="N101" s="2910"/>
      <c r="O101" s="2908" t="e">
        <f>'[18]原始记录（高压表）'!N103:O103</f>
        <v>#REF!</v>
      </c>
      <c r="P101" s="2910"/>
      <c r="Q101" s="1103" t="e">
        <f>'[18]原始记录（高压表）'!P103</f>
        <v>#REF!</v>
      </c>
      <c r="R101" s="1093" t="e">
        <f>'[18]原始记录（高压表）'!Q103</f>
        <v>#REF!</v>
      </c>
      <c r="V101" s="2897"/>
      <c r="W101" s="2899"/>
      <c r="X101" s="1104">
        <v>1.5</v>
      </c>
      <c r="Y101" s="1105"/>
      <c r="Z101" s="1104">
        <v>1.4994000000000001</v>
      </c>
      <c r="AA101" s="1105"/>
      <c r="AB101" s="787">
        <f t="shared" si="7"/>
        <v>-3.9999999999995595E-2</v>
      </c>
      <c r="AC101" s="1099" t="s">
        <v>2756</v>
      </c>
      <c r="AD101" s="954"/>
    </row>
    <row r="102" spans="1:30" ht="14.25" customHeight="1">
      <c r="A102" s="2897"/>
      <c r="B102" s="2899"/>
      <c r="C102" s="1104">
        <v>2</v>
      </c>
      <c r="D102" s="1105"/>
      <c r="E102" s="1104">
        <v>2.0005000000000002</v>
      </c>
      <c r="F102" s="1105"/>
      <c r="G102" s="787">
        <f t="shared" si="6"/>
        <v>2.5000000000008349E-2</v>
      </c>
      <c r="H102" s="1099" t="s">
        <v>2778</v>
      </c>
      <c r="I102" s="954"/>
      <c r="J102" s="1388"/>
      <c r="K102" s="2902" t="e">
        <f>'[18]原始记录（高压表）'!K105</f>
        <v>#REF!</v>
      </c>
      <c r="L102" s="2914" t="e">
        <f>'[18]原始记录（高压表）'!L105:M105</f>
        <v>#REF!</v>
      </c>
      <c r="M102" s="2915"/>
      <c r="N102" s="2916"/>
      <c r="O102" s="2914" t="e">
        <f>'[18]原始记录（高压表）'!N105:O105</f>
        <v>#REF!</v>
      </c>
      <c r="P102" s="2916"/>
      <c r="Q102" s="1107" t="e">
        <f>'[18]原始记录（高压表）'!P105</f>
        <v>#REF!</v>
      </c>
      <c r="R102" s="1093" t="e">
        <f>'[18]原始记录（高压表）'!Q105</f>
        <v>#REF!</v>
      </c>
      <c r="V102" s="2897"/>
      <c r="W102" s="2899"/>
      <c r="X102" s="1104">
        <v>2</v>
      </c>
      <c r="Y102" s="1105"/>
      <c r="Z102" s="1104">
        <v>2.0005000000000002</v>
      </c>
      <c r="AA102" s="1105"/>
      <c r="AB102" s="787">
        <f t="shared" si="7"/>
        <v>2.5000000000008349E-2</v>
      </c>
      <c r="AC102" s="1099" t="s">
        <v>2756</v>
      </c>
      <c r="AD102" s="954"/>
    </row>
    <row r="103" spans="1:30">
      <c r="A103" s="2896" t="s">
        <v>2779</v>
      </c>
      <c r="B103" s="2898" t="s">
        <v>2780</v>
      </c>
      <c r="C103" s="1073">
        <v>10</v>
      </c>
      <c r="D103" s="1098"/>
      <c r="E103" s="1073">
        <v>10.007999999999999</v>
      </c>
      <c r="F103" s="1098"/>
      <c r="G103" s="787">
        <f t="shared" si="6"/>
        <v>7.9999999999991189E-2</v>
      </c>
      <c r="H103" s="1099" t="s">
        <v>2781</v>
      </c>
      <c r="I103" s="954"/>
      <c r="J103" s="1388"/>
      <c r="K103" s="2907"/>
      <c r="L103" s="2914" t="e">
        <f>'[18]原始记录（高压表）'!L106:M106</f>
        <v>#REF!</v>
      </c>
      <c r="M103" s="2915"/>
      <c r="N103" s="2916"/>
      <c r="O103" s="2914" t="e">
        <f>'[18]原始记录（高压表）'!N106:O106</f>
        <v>#REF!</v>
      </c>
      <c r="P103" s="2916"/>
      <c r="Q103" s="1107" t="e">
        <f>'[18]原始记录（高压表）'!P106</f>
        <v>#REF!</v>
      </c>
      <c r="R103" s="1093" t="e">
        <f>'[18]原始记录（高压表）'!Q106</f>
        <v>#REF!</v>
      </c>
      <c r="V103" s="2896" t="s">
        <v>2779</v>
      </c>
      <c r="W103" s="2898" t="s">
        <v>2190</v>
      </c>
      <c r="X103" s="1073">
        <v>10</v>
      </c>
      <c r="Y103" s="1098"/>
      <c r="Z103" s="1073">
        <v>10.007999999999999</v>
      </c>
      <c r="AA103" s="1098"/>
      <c r="AB103" s="787">
        <f t="shared" si="7"/>
        <v>7.9999999999991189E-2</v>
      </c>
      <c r="AC103" s="1099" t="s">
        <v>2756</v>
      </c>
      <c r="AD103" s="954"/>
    </row>
    <row r="104" spans="1:30">
      <c r="A104" s="2897"/>
      <c r="B104" s="2899"/>
      <c r="C104" s="1073">
        <v>15</v>
      </c>
      <c r="D104" s="1098"/>
      <c r="E104" s="1073">
        <v>15.009</v>
      </c>
      <c r="F104" s="1098"/>
      <c r="G104" s="787">
        <f t="shared" si="6"/>
        <v>6.0000000000002274E-2</v>
      </c>
      <c r="H104" s="1099" t="s">
        <v>2774</v>
      </c>
      <c r="I104" s="954"/>
      <c r="J104" s="1388"/>
      <c r="K104" s="2903"/>
      <c r="L104" s="2914" t="e">
        <f>'[18]原始记录（高压表）'!L107:M107</f>
        <v>#REF!</v>
      </c>
      <c r="M104" s="2915"/>
      <c r="N104" s="2916"/>
      <c r="O104" s="2914" t="e">
        <f>'[18]原始记录（高压表）'!N107:O107</f>
        <v>#REF!</v>
      </c>
      <c r="P104" s="2916"/>
      <c r="Q104" s="1107" t="e">
        <f>'[18]原始记录（高压表）'!P107</f>
        <v>#REF!</v>
      </c>
      <c r="R104" s="1093" t="e">
        <f>'[18]原始记录（高压表）'!Q107</f>
        <v>#REF!</v>
      </c>
      <c r="V104" s="2897"/>
      <c r="W104" s="2899"/>
      <c r="X104" s="1073">
        <v>15</v>
      </c>
      <c r="Y104" s="1098"/>
      <c r="Z104" s="1073">
        <v>15.009</v>
      </c>
      <c r="AA104" s="1098"/>
      <c r="AB104" s="787">
        <f t="shared" si="7"/>
        <v>6.0000000000002274E-2</v>
      </c>
      <c r="AC104" s="1099" t="s">
        <v>2756</v>
      </c>
      <c r="AD104" s="954"/>
    </row>
    <row r="105" spans="1:30">
      <c r="A105" s="2900"/>
      <c r="B105" s="2901"/>
      <c r="C105" s="1073">
        <v>20</v>
      </c>
      <c r="D105" s="1098"/>
      <c r="E105" s="1073">
        <v>20.006</v>
      </c>
      <c r="F105" s="1098"/>
      <c r="G105" s="787">
        <f t="shared" si="6"/>
        <v>3.0000000000001137E-2</v>
      </c>
      <c r="H105" s="1099" t="s">
        <v>2782</v>
      </c>
      <c r="I105" s="954"/>
      <c r="J105" s="1388"/>
      <c r="K105" s="2902" t="e">
        <f>'[18]原始记录（高压表）'!K108</f>
        <v>#REF!</v>
      </c>
      <c r="L105" s="2911" t="e">
        <f>'[18]原始记录（高压表）'!L108:M108</f>
        <v>#REF!</v>
      </c>
      <c r="M105" s="2912"/>
      <c r="N105" s="2913"/>
      <c r="O105" s="2911" t="e">
        <f>'[18]原始记录（高压表）'!N108:O108</f>
        <v>#REF!</v>
      </c>
      <c r="P105" s="2913"/>
      <c r="Q105" s="1107" t="e">
        <f>'[18]原始记录（高压表）'!P108</f>
        <v>#REF!</v>
      </c>
      <c r="R105" s="1093" t="e">
        <f>'[18]原始记录（高压表）'!Q108</f>
        <v>#REF!</v>
      </c>
      <c r="V105" s="2900"/>
      <c r="W105" s="2901"/>
      <c r="X105" s="1073">
        <v>20</v>
      </c>
      <c r="Y105" s="1098"/>
      <c r="Z105" s="1073">
        <v>20.006</v>
      </c>
      <c r="AA105" s="1098"/>
      <c r="AB105" s="787">
        <f t="shared" si="7"/>
        <v>3.0000000000001137E-2</v>
      </c>
      <c r="AC105" s="1099" t="s">
        <v>2756</v>
      </c>
      <c r="AD105" s="954"/>
    </row>
    <row r="106" spans="1:30">
      <c r="J106" s="1388"/>
      <c r="K106" s="2903"/>
      <c r="L106" s="2911" t="e">
        <f>'[18]原始记录（高压表）'!L109:M109</f>
        <v>#REF!</v>
      </c>
      <c r="M106" s="2912"/>
      <c r="N106" s="2913"/>
      <c r="O106" s="2911" t="e">
        <f>'[18]原始记录（高压表）'!N109:O109</f>
        <v>#REF!</v>
      </c>
      <c r="P106" s="2913"/>
      <c r="Q106" s="1107" t="e">
        <f>'[18]原始记录（高压表）'!P109</f>
        <v>#REF!</v>
      </c>
      <c r="R106" s="1093" t="e">
        <f>'[18]原始记录（高压表）'!Q109</f>
        <v>#REF!</v>
      </c>
    </row>
  </sheetData>
  <mergeCells count="137">
    <mergeCell ref="A65:F65"/>
    <mergeCell ref="A78:F78"/>
    <mergeCell ref="A40:J40"/>
    <mergeCell ref="A42:J42"/>
    <mergeCell ref="A43:B43"/>
    <mergeCell ref="D43:F43"/>
    <mergeCell ref="A52:F52"/>
    <mergeCell ref="A53:F53"/>
    <mergeCell ref="D36:F36"/>
    <mergeCell ref="I36:J36"/>
    <mergeCell ref="D35:F35"/>
    <mergeCell ref="I35:J35"/>
    <mergeCell ref="D32:F32"/>
    <mergeCell ref="D37:F37"/>
    <mergeCell ref="I37:J37"/>
    <mergeCell ref="B39:F39"/>
    <mergeCell ref="G39:J39"/>
    <mergeCell ref="D38:F38"/>
    <mergeCell ref="I38:J38"/>
    <mergeCell ref="I34:J34"/>
    <mergeCell ref="A2:C2"/>
    <mergeCell ref="A15:J15"/>
    <mergeCell ref="A16:A17"/>
    <mergeCell ref="I16:J16"/>
    <mergeCell ref="D17:F17"/>
    <mergeCell ref="I17:J17"/>
    <mergeCell ref="D18:F18"/>
    <mergeCell ref="I18:J18"/>
    <mergeCell ref="D19:F19"/>
    <mergeCell ref="I19:J19"/>
    <mergeCell ref="D20:F20"/>
    <mergeCell ref="I20:J20"/>
    <mergeCell ref="I24:J24"/>
    <mergeCell ref="D25:F25"/>
    <mergeCell ref="I25:J25"/>
    <mergeCell ref="D26:F26"/>
    <mergeCell ref="I26:J26"/>
    <mergeCell ref="B27:F27"/>
    <mergeCell ref="G27:J27"/>
    <mergeCell ref="D21:F21"/>
    <mergeCell ref="I21:J21"/>
    <mergeCell ref="D22:F22"/>
    <mergeCell ref="I22:J22"/>
    <mergeCell ref="D23:F23"/>
    <mergeCell ref="I23:J23"/>
    <mergeCell ref="D24:F24"/>
    <mergeCell ref="A28:A29"/>
    <mergeCell ref="D29:F29"/>
    <mergeCell ref="I29:J29"/>
    <mergeCell ref="O101:P101"/>
    <mergeCell ref="O93:P93"/>
    <mergeCell ref="L94:N94"/>
    <mergeCell ref="O94:P94"/>
    <mergeCell ref="L95:N95"/>
    <mergeCell ref="O95:P95"/>
    <mergeCell ref="L96:N96"/>
    <mergeCell ref="O96:P96"/>
    <mergeCell ref="A86:B86"/>
    <mergeCell ref="C86:D86"/>
    <mergeCell ref="E86:F86"/>
    <mergeCell ref="A87:A89"/>
    <mergeCell ref="B87:B89"/>
    <mergeCell ref="D30:F30"/>
    <mergeCell ref="I30:J30"/>
    <mergeCell ref="D31:F31"/>
    <mergeCell ref="I31:J31"/>
    <mergeCell ref="I32:J32"/>
    <mergeCell ref="D33:F33"/>
    <mergeCell ref="I33:J33"/>
    <mergeCell ref="D34:F34"/>
    <mergeCell ref="A103:A105"/>
    <mergeCell ref="B103:B105"/>
    <mergeCell ref="A100:A102"/>
    <mergeCell ref="B100:B102"/>
    <mergeCell ref="A97:A99"/>
    <mergeCell ref="B97:B99"/>
    <mergeCell ref="A94:A96"/>
    <mergeCell ref="B94:B96"/>
    <mergeCell ref="A91:A93"/>
    <mergeCell ref="B91:B93"/>
    <mergeCell ref="Z86:AA86"/>
    <mergeCell ref="V87:V89"/>
    <mergeCell ref="W87:W89"/>
    <mergeCell ref="V91:V93"/>
    <mergeCell ref="W91:W93"/>
    <mergeCell ref="V94:V96"/>
    <mergeCell ref="W94:W96"/>
    <mergeCell ref="V97:V99"/>
    <mergeCell ref="W97:W99"/>
    <mergeCell ref="N17:R17"/>
    <mergeCell ref="K87:K92"/>
    <mergeCell ref="K93:K95"/>
    <mergeCell ref="K96:K98"/>
    <mergeCell ref="L98:N98"/>
    <mergeCell ref="O98:P98"/>
    <mergeCell ref="L90:N90"/>
    <mergeCell ref="O90:P90"/>
    <mergeCell ref="T90:U94"/>
    <mergeCell ref="L91:N91"/>
    <mergeCell ref="O91:P91"/>
    <mergeCell ref="L92:N92"/>
    <mergeCell ref="O92:P92"/>
    <mergeCell ref="L86:N86"/>
    <mergeCell ref="O86:P86"/>
    <mergeCell ref="L87:M87"/>
    <mergeCell ref="O87:P87"/>
    <mergeCell ref="L97:N97"/>
    <mergeCell ref="O97:P97"/>
    <mergeCell ref="L93:M93"/>
    <mergeCell ref="L88:M88"/>
    <mergeCell ref="O88:P88"/>
    <mergeCell ref="L89:N89"/>
    <mergeCell ref="O89:P89"/>
    <mergeCell ref="V100:V102"/>
    <mergeCell ref="W100:W102"/>
    <mergeCell ref="V103:V105"/>
    <mergeCell ref="W103:W105"/>
    <mergeCell ref="K105:K106"/>
    <mergeCell ref="V86:W86"/>
    <mergeCell ref="X86:Y86"/>
    <mergeCell ref="K99:K101"/>
    <mergeCell ref="K102:K104"/>
    <mergeCell ref="L99:N99"/>
    <mergeCell ref="O99:P99"/>
    <mergeCell ref="L105:N105"/>
    <mergeCell ref="O105:P105"/>
    <mergeCell ref="L106:N106"/>
    <mergeCell ref="O106:P106"/>
    <mergeCell ref="L102:N102"/>
    <mergeCell ref="O102:P102"/>
    <mergeCell ref="L103:N103"/>
    <mergeCell ref="O103:P103"/>
    <mergeCell ref="L104:N104"/>
    <mergeCell ref="O104:P104"/>
    <mergeCell ref="L100:N100"/>
    <mergeCell ref="O100:P100"/>
    <mergeCell ref="L101:N101"/>
  </mergeCells>
  <phoneticPr fontId="25" type="noConversion"/>
  <conditionalFormatting sqref="F55:F64 F67:F76">
    <cfRule type="expression" dxfId="64" priority="2" stopIfTrue="1">
      <formula>$F$12&lt;$E$12</formula>
    </cfRule>
  </conditionalFormatting>
  <conditionalFormatting sqref="F80:F83">
    <cfRule type="expression" dxfId="63" priority="1" stopIfTrue="1">
      <formula>$F$12&lt;$E$12</formula>
    </cfRule>
  </conditionalFormatting>
  <pageMargins left="0.75" right="0.75" top="1" bottom="1" header="0.5" footer="0.5"/>
  <drawing r:id="rId1"/>
  <legacyDrawing r:id="rId2"/>
  <oleObjects>
    <oleObject progId="Equation.3" shapeId="72838" r:id="rId3"/>
  </oleObjects>
</worksheet>
</file>

<file path=xl/worksheets/sheet45.xml><?xml version="1.0" encoding="utf-8"?>
<worksheet xmlns="http://schemas.openxmlformats.org/spreadsheetml/2006/main" xmlns:r="http://schemas.openxmlformats.org/officeDocument/2006/relationships">
  <dimension ref="A2:T19"/>
  <sheetViews>
    <sheetView workbookViewId="0">
      <selection activeCell="D2" sqref="D2:E2"/>
    </sheetView>
  </sheetViews>
  <sheetFormatPr defaultRowHeight="14.25"/>
  <sheetData>
    <row r="2" spans="1:20">
      <c r="B2" s="454" t="s">
        <v>1165</v>
      </c>
      <c r="C2" s="506" t="s">
        <v>1197</v>
      </c>
      <c r="D2" s="2704" t="s">
        <v>1308</v>
      </c>
      <c r="E2" s="2704"/>
      <c r="F2" s="507"/>
      <c r="G2" s="8"/>
      <c r="H2" s="315"/>
      <c r="I2" s="315"/>
      <c r="J2" s="315"/>
      <c r="K2" s="315"/>
      <c r="L2" s="315"/>
      <c r="M2" s="508"/>
      <c r="N2" s="508"/>
      <c r="O2" s="508"/>
      <c r="P2" s="508"/>
      <c r="Q2" s="508"/>
      <c r="R2" s="508"/>
      <c r="S2" s="508"/>
    </row>
    <row r="3" spans="1:20">
      <c r="B3" s="13"/>
      <c r="C3" s="509"/>
      <c r="D3" s="395"/>
      <c r="E3" s="395"/>
      <c r="F3" s="395"/>
      <c r="G3" s="496"/>
      <c r="H3" s="315"/>
      <c r="I3" s="315"/>
      <c r="J3" s="315"/>
      <c r="K3" s="315"/>
      <c r="L3" s="315"/>
      <c r="M3" s="13"/>
      <c r="N3" s="13"/>
      <c r="O3" s="13"/>
      <c r="P3" s="13"/>
      <c r="Q3" s="13"/>
      <c r="R3" s="13"/>
      <c r="S3" s="13"/>
    </row>
    <row r="4" spans="1:20">
      <c r="B4" s="13"/>
      <c r="C4" s="510" t="s">
        <v>1167</v>
      </c>
      <c r="D4" s="13"/>
      <c r="E4" s="13" t="s">
        <v>1168</v>
      </c>
      <c r="F4" s="13"/>
      <c r="G4" s="13"/>
      <c r="H4" s="13"/>
      <c r="I4" s="13"/>
      <c r="J4" s="13"/>
      <c r="K4" s="13"/>
      <c r="L4" s="13"/>
      <c r="M4" s="13"/>
      <c r="N4" s="13"/>
      <c r="O4" s="13"/>
      <c r="P4" s="13"/>
      <c r="Q4" s="13"/>
      <c r="R4" s="13"/>
      <c r="S4" s="13"/>
    </row>
    <row r="5" spans="1:20">
      <c r="B5" s="13"/>
      <c r="C5" s="510"/>
      <c r="D5" s="510" t="s">
        <v>1199</v>
      </c>
      <c r="E5" s="510">
        <v>1E-3</v>
      </c>
      <c r="F5" s="510" t="s">
        <v>1260</v>
      </c>
      <c r="G5" s="13"/>
      <c r="H5" s="13"/>
      <c r="I5" s="13"/>
      <c r="J5" s="13"/>
      <c r="K5" s="13"/>
      <c r="L5" s="13"/>
      <c r="M5" s="13"/>
      <c r="N5" s="13"/>
      <c r="O5" s="13"/>
      <c r="P5" s="13"/>
      <c r="Q5" s="13"/>
      <c r="R5" s="13"/>
      <c r="S5" s="13"/>
    </row>
    <row r="6" spans="1:20" ht="15.75">
      <c r="B6" s="13"/>
      <c r="C6" s="347" t="s">
        <v>1239</v>
      </c>
      <c r="D6" s="347" t="s">
        <v>1240</v>
      </c>
      <c r="E6" s="347" t="s">
        <v>1241</v>
      </c>
      <c r="F6" s="347" t="s">
        <v>1242</v>
      </c>
      <c r="G6" s="347" t="s">
        <v>1243</v>
      </c>
      <c r="H6" s="347" t="s">
        <v>1244</v>
      </c>
      <c r="I6" s="347" t="s">
        <v>1245</v>
      </c>
      <c r="J6" s="348" t="s">
        <v>1246</v>
      </c>
      <c r="K6" s="348" t="s">
        <v>1247</v>
      </c>
      <c r="L6" s="347" t="s">
        <v>1248</v>
      </c>
      <c r="M6" s="13"/>
      <c r="N6" s="13"/>
      <c r="O6" s="13"/>
      <c r="P6" s="13"/>
      <c r="Q6" s="13"/>
      <c r="R6" s="13"/>
      <c r="S6" s="13"/>
    </row>
    <row r="7" spans="1:20">
      <c r="B7" s="13"/>
      <c r="C7" s="541">
        <v>1.199E-3</v>
      </c>
      <c r="D7" s="541">
        <v>1.191E-3</v>
      </c>
      <c r="E7" s="541">
        <v>1.1869999999999999E-3</v>
      </c>
      <c r="F7" s="541">
        <v>1.1850000000000001E-3</v>
      </c>
      <c r="G7" s="541">
        <v>1.1839999999999999E-3</v>
      </c>
      <c r="H7" s="542">
        <v>1.183E-3</v>
      </c>
      <c r="I7" s="542">
        <v>1.1789999999999999E-3</v>
      </c>
      <c r="J7" s="542">
        <v>1.1900000000000001E-3</v>
      </c>
      <c r="K7" s="542">
        <v>1.188E-3</v>
      </c>
      <c r="L7" s="542">
        <v>1.186E-3</v>
      </c>
      <c r="M7" s="13"/>
      <c r="N7" s="13"/>
      <c r="O7" s="13"/>
      <c r="P7" s="13"/>
      <c r="Q7" s="13"/>
      <c r="R7" s="13"/>
      <c r="S7" s="13"/>
    </row>
    <row r="8" spans="1:20" ht="18.75">
      <c r="B8" s="13"/>
      <c r="C8" s="394" t="s">
        <v>1174</v>
      </c>
      <c r="D8" s="2705">
        <f>STDEV(C7:L7)/E5</f>
        <v>5.4119209980273203E-3</v>
      </c>
      <c r="E8" s="2706"/>
      <c r="F8" s="2706"/>
      <c r="G8" s="2706"/>
      <c r="H8" s="2706"/>
      <c r="I8" s="2706"/>
      <c r="J8" s="2706"/>
      <c r="K8" s="2706"/>
      <c r="L8" s="2707"/>
      <c r="M8" s="13"/>
      <c r="N8" s="13"/>
      <c r="O8" s="13"/>
      <c r="P8" s="13"/>
      <c r="Q8" s="13"/>
      <c r="R8" s="13"/>
      <c r="S8" s="13"/>
    </row>
    <row r="10" spans="1:20">
      <c r="B10" s="512" t="s">
        <v>1175</v>
      </c>
      <c r="C10" s="153" t="s">
        <v>1176</v>
      </c>
    </row>
    <row r="12" spans="1:20" ht="14.25" customHeight="1">
      <c r="A12" s="513" t="s">
        <v>1177</v>
      </c>
      <c r="B12" s="2708" t="s">
        <v>1178</v>
      </c>
      <c r="C12" s="2709"/>
      <c r="D12" s="2709"/>
      <c r="E12" s="2709"/>
      <c r="F12" s="2709"/>
      <c r="G12" s="2709"/>
      <c r="H12" s="2709"/>
      <c r="I12" s="2710"/>
      <c r="J12" s="2711" t="s">
        <v>1305</v>
      </c>
      <c r="K12" s="2711"/>
      <c r="L12" s="2711" t="s">
        <v>1180</v>
      </c>
      <c r="M12" s="2711"/>
      <c r="N12" s="2711"/>
      <c r="O12" s="2712" t="s">
        <v>1181</v>
      </c>
      <c r="P12" s="2712"/>
      <c r="Q12" s="2712" t="s">
        <v>1182</v>
      </c>
      <c r="R12" s="2711"/>
      <c r="S12" s="2711"/>
      <c r="T12" s="2711"/>
    </row>
    <row r="13" spans="1:20">
      <c r="A13" s="513">
        <v>1</v>
      </c>
      <c r="B13" s="2841" t="s">
        <v>1306</v>
      </c>
      <c r="C13" s="2714"/>
      <c r="D13" s="2714"/>
      <c r="E13" s="2714"/>
      <c r="F13" s="2714"/>
      <c r="G13" s="2714"/>
      <c r="H13" s="2714"/>
      <c r="I13" s="2715"/>
      <c r="J13" s="2946">
        <v>1E-4</v>
      </c>
      <c r="K13" s="2946"/>
      <c r="L13" s="2713" t="s">
        <v>1184</v>
      </c>
      <c r="M13" s="2714"/>
      <c r="N13" s="2715"/>
      <c r="O13" s="2711">
        <v>3</v>
      </c>
      <c r="P13" s="2711"/>
      <c r="Q13" s="2947">
        <f>J13/O13</f>
        <v>3.3333333333333335E-5</v>
      </c>
      <c r="R13" s="2948"/>
      <c r="S13" s="2948"/>
      <c r="T13" s="2949"/>
    </row>
    <row r="14" spans="1:20">
      <c r="A14" s="513">
        <v>2</v>
      </c>
      <c r="B14" s="2708" t="s">
        <v>1307</v>
      </c>
      <c r="C14" s="2709"/>
      <c r="D14" s="2709"/>
      <c r="E14" s="2709"/>
      <c r="F14" s="2709"/>
      <c r="G14" s="2709"/>
      <c r="H14" s="2709"/>
      <c r="I14" s="2710"/>
      <c r="J14" s="2946">
        <v>5.0000000000000002E-5</v>
      </c>
      <c r="K14" s="2946"/>
      <c r="L14" s="2713" t="s">
        <v>1251</v>
      </c>
      <c r="M14" s="2714"/>
      <c r="N14" s="2715"/>
      <c r="O14" s="2711"/>
      <c r="P14" s="2711"/>
      <c r="Q14" s="2947">
        <f>J14/SQRT(3)</f>
        <v>2.8867513459481293E-5</v>
      </c>
      <c r="R14" s="2948"/>
      <c r="S14" s="2948"/>
      <c r="T14" s="2949"/>
    </row>
    <row r="15" spans="1:20">
      <c r="A15" s="516" t="s">
        <v>1253</v>
      </c>
      <c r="B15" s="516"/>
      <c r="C15" s="516"/>
      <c r="D15" s="2721">
        <f>SQRT(SUMSQ(Q13:T14))</f>
        <v>4.409585518440985E-5</v>
      </c>
      <c r="E15" s="2721"/>
      <c r="F15" s="2721"/>
      <c r="G15" s="2721"/>
      <c r="H15" s="2721"/>
      <c r="I15" s="2721"/>
      <c r="J15" s="2721"/>
      <c r="K15" s="2721"/>
      <c r="L15" s="2721"/>
      <c r="M15" s="2721"/>
      <c r="N15" s="2721"/>
      <c r="O15" s="2721"/>
      <c r="P15" s="2721"/>
      <c r="Q15" s="2721"/>
      <c r="R15" s="2721"/>
      <c r="S15" s="2721"/>
      <c r="T15" s="2721"/>
    </row>
    <row r="16" spans="1:20" ht="15.75">
      <c r="B16" s="505" t="s">
        <v>1186</v>
      </c>
      <c r="D16" s="526"/>
      <c r="E16" s="527"/>
      <c r="F16" s="528"/>
      <c r="G16" s="528"/>
    </row>
    <row r="17" spans="2:7" ht="18.75">
      <c r="B17" s="529"/>
      <c r="C17" s="517"/>
      <c r="D17" s="516" t="s">
        <v>1187</v>
      </c>
      <c r="E17" s="2722">
        <f>SQRT(SUMSQ(D8,D15))</f>
        <v>5.4121006396161435E-3</v>
      </c>
      <c r="F17" s="2722"/>
      <c r="G17" s="2722"/>
    </row>
    <row r="18" spans="2:7" ht="15.75">
      <c r="B18" s="505" t="s">
        <v>1188</v>
      </c>
      <c r="C18" s="28"/>
      <c r="D18" s="526"/>
      <c r="E18" s="527"/>
      <c r="F18" s="528"/>
      <c r="G18" s="528"/>
    </row>
    <row r="19" spans="2:7">
      <c r="B19" s="518" t="s">
        <v>1189</v>
      </c>
      <c r="C19" s="543">
        <f>E17*2</f>
        <v>1.0824201279232287E-2</v>
      </c>
      <c r="D19" s="527"/>
      <c r="E19" s="527"/>
      <c r="F19" s="527"/>
      <c r="G19" s="527"/>
    </row>
  </sheetData>
  <mergeCells count="19">
    <mergeCell ref="Q14:T14"/>
    <mergeCell ref="D15:T15"/>
    <mergeCell ref="E17:G17"/>
    <mergeCell ref="B14:I14"/>
    <mergeCell ref="J14:K14"/>
    <mergeCell ref="L14:N14"/>
    <mergeCell ref="O14:P14"/>
    <mergeCell ref="O12:P12"/>
    <mergeCell ref="Q12:T12"/>
    <mergeCell ref="B13:I13"/>
    <mergeCell ref="J13:K13"/>
    <mergeCell ref="L13:N13"/>
    <mergeCell ref="O13:P13"/>
    <mergeCell ref="Q13:T13"/>
    <mergeCell ref="D2:E2"/>
    <mergeCell ref="D8:L8"/>
    <mergeCell ref="B12:I12"/>
    <mergeCell ref="J12:K12"/>
    <mergeCell ref="L12:N12"/>
  </mergeCells>
  <phoneticPr fontId="107" type="noConversion"/>
  <pageMargins left="0.75" right="0.75" top="1" bottom="1" header="0.5" footer="0.5"/>
  <legacyDrawing r:id="rId1"/>
  <oleObjects>
    <oleObject progId="Equation.3" shapeId="121857" r:id="rId2"/>
  </oleObjects>
</worksheet>
</file>

<file path=xl/worksheets/sheet46.xml><?xml version="1.0" encoding="utf-8"?>
<worksheet xmlns="http://schemas.openxmlformats.org/spreadsheetml/2006/main" xmlns:r="http://schemas.openxmlformats.org/officeDocument/2006/relationships">
  <dimension ref="A1:AL115"/>
  <sheetViews>
    <sheetView workbookViewId="0"/>
  </sheetViews>
  <sheetFormatPr defaultRowHeight="14.25"/>
  <cols>
    <col min="1" max="1" width="15.125" customWidth="1"/>
    <col min="2" max="2" width="13.75" customWidth="1"/>
    <col min="3" max="3" width="13.625" customWidth="1"/>
    <col min="4" max="4" width="17.25" customWidth="1"/>
    <col min="7" max="7" width="11.625" customWidth="1"/>
    <col min="16" max="16" width="9.875" customWidth="1"/>
    <col min="18" max="19" width="10.125" customWidth="1"/>
    <col min="28" max="28" width="9.625" customWidth="1"/>
    <col min="33" max="33" width="1.375" customWidth="1"/>
    <col min="34" max="34" width="9.875" customWidth="1"/>
    <col min="35" max="35" width="9" customWidth="1"/>
  </cols>
  <sheetData>
    <row r="1" spans="1:36">
      <c r="A1" t="s">
        <v>51</v>
      </c>
      <c r="B1" s="1594" t="s">
        <v>3803</v>
      </c>
    </row>
    <row r="3" spans="1:36">
      <c r="A3" s="2298" t="s">
        <v>32</v>
      </c>
      <c r="B3" s="2298"/>
      <c r="C3" s="2298"/>
      <c r="D3" s="2"/>
    </row>
    <row r="4" spans="1:36" ht="18.75">
      <c r="A4" s="699" t="s">
        <v>1920</v>
      </c>
      <c r="B4" s="6" t="s">
        <v>69</v>
      </c>
      <c r="C4" s="6" t="s">
        <v>70</v>
      </c>
      <c r="D4" s="700" t="s">
        <v>2783</v>
      </c>
    </row>
    <row r="5" spans="1:36">
      <c r="A5" s="6" t="s">
        <v>86</v>
      </c>
      <c r="B5" s="6" t="s">
        <v>72</v>
      </c>
      <c r="C5" s="6" t="s">
        <v>72</v>
      </c>
      <c r="D5" s="700" t="s">
        <v>2784</v>
      </c>
    </row>
    <row r="6" spans="1:36">
      <c r="A6" s="6" t="s">
        <v>64</v>
      </c>
      <c r="B6" s="6" t="s">
        <v>72</v>
      </c>
      <c r="C6" s="6" t="s">
        <v>72</v>
      </c>
      <c r="D6" s="700" t="s">
        <v>2784</v>
      </c>
    </row>
    <row r="7" spans="1:36">
      <c r="A7" s="6" t="s">
        <v>104</v>
      </c>
      <c r="B7" s="6" t="s">
        <v>72</v>
      </c>
      <c r="C7" s="6" t="s">
        <v>84</v>
      </c>
      <c r="D7" s="700" t="s">
        <v>2784</v>
      </c>
    </row>
    <row r="8" spans="1:36">
      <c r="A8" s="6" t="s">
        <v>105</v>
      </c>
      <c r="B8" s="6" t="s">
        <v>72</v>
      </c>
      <c r="C8" s="6" t="s">
        <v>72</v>
      </c>
      <c r="D8" s="700" t="s">
        <v>2785</v>
      </c>
    </row>
    <row r="9" spans="1:36">
      <c r="A9" s="6" t="s">
        <v>106</v>
      </c>
      <c r="B9" s="6" t="s">
        <v>72</v>
      </c>
      <c r="C9" s="6" t="s">
        <v>72</v>
      </c>
      <c r="D9" s="700" t="s">
        <v>2785</v>
      </c>
    </row>
    <row r="10" spans="1:36">
      <c r="A10" s="154" t="s">
        <v>68</v>
      </c>
      <c r="B10" s="154" t="s">
        <v>72</v>
      </c>
      <c r="C10" s="154" t="s">
        <v>72</v>
      </c>
      <c r="D10" s="756" t="s">
        <v>2786</v>
      </c>
    </row>
    <row r="11" spans="1:36">
      <c r="A11" t="s">
        <v>73</v>
      </c>
    </row>
    <row r="12" spans="1:36">
      <c r="N12" s="702" t="s">
        <v>2787</v>
      </c>
      <c r="Z12" s="2840" t="s">
        <v>2788</v>
      </c>
      <c r="AA12" s="2840"/>
      <c r="AB12" s="2840"/>
      <c r="AC12" s="2840"/>
      <c r="AD12" s="2840"/>
    </row>
    <row r="13" spans="1:36">
      <c r="A13" s="766" t="s">
        <v>2789</v>
      </c>
      <c r="B13" s="1108"/>
      <c r="C13" s="714" t="str">
        <f>IF(AND(G15&gt;=I16,G15&lt;=K16),"合格","不合格")</f>
        <v>合格</v>
      </c>
      <c r="D13" s="1108"/>
      <c r="E13" s="1108"/>
      <c r="F13" s="1108"/>
      <c r="G13" s="1108"/>
      <c r="H13" s="1108"/>
      <c r="I13" s="1108"/>
      <c r="J13" s="1108"/>
      <c r="K13" s="752"/>
      <c r="N13" s="766" t="s">
        <v>2789</v>
      </c>
      <c r="O13" s="1108"/>
      <c r="P13" s="714" t="e">
        <f>IF(AND(T15&gt;=V16,T15&lt;=X16),"合格","不合格")</f>
        <v>#REF!</v>
      </c>
      <c r="Q13" s="2"/>
      <c r="R13" s="1108"/>
      <c r="S13" s="1108"/>
      <c r="T13" s="1108"/>
      <c r="U13" s="1108"/>
      <c r="V13" s="1108"/>
      <c r="W13" s="1108"/>
      <c r="X13" s="752"/>
    </row>
    <row r="14" spans="1:36">
      <c r="A14" s="879" t="s">
        <v>2790</v>
      </c>
      <c r="B14" s="1109" t="s">
        <v>2791</v>
      </c>
      <c r="C14" s="2788" t="s">
        <v>2792</v>
      </c>
      <c r="D14" s="2789"/>
      <c r="E14" s="2695" t="s">
        <v>2793</v>
      </c>
      <c r="F14" s="2696"/>
      <c r="G14" s="2695" t="s">
        <v>2794</v>
      </c>
      <c r="H14" s="2696"/>
      <c r="I14" s="2658" t="s">
        <v>2795</v>
      </c>
      <c r="J14" s="2602"/>
      <c r="K14" s="2603"/>
      <c r="N14" s="717" t="s">
        <v>2790</v>
      </c>
      <c r="O14" s="768" t="s">
        <v>2791</v>
      </c>
      <c r="P14" s="2385" t="s">
        <v>2792</v>
      </c>
      <c r="Q14" s="2379"/>
      <c r="R14" s="2493" t="s">
        <v>2793</v>
      </c>
      <c r="S14" s="2611"/>
      <c r="T14" s="2493" t="s">
        <v>2794</v>
      </c>
      <c r="U14" s="2611"/>
      <c r="V14" s="2385" t="s">
        <v>2795</v>
      </c>
      <c r="W14" s="2386"/>
      <c r="X14" s="2379"/>
      <c r="Z14" s="717" t="s">
        <v>2790</v>
      </c>
      <c r="AA14" s="768" t="s">
        <v>2791</v>
      </c>
      <c r="AB14" s="2385" t="s">
        <v>2792</v>
      </c>
      <c r="AC14" s="2379"/>
      <c r="AD14" s="2493" t="s">
        <v>2793</v>
      </c>
      <c r="AE14" s="2611"/>
      <c r="AF14" s="2493" t="s">
        <v>2794</v>
      </c>
      <c r="AG14" s="2611"/>
      <c r="AH14" s="2385" t="s">
        <v>2795</v>
      </c>
      <c r="AI14" s="2386"/>
      <c r="AJ14" s="2379"/>
    </row>
    <row r="15" spans="1:36">
      <c r="A15" s="879">
        <v>1</v>
      </c>
      <c r="B15" s="1110">
        <v>1.0728</v>
      </c>
      <c r="C15" s="2788">
        <v>0.1</v>
      </c>
      <c r="D15" s="2789"/>
      <c r="E15" s="2996">
        <f>B15/C15</f>
        <v>10.728</v>
      </c>
      <c r="F15" s="2997"/>
      <c r="G15" s="3000">
        <f>SUM(E15:F17)/3</f>
        <v>10.727666666666666</v>
      </c>
      <c r="H15" s="3001"/>
      <c r="I15" s="1111"/>
      <c r="J15" s="1111"/>
      <c r="K15" s="1112"/>
      <c r="N15" s="717">
        <v>1</v>
      </c>
      <c r="O15" s="973" t="e">
        <f>'[19]原始记录（电阻箱）'!O15</f>
        <v>#REF!</v>
      </c>
      <c r="P15" s="2385" t="e">
        <f>'[19]原始记录（电阻箱）'!P15:Q15</f>
        <v>#REF!</v>
      </c>
      <c r="Q15" s="2379"/>
      <c r="R15" s="2835" t="e">
        <f>'[19]原始记录（电阻箱）'!R15:S15</f>
        <v>#REF!</v>
      </c>
      <c r="S15" s="2836"/>
      <c r="T15" s="2985" t="e">
        <f>'[19]原始记录（电阻箱）'!T15</f>
        <v>#REF!</v>
      </c>
      <c r="U15" s="2986"/>
      <c r="X15" s="411"/>
      <c r="Z15" s="717">
        <v>1</v>
      </c>
      <c r="AA15" s="973" t="e">
        <f>'[19]原始记录（电阻箱）'!AA15</f>
        <v>#REF!</v>
      </c>
      <c r="AB15" s="2385" t="e">
        <f>'[19]原始记录（电阻箱）'!AB15:AC15</f>
        <v>#REF!</v>
      </c>
      <c r="AC15" s="2379"/>
      <c r="AD15" s="2835" t="e">
        <f>'[19]原始记录（电阻箱）'!AD15:AE15</f>
        <v>#REF!</v>
      </c>
      <c r="AE15" s="2836"/>
      <c r="AF15" s="2985" t="e">
        <f>'[19]原始记录（电阻箱）'!AF15</f>
        <v>#REF!</v>
      </c>
      <c r="AG15" s="2986"/>
      <c r="AJ15" s="411"/>
    </row>
    <row r="16" spans="1:36">
      <c r="A16" s="879">
        <v>2</v>
      </c>
      <c r="B16" s="1110">
        <v>1.0727</v>
      </c>
      <c r="C16" s="2788">
        <v>0.1</v>
      </c>
      <c r="D16" s="2789"/>
      <c r="E16" s="2996">
        <f>B16/C16</f>
        <v>10.726999999999999</v>
      </c>
      <c r="F16" s="2997"/>
      <c r="G16" s="3002"/>
      <c r="H16" s="3003"/>
      <c r="I16" s="1113">
        <v>9</v>
      </c>
      <c r="J16" s="1114" t="s">
        <v>107</v>
      </c>
      <c r="K16" s="1115">
        <v>11</v>
      </c>
      <c r="M16" s="782" t="s">
        <v>2796</v>
      </c>
      <c r="N16" s="717">
        <v>2</v>
      </c>
      <c r="O16" s="973" t="e">
        <f>'[19]原始记录（电阻箱）'!O16</f>
        <v>#REF!</v>
      </c>
      <c r="P16" s="2385" t="e">
        <f>'[19]原始记录（电阻箱）'!P16:Q16</f>
        <v>#REF!</v>
      </c>
      <c r="Q16" s="2379"/>
      <c r="R16" s="2835" t="e">
        <f>'[19]原始记录（电阻箱）'!R16:S16</f>
        <v>#REF!</v>
      </c>
      <c r="S16" s="2836"/>
      <c r="T16" s="2987"/>
      <c r="U16" s="2988"/>
      <c r="V16" s="1116" t="e">
        <f>'[19]原始记录（电阻箱）'!V16</f>
        <v>#REF!</v>
      </c>
      <c r="W16" s="861" t="s">
        <v>107</v>
      </c>
      <c r="X16" s="1117" t="e">
        <f>'[19]原始记录（电阻箱）'!X16</f>
        <v>#REF!</v>
      </c>
      <c r="Z16" s="717">
        <v>2</v>
      </c>
      <c r="AA16" s="973" t="e">
        <f>'[19]原始记录（电阻箱）'!AA16</f>
        <v>#REF!</v>
      </c>
      <c r="AB16" s="2385" t="e">
        <f>'[19]原始记录（电阻箱）'!AB16:AC16</f>
        <v>#REF!</v>
      </c>
      <c r="AC16" s="2379"/>
      <c r="AD16" s="2835" t="e">
        <f>'[19]原始记录（电阻箱）'!AD16:AE16</f>
        <v>#REF!</v>
      </c>
      <c r="AE16" s="2836"/>
      <c r="AF16" s="2987"/>
      <c r="AG16" s="2988"/>
      <c r="AH16" s="1116" t="e">
        <f>'[19]原始记录（电阻箱）'!AH16</f>
        <v>#REF!</v>
      </c>
      <c r="AI16" s="861" t="s">
        <v>107</v>
      </c>
      <c r="AJ16" s="1117" t="e">
        <f>'[19]原始记录（电阻箱）'!AJ16</f>
        <v>#REF!</v>
      </c>
    </row>
    <row r="17" spans="1:38">
      <c r="A17" s="879">
        <v>3</v>
      </c>
      <c r="B17" s="1110">
        <v>1.0728</v>
      </c>
      <c r="C17" s="2788">
        <v>0.1</v>
      </c>
      <c r="D17" s="2789"/>
      <c r="E17" s="2996">
        <f>B17/C17</f>
        <v>10.728</v>
      </c>
      <c r="F17" s="2997"/>
      <c r="G17" s="3004"/>
      <c r="H17" s="3005"/>
      <c r="I17" s="1118"/>
      <c r="J17" s="1119"/>
      <c r="K17" s="1120"/>
      <c r="N17" s="717">
        <v>3</v>
      </c>
      <c r="O17" s="973" t="e">
        <f>'[19]原始记录（电阻箱）'!O17</f>
        <v>#REF!</v>
      </c>
      <c r="P17" s="2385" t="e">
        <f>'[19]原始记录（电阻箱）'!P17:Q17</f>
        <v>#REF!</v>
      </c>
      <c r="Q17" s="2379"/>
      <c r="R17" s="2835" t="e">
        <f>'[19]原始记录（电阻箱）'!R17:S17</f>
        <v>#REF!</v>
      </c>
      <c r="S17" s="2836"/>
      <c r="T17" s="2989"/>
      <c r="U17" s="2990"/>
      <c r="V17" s="1121"/>
      <c r="W17" s="1122"/>
      <c r="X17" s="1123"/>
      <c r="Z17" s="717">
        <v>3</v>
      </c>
      <c r="AA17" s="973" t="e">
        <f>'[19]原始记录（电阻箱）'!AA17</f>
        <v>#REF!</v>
      </c>
      <c r="AB17" s="2385" t="e">
        <f>'[19]原始记录（电阻箱）'!AB17:AC17</f>
        <v>#REF!</v>
      </c>
      <c r="AC17" s="2379"/>
      <c r="AD17" s="2835" t="e">
        <f>'[19]原始记录（电阻箱）'!AD17:AE17</f>
        <v>#REF!</v>
      </c>
      <c r="AE17" s="2836"/>
      <c r="AF17" s="2989"/>
      <c r="AG17" s="2990"/>
      <c r="AH17" s="1121"/>
      <c r="AI17" s="1122"/>
      <c r="AJ17" s="1123"/>
    </row>
    <row r="19" spans="1:38">
      <c r="A19" s="713" t="s">
        <v>2797</v>
      </c>
      <c r="B19" s="714"/>
      <c r="C19" s="714" t="s">
        <v>2798</v>
      </c>
      <c r="D19" s="714"/>
      <c r="E19" s="714"/>
      <c r="F19" s="714"/>
      <c r="G19" s="714"/>
      <c r="H19" s="714"/>
      <c r="I19" s="714"/>
      <c r="J19" s="714"/>
      <c r="K19" s="1124"/>
      <c r="N19" s="702" t="s">
        <v>2799</v>
      </c>
      <c r="Z19" s="1749" t="s">
        <v>2800</v>
      </c>
      <c r="AA19" s="1749"/>
      <c r="AB19" s="1749"/>
      <c r="AC19" s="1749"/>
      <c r="AD19" s="1749"/>
    </row>
    <row r="20" spans="1:38">
      <c r="A20" s="768"/>
      <c r="B20" s="1125" t="s">
        <v>2801</v>
      </c>
      <c r="C20" s="1126">
        <v>0.1</v>
      </c>
      <c r="D20" s="2995" t="s">
        <v>2802</v>
      </c>
      <c r="E20" s="2995"/>
      <c r="F20" s="1127">
        <v>1E-3</v>
      </c>
      <c r="G20" s="2995" t="s">
        <v>2803</v>
      </c>
      <c r="H20" s="2995"/>
      <c r="I20" s="2995"/>
      <c r="J20" s="1128">
        <v>30</v>
      </c>
      <c r="K20" s="884"/>
      <c r="N20" s="701"/>
      <c r="O20" s="701" t="s">
        <v>2801</v>
      </c>
      <c r="P20" s="1129" t="e">
        <f>'[20]原始记录（电阻箱）'!P20</f>
        <v>#REF!</v>
      </c>
      <c r="Q20" s="2854" t="s">
        <v>2802</v>
      </c>
      <c r="R20" s="2854"/>
      <c r="S20" s="1130" t="e">
        <f>'[20]原始记录（电阻箱）'!S20</f>
        <v>#REF!</v>
      </c>
      <c r="T20" s="2854" t="s">
        <v>2804</v>
      </c>
      <c r="U20" s="2854"/>
      <c r="V20" s="2854"/>
      <c r="W20" s="883" t="e">
        <f>'[20]原始记录（电阻箱）'!W20</f>
        <v>#REF!</v>
      </c>
      <c r="X20" s="884"/>
      <c r="Z20" s="701"/>
      <c r="AA20" s="701" t="s">
        <v>2805</v>
      </c>
      <c r="AB20" s="1129" t="e">
        <f>'[20]原始记录（电阻箱）'!AB20</f>
        <v>#REF!</v>
      </c>
      <c r="AC20" s="2854" t="s">
        <v>2806</v>
      </c>
      <c r="AD20" s="2854"/>
      <c r="AE20" s="1130" t="e">
        <f>'[20]原始记录（电阻箱）'!AE20</f>
        <v>#REF!</v>
      </c>
      <c r="AF20" s="2854" t="s">
        <v>2807</v>
      </c>
      <c r="AG20" s="2854"/>
      <c r="AH20" s="2854"/>
      <c r="AI20" s="883" t="e">
        <f>'[20]原始记录（电阻箱）'!AI20</f>
        <v>#REF!</v>
      </c>
      <c r="AJ20" s="884"/>
    </row>
    <row r="21" spans="1:38" ht="18.75">
      <c r="A21" s="770" t="s">
        <v>2808</v>
      </c>
      <c r="B21" s="1131" t="s">
        <v>2809</v>
      </c>
      <c r="C21" s="837" t="s">
        <v>2810</v>
      </c>
      <c r="D21" s="2504" t="s">
        <v>2811</v>
      </c>
      <c r="E21" s="2998"/>
      <c r="F21" s="2506" t="s">
        <v>2812</v>
      </c>
      <c r="G21" s="2507"/>
      <c r="H21" s="2506" t="s">
        <v>2813</v>
      </c>
      <c r="I21" s="2999"/>
      <c r="J21" s="2999"/>
      <c r="K21" s="2507"/>
      <c r="N21" s="885" t="s">
        <v>2808</v>
      </c>
      <c r="O21" s="1001" t="s">
        <v>2809</v>
      </c>
      <c r="P21" s="698" t="s">
        <v>2810</v>
      </c>
      <c r="Q21" s="2493" t="s">
        <v>2811</v>
      </c>
      <c r="R21" s="2611"/>
      <c r="S21" s="2385" t="s">
        <v>2812</v>
      </c>
      <c r="T21" s="2379"/>
      <c r="U21" s="2385" t="s">
        <v>2813</v>
      </c>
      <c r="V21" s="2386"/>
      <c r="W21" s="2386"/>
      <c r="X21" s="2379"/>
      <c r="Z21" s="885" t="s">
        <v>2808</v>
      </c>
      <c r="AA21" s="1001" t="s">
        <v>2809</v>
      </c>
      <c r="AB21" s="698" t="s">
        <v>2810</v>
      </c>
      <c r="AC21" s="2493" t="s">
        <v>2811</v>
      </c>
      <c r="AD21" s="2611"/>
      <c r="AE21" s="2385" t="s">
        <v>2812</v>
      </c>
      <c r="AF21" s="2379"/>
      <c r="AG21" s="2385" t="s">
        <v>2813</v>
      </c>
      <c r="AH21" s="2386"/>
      <c r="AI21" s="2386"/>
      <c r="AJ21" s="2379"/>
    </row>
    <row r="22" spans="1:38">
      <c r="A22" s="879">
        <v>0</v>
      </c>
      <c r="B22" s="1133">
        <v>1.1545000000000001</v>
      </c>
      <c r="C22" s="979">
        <f t="shared" ref="C22:C28" si="0">B22/$C$20</f>
        <v>11.545</v>
      </c>
      <c r="D22" s="2695" t="s">
        <v>2814</v>
      </c>
      <c r="E22" s="2696"/>
      <c r="F22" s="2523">
        <f>MAX(ABS(D23),ABS(D24),ABS(D25),ABS(D26),ABS(D27),ABS(D28))</f>
        <v>2.9999999999999361E-2</v>
      </c>
      <c r="G22" s="3006"/>
      <c r="H22" s="3010">
        <v>0.15</v>
      </c>
      <c r="I22" s="3010"/>
      <c r="J22" s="3010"/>
      <c r="K22" s="3011"/>
      <c r="N22" s="717">
        <v>0</v>
      </c>
      <c r="O22" s="1134" t="e">
        <f>'[20]原始记录（电阻箱）'!O22</f>
        <v>#REF!</v>
      </c>
      <c r="P22" s="976" t="e">
        <f>'[20]原始记录（电阻箱）'!P22</f>
        <v>#REF!</v>
      </c>
      <c r="Q22" s="2493" t="e">
        <f>'[20]原始记录（电阻箱）'!Q22:R22</f>
        <v>#REF!</v>
      </c>
      <c r="R22" s="2611"/>
      <c r="S22" s="2978" t="e">
        <f>'[20]原始记录（电阻箱）'!S22:T27</f>
        <v>#REF!</v>
      </c>
      <c r="T22" s="2979"/>
      <c r="U22" s="2381" t="e">
        <f>'[20]原始记录（电阻箱）'!U22:X27</f>
        <v>#REF!</v>
      </c>
      <c r="V22" s="2751"/>
      <c r="W22" s="2751"/>
      <c r="X22" s="2382"/>
      <c r="Z22" s="717">
        <v>0</v>
      </c>
      <c r="AA22" s="1134" t="e">
        <f>'[20]原始记录（电阻箱）'!AA22</f>
        <v>#REF!</v>
      </c>
      <c r="AB22" s="976" t="e">
        <f>'[20]原始记录（电阻箱）'!AB22</f>
        <v>#REF!</v>
      </c>
      <c r="AC22" s="2493" t="e">
        <f>'[20]原始记录（电阻箱）'!AC22:AD22</f>
        <v>#REF!</v>
      </c>
      <c r="AD22" s="2611"/>
      <c r="AE22" s="2978" t="e">
        <f>'[20]原始记录（电阻箱）'!AE22:AF27</f>
        <v>#REF!</v>
      </c>
      <c r="AF22" s="2979"/>
      <c r="AG22" s="2381" t="e">
        <f>'[20]原始记录（电阻箱）'!AG22:AJ27</f>
        <v>#REF!</v>
      </c>
      <c r="AH22" s="2751"/>
      <c r="AI22" s="2751"/>
      <c r="AJ22" s="2382"/>
    </row>
    <row r="23" spans="1:38">
      <c r="A23" s="879">
        <v>1</v>
      </c>
      <c r="B23" s="1133">
        <v>1.1575</v>
      </c>
      <c r="C23" s="979">
        <f t="shared" si="0"/>
        <v>11.574999999999999</v>
      </c>
      <c r="D23" s="2996">
        <f t="shared" ref="D23:D28" si="1">C22-C23</f>
        <v>-2.9999999999999361E-2</v>
      </c>
      <c r="E23" s="2997"/>
      <c r="F23" s="3007"/>
      <c r="G23" s="3008"/>
      <c r="H23" s="3012"/>
      <c r="I23" s="3012"/>
      <c r="J23" s="3012"/>
      <c r="K23" s="3013"/>
      <c r="N23" s="717">
        <v>1</v>
      </c>
      <c r="O23" s="1134" t="e">
        <f>'[20]原始记录（电阻箱）'!O23</f>
        <v>#REF!</v>
      </c>
      <c r="P23" s="976" t="e">
        <f>'[20]原始记录（电阻箱）'!P23</f>
        <v>#REF!</v>
      </c>
      <c r="Q23" s="2493" t="e">
        <f>'[20]原始记录（电阻箱）'!Q23:R23</f>
        <v>#REF!</v>
      </c>
      <c r="R23" s="2611"/>
      <c r="S23" s="2980"/>
      <c r="T23" s="2981"/>
      <c r="U23" s="2428"/>
      <c r="V23" s="2984"/>
      <c r="W23" s="2984"/>
      <c r="X23" s="2429"/>
      <c r="Z23" s="717">
        <v>1</v>
      </c>
      <c r="AA23" s="1134" t="e">
        <f>'[20]原始记录（电阻箱）'!AA23</f>
        <v>#REF!</v>
      </c>
      <c r="AB23" s="976" t="e">
        <f>'[20]原始记录（电阻箱）'!AB23</f>
        <v>#REF!</v>
      </c>
      <c r="AC23" s="2493" t="e">
        <f>'[20]原始记录（电阻箱）'!AC23:AD23</f>
        <v>#REF!</v>
      </c>
      <c r="AD23" s="2611"/>
      <c r="AE23" s="2980"/>
      <c r="AF23" s="2981"/>
      <c r="AG23" s="2428"/>
      <c r="AH23" s="2984"/>
      <c r="AI23" s="2984"/>
      <c r="AJ23" s="2429"/>
    </row>
    <row r="24" spans="1:38">
      <c r="A24" s="879">
        <v>2</v>
      </c>
      <c r="B24" s="1133">
        <v>1.1557999999999999</v>
      </c>
      <c r="C24" s="979">
        <f t="shared" si="0"/>
        <v>11.557999999999998</v>
      </c>
      <c r="D24" s="2996">
        <f t="shared" si="1"/>
        <v>1.7000000000001236E-2</v>
      </c>
      <c r="E24" s="2997"/>
      <c r="F24" s="3007"/>
      <c r="G24" s="3008"/>
      <c r="H24" s="3012"/>
      <c r="I24" s="3012"/>
      <c r="J24" s="3012"/>
      <c r="K24" s="3013"/>
      <c r="M24" s="782" t="s">
        <v>2815</v>
      </c>
      <c r="N24" s="717">
        <v>2</v>
      </c>
      <c r="O24" s="1134" t="e">
        <f>'[20]原始记录（电阻箱）'!O24</f>
        <v>#REF!</v>
      </c>
      <c r="P24" s="976" t="e">
        <f>'[20]原始记录（电阻箱）'!P24</f>
        <v>#REF!</v>
      </c>
      <c r="Q24" s="2493" t="e">
        <f>'[20]原始记录（电阻箱）'!Q24:R24</f>
        <v>#REF!</v>
      </c>
      <c r="R24" s="2611"/>
      <c r="S24" s="2980"/>
      <c r="T24" s="2981"/>
      <c r="U24" s="2428"/>
      <c r="V24" s="2984"/>
      <c r="W24" s="2984"/>
      <c r="X24" s="2429"/>
      <c r="Z24" s="717">
        <v>2</v>
      </c>
      <c r="AA24" s="1134" t="e">
        <f>'[20]原始记录（电阻箱）'!AA24</f>
        <v>#REF!</v>
      </c>
      <c r="AB24" s="976" t="e">
        <f>'[20]原始记录（电阻箱）'!AB24</f>
        <v>#REF!</v>
      </c>
      <c r="AC24" s="2493" t="e">
        <f>'[20]原始记录（电阻箱）'!AC24:AD24</f>
        <v>#REF!</v>
      </c>
      <c r="AD24" s="2611"/>
      <c r="AE24" s="2980"/>
      <c r="AF24" s="2981"/>
      <c r="AG24" s="2428"/>
      <c r="AH24" s="2984"/>
      <c r="AI24" s="2984"/>
      <c r="AJ24" s="2429"/>
    </row>
    <row r="25" spans="1:38">
      <c r="A25" s="879">
        <v>3</v>
      </c>
      <c r="B25" s="1133">
        <v>1.1553</v>
      </c>
      <c r="C25" s="979">
        <f t="shared" si="0"/>
        <v>11.552999999999999</v>
      </c>
      <c r="D25" s="2996">
        <f t="shared" si="1"/>
        <v>4.9999999999990052E-3</v>
      </c>
      <c r="E25" s="2997"/>
      <c r="F25" s="3007"/>
      <c r="G25" s="3008"/>
      <c r="H25" s="3012"/>
      <c r="I25" s="3012"/>
      <c r="J25" s="3012"/>
      <c r="K25" s="3013"/>
      <c r="N25" s="717">
        <v>3</v>
      </c>
      <c r="O25" s="1134" t="e">
        <f>'[20]原始记录（电阻箱）'!O25</f>
        <v>#REF!</v>
      </c>
      <c r="P25" s="976" t="e">
        <f>'[20]原始记录（电阻箱）'!P25</f>
        <v>#REF!</v>
      </c>
      <c r="Q25" s="2493" t="e">
        <f>'[20]原始记录（电阻箱）'!Q25:R25</f>
        <v>#REF!</v>
      </c>
      <c r="R25" s="2611"/>
      <c r="S25" s="2980"/>
      <c r="T25" s="2981"/>
      <c r="U25" s="2428"/>
      <c r="V25" s="2984"/>
      <c r="W25" s="2984"/>
      <c r="X25" s="2429"/>
      <c r="Z25" s="717">
        <v>3</v>
      </c>
      <c r="AA25" s="1134" t="e">
        <f>'[20]原始记录（电阻箱）'!AA25</f>
        <v>#REF!</v>
      </c>
      <c r="AB25" s="976" t="e">
        <f>'[20]原始记录（电阻箱）'!AB25</f>
        <v>#REF!</v>
      </c>
      <c r="AC25" s="2493" t="e">
        <f>'[20]原始记录（电阻箱）'!AC25:AD25</f>
        <v>#REF!</v>
      </c>
      <c r="AD25" s="2611"/>
      <c r="AE25" s="2980"/>
      <c r="AF25" s="2981"/>
      <c r="AG25" s="2428"/>
      <c r="AH25" s="2984"/>
      <c r="AI25" s="2984"/>
      <c r="AJ25" s="2429"/>
    </row>
    <row r="26" spans="1:38">
      <c r="A26" s="879">
        <v>4</v>
      </c>
      <c r="B26" s="1133">
        <v>1.1548</v>
      </c>
      <c r="C26" s="979">
        <f t="shared" si="0"/>
        <v>11.548</v>
      </c>
      <c r="D26" s="2996">
        <f t="shared" si="1"/>
        <v>4.9999999999990052E-3</v>
      </c>
      <c r="E26" s="2997"/>
      <c r="F26" s="3007"/>
      <c r="G26" s="3008"/>
      <c r="H26" s="3012"/>
      <c r="I26" s="3012"/>
      <c r="J26" s="3012"/>
      <c r="K26" s="3013"/>
      <c r="N26" s="717">
        <v>4</v>
      </c>
      <c r="O26" s="1134" t="e">
        <f>'[20]原始记录（电阻箱）'!O26</f>
        <v>#REF!</v>
      </c>
      <c r="P26" s="976" t="e">
        <f>'[20]原始记录（电阻箱）'!P26</f>
        <v>#REF!</v>
      </c>
      <c r="Q26" s="2493" t="e">
        <f>'[20]原始记录（电阻箱）'!Q26:R26</f>
        <v>#REF!</v>
      </c>
      <c r="R26" s="2611"/>
      <c r="S26" s="2980"/>
      <c r="T26" s="2981"/>
      <c r="U26" s="2428"/>
      <c r="V26" s="2984"/>
      <c r="W26" s="2984"/>
      <c r="X26" s="2429"/>
      <c r="Z26" s="717">
        <v>4</v>
      </c>
      <c r="AA26" s="1134" t="e">
        <f>'[20]原始记录（电阻箱）'!AA26</f>
        <v>#REF!</v>
      </c>
      <c r="AB26" s="976" t="e">
        <f>'[20]原始记录（电阻箱）'!AB26</f>
        <v>#REF!</v>
      </c>
      <c r="AC26" s="2493" t="e">
        <f>'[20]原始记录（电阻箱）'!AC26:AD26</f>
        <v>#REF!</v>
      </c>
      <c r="AD26" s="2611"/>
      <c r="AE26" s="2980"/>
      <c r="AF26" s="2981"/>
      <c r="AG26" s="2428"/>
      <c r="AH26" s="2984"/>
      <c r="AI26" s="2984"/>
      <c r="AJ26" s="2429"/>
    </row>
    <row r="27" spans="1:38">
      <c r="A27" s="879">
        <v>5</v>
      </c>
      <c r="B27" s="1133">
        <v>1.1556</v>
      </c>
      <c r="C27" s="979">
        <f t="shared" si="0"/>
        <v>11.555999999999999</v>
      </c>
      <c r="D27" s="2996">
        <f t="shared" si="1"/>
        <v>-7.9999999999991189E-3</v>
      </c>
      <c r="E27" s="2997"/>
      <c r="F27" s="3007"/>
      <c r="G27" s="3008"/>
      <c r="H27" s="3012"/>
      <c r="I27" s="3012"/>
      <c r="J27" s="3012"/>
      <c r="K27" s="3013"/>
      <c r="N27" s="717">
        <v>5</v>
      </c>
      <c r="O27" s="1134" t="e">
        <f>'[20]原始记录（电阻箱）'!O27</f>
        <v>#REF!</v>
      </c>
      <c r="P27" s="976" t="e">
        <f>'[20]原始记录（电阻箱）'!P27</f>
        <v>#REF!</v>
      </c>
      <c r="Q27" s="2493" t="e">
        <f>'[20]原始记录（电阻箱）'!Q27:R27</f>
        <v>#REF!</v>
      </c>
      <c r="R27" s="2611"/>
      <c r="S27" s="2980"/>
      <c r="T27" s="2981"/>
      <c r="U27" s="2428"/>
      <c r="V27" s="2984"/>
      <c r="W27" s="2984"/>
      <c r="X27" s="2429"/>
      <c r="Z27" s="717">
        <v>5</v>
      </c>
      <c r="AA27" s="1134" t="e">
        <f>'[20]原始记录（电阻箱）'!AA27</f>
        <v>#REF!</v>
      </c>
      <c r="AB27" s="976" t="e">
        <f>'[20]原始记录（电阻箱）'!AB27</f>
        <v>#REF!</v>
      </c>
      <c r="AC27" s="2493" t="e">
        <f>'[20]原始记录（电阻箱）'!AC27:AD27</f>
        <v>#REF!</v>
      </c>
      <c r="AD27" s="2611"/>
      <c r="AE27" s="2980"/>
      <c r="AF27" s="2981"/>
      <c r="AG27" s="2428"/>
      <c r="AH27" s="2984"/>
      <c r="AI27" s="2984"/>
      <c r="AJ27" s="2429"/>
    </row>
    <row r="28" spans="1:38">
      <c r="A28" s="879">
        <v>6</v>
      </c>
      <c r="B28" s="1133">
        <v>1.1553</v>
      </c>
      <c r="C28" s="979">
        <f t="shared" si="0"/>
        <v>11.552999999999999</v>
      </c>
      <c r="D28" s="2996">
        <f t="shared" si="1"/>
        <v>3.0000000000001137E-3</v>
      </c>
      <c r="E28" s="2997"/>
      <c r="F28" s="2524"/>
      <c r="G28" s="3009"/>
      <c r="H28" s="3014"/>
      <c r="I28" s="3014"/>
      <c r="J28" s="3014"/>
      <c r="K28" s="3015"/>
      <c r="N28" s="717">
        <v>6</v>
      </c>
      <c r="O28" s="1134" t="e">
        <f>'[20]原始记录（电阻箱）'!O28</f>
        <v>#REF!</v>
      </c>
      <c r="P28" s="976" t="e">
        <f>'[20]原始记录（电阻箱）'!P28</f>
        <v>#REF!</v>
      </c>
      <c r="Q28" s="2835" t="e">
        <f>'[20]原始记录（电阻箱）'!Q28:R28</f>
        <v>#REF!</v>
      </c>
      <c r="R28" s="2836"/>
      <c r="S28" s="2982"/>
      <c r="T28" s="2983"/>
      <c r="U28" s="2383"/>
      <c r="V28" s="2579"/>
      <c r="W28" s="2579"/>
      <c r="X28" s="2384"/>
      <c r="Z28" s="717">
        <v>6</v>
      </c>
      <c r="AA28" s="1134" t="e">
        <f>'[20]原始记录（电阻箱）'!AA28</f>
        <v>#REF!</v>
      </c>
      <c r="AB28" s="976" t="e">
        <f>'[20]原始记录（电阻箱）'!AB28</f>
        <v>#REF!</v>
      </c>
      <c r="AC28" s="2835" t="e">
        <f>'[20]原始记录（电阻箱）'!AC28:AD28</f>
        <v>#REF!</v>
      </c>
      <c r="AD28" s="2836"/>
      <c r="AE28" s="2982"/>
      <c r="AF28" s="2983"/>
      <c r="AG28" s="2383"/>
      <c r="AH28" s="2579"/>
      <c r="AI28" s="2579"/>
      <c r="AJ28" s="2384"/>
    </row>
    <row r="30" spans="1:38">
      <c r="A30" s="701" t="s">
        <v>2816</v>
      </c>
      <c r="B30" s="1135"/>
      <c r="C30" s="883" t="s">
        <v>2817</v>
      </c>
      <c r="E30" t="s">
        <v>960</v>
      </c>
      <c r="N30" s="702" t="s">
        <v>2281</v>
      </c>
      <c r="Z30" s="702" t="s">
        <v>2280</v>
      </c>
    </row>
    <row r="31" spans="1:38">
      <c r="A31" s="2735" t="s">
        <v>2818</v>
      </c>
      <c r="B31" s="1136"/>
      <c r="C31" s="1006" t="s">
        <v>90</v>
      </c>
      <c r="D31" s="1137">
        <v>1</v>
      </c>
      <c r="E31" s="2943" t="s">
        <v>2819</v>
      </c>
      <c r="F31" s="2944"/>
      <c r="G31" s="2975" t="s">
        <v>90</v>
      </c>
      <c r="H31" s="2976"/>
      <c r="I31" s="1009">
        <v>100</v>
      </c>
      <c r="J31" s="2960" t="s">
        <v>2820</v>
      </c>
      <c r="K31" s="2961"/>
      <c r="N31" s="2735" t="s">
        <v>2818</v>
      </c>
      <c r="O31" s="1140"/>
      <c r="P31" s="1012" t="s">
        <v>90</v>
      </c>
      <c r="Q31" s="1141" t="e">
        <f>'[20]原始记录（电阻箱）'!Q31</f>
        <v>#REF!</v>
      </c>
      <c r="R31" s="2799" t="s">
        <v>2821</v>
      </c>
      <c r="S31" s="2800"/>
      <c r="T31" s="2964" t="s">
        <v>90</v>
      </c>
      <c r="U31" s="2965"/>
      <c r="V31" s="942" t="e">
        <f>'[20]原始记录（电阻箱）'!V31</f>
        <v>#REF!</v>
      </c>
      <c r="W31" s="2739" t="s">
        <v>2822</v>
      </c>
      <c r="X31" s="2858"/>
      <c r="Z31" s="2735" t="s">
        <v>2823</v>
      </c>
      <c r="AA31" s="1136"/>
      <c r="AB31" s="1006" t="s">
        <v>90</v>
      </c>
      <c r="AC31" s="1137">
        <v>1</v>
      </c>
      <c r="AD31" s="2943" t="s">
        <v>2824</v>
      </c>
      <c r="AE31" s="2944"/>
      <c r="AF31" s="2975" t="s">
        <v>90</v>
      </c>
      <c r="AG31" s="2976"/>
      <c r="AH31" s="940">
        <v>100</v>
      </c>
      <c r="AI31" s="2942" t="s">
        <v>2825</v>
      </c>
      <c r="AJ31" s="2942"/>
      <c r="AK31" s="2942"/>
      <c r="AL31" s="2942"/>
    </row>
    <row r="32" spans="1:38" ht="14.25" customHeight="1">
      <c r="A32" s="2736"/>
      <c r="B32" s="2975" t="s">
        <v>2826</v>
      </c>
      <c r="C32" s="2976"/>
      <c r="D32" s="957">
        <v>1E-4</v>
      </c>
      <c r="E32" s="2943" t="s">
        <v>2827</v>
      </c>
      <c r="F32" s="2944"/>
      <c r="G32" s="2975" t="s">
        <v>2826</v>
      </c>
      <c r="H32" s="2976"/>
      <c r="I32" s="957">
        <v>1E-4</v>
      </c>
      <c r="J32" s="2943" t="s">
        <v>2827</v>
      </c>
      <c r="K32" s="2944"/>
      <c r="N32" s="2736"/>
      <c r="O32" s="2964" t="s">
        <v>2826</v>
      </c>
      <c r="P32" s="2965"/>
      <c r="Q32" s="718" t="e">
        <f>'[20]原始记录（电阻箱）'!Q32</f>
        <v>#REF!</v>
      </c>
      <c r="R32" s="2799" t="s">
        <v>2828</v>
      </c>
      <c r="S32" s="2800"/>
      <c r="T32" s="2964" t="s">
        <v>2829</v>
      </c>
      <c r="U32" s="2965"/>
      <c r="V32" s="718" t="e">
        <f>'[20]原始记录（电阻箱）'!V32</f>
        <v>#REF!</v>
      </c>
      <c r="W32" s="2799" t="s">
        <v>2830</v>
      </c>
      <c r="X32" s="2800"/>
      <c r="Z32" s="2736"/>
      <c r="AA32" s="2975" t="s">
        <v>2831</v>
      </c>
      <c r="AB32" s="2976"/>
      <c r="AC32" s="957">
        <v>1E-4</v>
      </c>
      <c r="AD32" s="2943" t="s">
        <v>2830</v>
      </c>
      <c r="AE32" s="2944"/>
      <c r="AF32" s="2975" t="s">
        <v>2831</v>
      </c>
      <c r="AG32" s="2976"/>
      <c r="AH32" s="957">
        <v>1E-4</v>
      </c>
      <c r="AI32" s="2977" t="s">
        <v>2830</v>
      </c>
      <c r="AJ32" s="2977"/>
      <c r="AK32" s="2977"/>
      <c r="AL32" s="2977"/>
    </row>
    <row r="33" spans="1:38">
      <c r="A33" s="2737"/>
      <c r="B33" s="790" t="s">
        <v>2832</v>
      </c>
      <c r="C33" s="2788" t="s">
        <v>2833</v>
      </c>
      <c r="D33" s="2789"/>
      <c r="E33" s="2788" t="s">
        <v>2834</v>
      </c>
      <c r="F33" s="2789"/>
      <c r="G33" s="2788" t="s">
        <v>2835</v>
      </c>
      <c r="H33" s="2814"/>
      <c r="I33" s="2789"/>
      <c r="J33" s="2788" t="s">
        <v>2836</v>
      </c>
      <c r="K33" s="2789"/>
      <c r="N33" s="2737"/>
      <c r="O33" s="2434" t="s">
        <v>2837</v>
      </c>
      <c r="P33" s="2434"/>
      <c r="Q33" s="2434"/>
      <c r="R33" s="2434" t="s">
        <v>2838</v>
      </c>
      <c r="S33" s="2434"/>
      <c r="T33" s="2434" t="s">
        <v>2837</v>
      </c>
      <c r="U33" s="2434"/>
      <c r="V33" s="2434"/>
      <c r="W33" s="2434" t="s">
        <v>2838</v>
      </c>
      <c r="X33" s="2434"/>
      <c r="Z33" s="2737"/>
      <c r="AA33" s="790" t="s">
        <v>2839</v>
      </c>
      <c r="AB33" s="2788" t="s">
        <v>2838</v>
      </c>
      <c r="AC33" s="2789"/>
      <c r="AD33" s="2788" t="s">
        <v>2840</v>
      </c>
      <c r="AE33" s="2789"/>
      <c r="AF33" s="2788" t="s">
        <v>2841</v>
      </c>
      <c r="AG33" s="2814"/>
      <c r="AH33" s="2789"/>
      <c r="AI33" s="2788" t="s">
        <v>2842</v>
      </c>
      <c r="AJ33" s="2789"/>
      <c r="AK33" s="2788" t="s">
        <v>2840</v>
      </c>
      <c r="AL33" s="2789"/>
    </row>
    <row r="34" spans="1:38">
      <c r="A34" s="785">
        <v>1</v>
      </c>
      <c r="B34" s="1080">
        <v>0.99995000000000001</v>
      </c>
      <c r="C34" s="2967"/>
      <c r="D34" s="2968"/>
      <c r="E34" s="2969">
        <f>(A34*$D$31-B34)/B34*100</f>
        <v>5.0002500125000742E-3</v>
      </c>
      <c r="F34" s="2970"/>
      <c r="G34" s="2971">
        <v>99.998999999999995</v>
      </c>
      <c r="H34" s="2972"/>
      <c r="I34" s="2973"/>
      <c r="J34" s="2969">
        <v>1E-3</v>
      </c>
      <c r="K34" s="2970"/>
      <c r="N34" s="731">
        <v>1</v>
      </c>
      <c r="O34" s="2974" t="e">
        <f>'[20]原始记录（电阻箱）'!O34:Q34</f>
        <v>#REF!</v>
      </c>
      <c r="P34" s="2974"/>
      <c r="Q34" s="2974"/>
      <c r="R34" s="2485" t="e">
        <f>'[20]原始记录（电阻箱）'!R34:S34</f>
        <v>#REF!</v>
      </c>
      <c r="S34" s="2485"/>
      <c r="T34" s="2485" t="e">
        <f>'[20]原始记录（电阻箱）'!T34:V34</f>
        <v>#REF!</v>
      </c>
      <c r="U34" s="2485"/>
      <c r="V34" s="2485"/>
      <c r="W34" s="2485" t="e">
        <f>'[20]原始记录（电阻箱）'!W34:X34</f>
        <v>#REF!</v>
      </c>
      <c r="X34" s="2485"/>
      <c r="Z34" s="785">
        <v>1</v>
      </c>
      <c r="AA34" s="1080">
        <v>0.99995000000000001</v>
      </c>
      <c r="AB34" s="2967"/>
      <c r="AC34" s="2968"/>
      <c r="AD34" s="2969">
        <f>(Z34*$D$31-AA34)/AA34*100</f>
        <v>5.0002500125000742E-3</v>
      </c>
      <c r="AE34" s="2970"/>
      <c r="AF34" s="2971">
        <v>99.998999999999995</v>
      </c>
      <c r="AG34" s="2972"/>
      <c r="AH34" s="2973"/>
      <c r="AI34" s="2969">
        <v>1E-3</v>
      </c>
      <c r="AJ34" s="2970"/>
      <c r="AK34" s="2298"/>
      <c r="AL34" s="2298"/>
    </row>
    <row r="35" spans="1:38">
      <c r="A35" s="785">
        <v>2</v>
      </c>
      <c r="B35" s="1080"/>
      <c r="C35" s="2967"/>
      <c r="D35" s="2968"/>
      <c r="E35" s="2969"/>
      <c r="F35" s="2970"/>
      <c r="G35" s="2971"/>
      <c r="H35" s="2972"/>
      <c r="I35" s="2973"/>
      <c r="J35" s="2969"/>
      <c r="K35" s="2970"/>
      <c r="N35" s="731">
        <v>2</v>
      </c>
      <c r="O35" s="2974" t="e">
        <f>'[20]原始记录（电阻箱）'!O35:Q35</f>
        <v>#REF!</v>
      </c>
      <c r="P35" s="2974"/>
      <c r="Q35" s="2974"/>
      <c r="R35" s="2485" t="e">
        <f>'[20]原始记录（电阻箱）'!R35:S35</f>
        <v>#REF!</v>
      </c>
      <c r="S35" s="2485"/>
      <c r="T35" s="2485" t="e">
        <f>'[20]原始记录（电阻箱）'!T35:V35</f>
        <v>#REF!</v>
      </c>
      <c r="U35" s="2485"/>
      <c r="V35" s="2485"/>
      <c r="W35" s="2485" t="e">
        <f>'[20]原始记录（电阻箱）'!W35:X35</f>
        <v>#REF!</v>
      </c>
      <c r="X35" s="2485"/>
      <c r="Z35" s="785">
        <v>2</v>
      </c>
      <c r="AA35" s="1080"/>
      <c r="AB35" s="2967"/>
      <c r="AC35" s="2968"/>
      <c r="AD35" s="2969"/>
      <c r="AE35" s="2970"/>
      <c r="AF35" s="2971"/>
      <c r="AG35" s="2972"/>
      <c r="AH35" s="2973"/>
      <c r="AI35" s="2969"/>
      <c r="AJ35" s="2970"/>
      <c r="AK35" s="1814"/>
      <c r="AL35" s="1714"/>
    </row>
    <row r="36" spans="1:38" ht="14.25" customHeight="1">
      <c r="A36" s="785">
        <v>3</v>
      </c>
      <c r="B36" s="1080"/>
      <c r="C36" s="2967"/>
      <c r="D36" s="2968"/>
      <c r="E36" s="2969"/>
      <c r="F36" s="2970"/>
      <c r="G36" s="2971"/>
      <c r="H36" s="2972"/>
      <c r="I36" s="2973"/>
      <c r="J36" s="2969"/>
      <c r="K36" s="2970"/>
      <c r="M36" s="2431" t="s">
        <v>2843</v>
      </c>
      <c r="N36" s="731">
        <v>3</v>
      </c>
      <c r="O36" s="2974" t="e">
        <f>'[20]原始记录（电阻箱）'!O36:Q36</f>
        <v>#REF!</v>
      </c>
      <c r="P36" s="2974"/>
      <c r="Q36" s="2974"/>
      <c r="R36" s="2485" t="e">
        <f>'[20]原始记录（电阻箱）'!R36:S36</f>
        <v>#REF!</v>
      </c>
      <c r="S36" s="2485"/>
      <c r="T36" s="2485" t="e">
        <f>'[20]原始记录（电阻箱）'!T36:V36</f>
        <v>#REF!</v>
      </c>
      <c r="U36" s="2485"/>
      <c r="V36" s="2485"/>
      <c r="W36" s="2485" t="e">
        <f>'[20]原始记录（电阻箱）'!W36:X36</f>
        <v>#REF!</v>
      </c>
      <c r="X36" s="2485"/>
      <c r="Z36" s="785">
        <v>3</v>
      </c>
      <c r="AA36" s="1080"/>
      <c r="AB36" s="2967"/>
      <c r="AC36" s="2968"/>
      <c r="AD36" s="2969"/>
      <c r="AE36" s="2970"/>
      <c r="AF36" s="2971"/>
      <c r="AG36" s="2972"/>
      <c r="AH36" s="2973"/>
      <c r="AI36" s="2969"/>
      <c r="AJ36" s="2970"/>
      <c r="AK36" s="1814"/>
      <c r="AL36" s="1714"/>
    </row>
    <row r="37" spans="1:38">
      <c r="A37" s="785">
        <v>4</v>
      </c>
      <c r="B37" s="1080"/>
      <c r="C37" s="2967"/>
      <c r="D37" s="2968"/>
      <c r="E37" s="2969"/>
      <c r="F37" s="2970"/>
      <c r="G37" s="2971"/>
      <c r="H37" s="2972"/>
      <c r="I37" s="2973"/>
      <c r="J37" s="2969"/>
      <c r="K37" s="2970"/>
      <c r="M37" s="2431"/>
      <c r="N37" s="731">
        <v>4</v>
      </c>
      <c r="O37" s="2974" t="e">
        <f>'[20]原始记录（电阻箱）'!O37:Q37</f>
        <v>#REF!</v>
      </c>
      <c r="P37" s="2974"/>
      <c r="Q37" s="2974"/>
      <c r="R37" s="2485" t="e">
        <f>'[20]原始记录（电阻箱）'!R37:S37</f>
        <v>#REF!</v>
      </c>
      <c r="S37" s="2485"/>
      <c r="T37" s="2485" t="e">
        <f>'[20]原始记录（电阻箱）'!T37:V37</f>
        <v>#REF!</v>
      </c>
      <c r="U37" s="2485"/>
      <c r="V37" s="2485"/>
      <c r="W37" s="2485" t="e">
        <f>'[20]原始记录（电阻箱）'!W37:X37</f>
        <v>#REF!</v>
      </c>
      <c r="X37" s="2485"/>
      <c r="Z37" s="785">
        <v>4</v>
      </c>
      <c r="AA37" s="1080"/>
      <c r="AB37" s="2967"/>
      <c r="AC37" s="2968"/>
      <c r="AD37" s="2969"/>
      <c r="AE37" s="2970"/>
      <c r="AF37" s="2971"/>
      <c r="AG37" s="2972"/>
      <c r="AH37" s="2973"/>
      <c r="AI37" s="2969"/>
      <c r="AJ37" s="2970"/>
      <c r="AK37" s="2298"/>
      <c r="AL37" s="2298"/>
    </row>
    <row r="38" spans="1:38" ht="16.5" customHeight="1">
      <c r="A38" s="785">
        <v>5</v>
      </c>
      <c r="B38" s="1080"/>
      <c r="C38" s="2967"/>
      <c r="D38" s="2968"/>
      <c r="E38" s="2969"/>
      <c r="F38" s="2970"/>
      <c r="G38" s="2971"/>
      <c r="H38" s="2972"/>
      <c r="I38" s="2973"/>
      <c r="J38" s="2969"/>
      <c r="K38" s="2970"/>
      <c r="M38" s="2431"/>
      <c r="N38" s="731">
        <v>5</v>
      </c>
      <c r="O38" s="2974" t="e">
        <f>'[20]原始记录（电阻箱）'!O38:Q38</f>
        <v>#REF!</v>
      </c>
      <c r="P38" s="2974"/>
      <c r="Q38" s="2974"/>
      <c r="R38" s="2485" t="e">
        <f>'[20]原始记录（电阻箱）'!R38:S38</f>
        <v>#REF!</v>
      </c>
      <c r="S38" s="2485"/>
      <c r="T38" s="2485" t="e">
        <f>'[20]原始记录（电阻箱）'!T38:V38</f>
        <v>#REF!</v>
      </c>
      <c r="U38" s="2485"/>
      <c r="V38" s="2485"/>
      <c r="W38" s="2485" t="e">
        <f>'[20]原始记录（电阻箱）'!W38:X38</f>
        <v>#REF!</v>
      </c>
      <c r="X38" s="2485"/>
      <c r="Z38" s="785">
        <v>5</v>
      </c>
      <c r="AA38" s="1080"/>
      <c r="AB38" s="2967"/>
      <c r="AC38" s="2968"/>
      <c r="AD38" s="2969"/>
      <c r="AE38" s="2970"/>
      <c r="AF38" s="2971"/>
      <c r="AG38" s="2972"/>
      <c r="AH38" s="2973"/>
      <c r="AI38" s="2969"/>
      <c r="AJ38" s="2970"/>
      <c r="AK38" s="2298"/>
      <c r="AL38" s="2298"/>
    </row>
    <row r="39" spans="1:38" ht="16.5" customHeight="1">
      <c r="A39" s="785">
        <v>6</v>
      </c>
      <c r="B39" s="1080"/>
      <c r="C39" s="2967"/>
      <c r="D39" s="2968"/>
      <c r="E39" s="2969"/>
      <c r="F39" s="2970"/>
      <c r="G39" s="2971"/>
      <c r="H39" s="2972"/>
      <c r="I39" s="2973"/>
      <c r="J39" s="2969"/>
      <c r="K39" s="2970"/>
      <c r="N39" s="731">
        <v>6</v>
      </c>
      <c r="O39" s="2974" t="e">
        <f>'[20]原始记录（电阻箱）'!O39:Q39</f>
        <v>#REF!</v>
      </c>
      <c r="P39" s="2974"/>
      <c r="Q39" s="2974"/>
      <c r="R39" s="2485" t="e">
        <f>'[20]原始记录（电阻箱）'!R39:S39</f>
        <v>#REF!</v>
      </c>
      <c r="S39" s="2485"/>
      <c r="T39" s="2485" t="e">
        <f>'[20]原始记录（电阻箱）'!T39:V39</f>
        <v>#REF!</v>
      </c>
      <c r="U39" s="2485"/>
      <c r="V39" s="2485"/>
      <c r="W39" s="2485" t="e">
        <f>'[20]原始记录（电阻箱）'!W39:X39</f>
        <v>#REF!</v>
      </c>
      <c r="X39" s="2485"/>
      <c r="Z39" s="785">
        <v>6</v>
      </c>
      <c r="AA39" s="1080"/>
      <c r="AB39" s="2967"/>
      <c r="AC39" s="2968"/>
      <c r="AD39" s="2969"/>
      <c r="AE39" s="2970"/>
      <c r="AF39" s="2971"/>
      <c r="AG39" s="2972"/>
      <c r="AH39" s="2973"/>
      <c r="AI39" s="2969"/>
      <c r="AJ39" s="2970"/>
      <c r="AK39" s="2298"/>
      <c r="AL39" s="2298"/>
    </row>
    <row r="40" spans="1:38" ht="16.5" customHeight="1">
      <c r="A40" s="785">
        <v>7</v>
      </c>
      <c r="B40" s="1080"/>
      <c r="C40" s="2967"/>
      <c r="D40" s="2968"/>
      <c r="E40" s="2969"/>
      <c r="F40" s="2970"/>
      <c r="G40" s="2971"/>
      <c r="H40" s="2972"/>
      <c r="I40" s="2973"/>
      <c r="J40" s="2969"/>
      <c r="K40" s="2970"/>
      <c r="N40" s="731">
        <v>7</v>
      </c>
      <c r="O40" s="2974" t="e">
        <f>'[20]原始记录（电阻箱）'!O40:Q40</f>
        <v>#REF!</v>
      </c>
      <c r="P40" s="2974"/>
      <c r="Q40" s="2974"/>
      <c r="R40" s="2485" t="e">
        <f>'[20]原始记录（电阻箱）'!R40:S40</f>
        <v>#REF!</v>
      </c>
      <c r="S40" s="2485"/>
      <c r="T40" s="2485" t="e">
        <f>'[20]原始记录（电阻箱）'!T40:V40</f>
        <v>#REF!</v>
      </c>
      <c r="U40" s="2485"/>
      <c r="V40" s="2485"/>
      <c r="W40" s="2485" t="e">
        <f>'[20]原始记录（电阻箱）'!W40:X40</f>
        <v>#REF!</v>
      </c>
      <c r="X40" s="2485"/>
      <c r="Z40" s="785">
        <v>7</v>
      </c>
      <c r="AA40" s="1080"/>
      <c r="AB40" s="2967"/>
      <c r="AC40" s="2968"/>
      <c r="AD40" s="2969"/>
      <c r="AE40" s="2970"/>
      <c r="AF40" s="2971"/>
      <c r="AG40" s="2972"/>
      <c r="AH40" s="2973"/>
      <c r="AI40" s="2969"/>
      <c r="AJ40" s="2970"/>
      <c r="AK40" s="2298"/>
      <c r="AL40" s="2298"/>
    </row>
    <row r="41" spans="1:38" ht="16.5" customHeight="1">
      <c r="A41" s="785">
        <v>8</v>
      </c>
      <c r="B41" s="1080"/>
      <c r="C41" s="2967"/>
      <c r="D41" s="2968"/>
      <c r="E41" s="2969"/>
      <c r="F41" s="2970"/>
      <c r="G41" s="2971"/>
      <c r="H41" s="2972"/>
      <c r="I41" s="2973"/>
      <c r="J41" s="2969"/>
      <c r="K41" s="2970"/>
      <c r="N41" s="731">
        <v>8</v>
      </c>
      <c r="O41" s="2974" t="e">
        <f>'[20]原始记录（电阻箱）'!O41:Q41</f>
        <v>#REF!</v>
      </c>
      <c r="P41" s="2974"/>
      <c r="Q41" s="2974"/>
      <c r="R41" s="2485" t="e">
        <f>'[20]原始记录（电阻箱）'!R41:S41</f>
        <v>#REF!</v>
      </c>
      <c r="S41" s="2485"/>
      <c r="T41" s="2485" t="e">
        <f>'[20]原始记录（电阻箱）'!T41:V41</f>
        <v>#REF!</v>
      </c>
      <c r="U41" s="2485"/>
      <c r="V41" s="2485"/>
      <c r="W41" s="2485" t="e">
        <f>'[20]原始记录（电阻箱）'!W41:X41</f>
        <v>#REF!</v>
      </c>
      <c r="X41" s="2485"/>
      <c r="Z41" s="785">
        <v>8</v>
      </c>
      <c r="AA41" s="1080"/>
      <c r="AB41" s="2967"/>
      <c r="AC41" s="2968"/>
      <c r="AD41" s="2969"/>
      <c r="AE41" s="2970"/>
      <c r="AF41" s="2971"/>
      <c r="AG41" s="2972"/>
      <c r="AH41" s="2973"/>
      <c r="AI41" s="2969"/>
      <c r="AJ41" s="2970"/>
      <c r="AK41" s="2298"/>
      <c r="AL41" s="2298"/>
    </row>
    <row r="42" spans="1:38">
      <c r="A42" s="785">
        <v>9</v>
      </c>
      <c r="B42" s="1080"/>
      <c r="C42" s="2967"/>
      <c r="D42" s="2968"/>
      <c r="E42" s="2969"/>
      <c r="F42" s="2970"/>
      <c r="G42" s="2971"/>
      <c r="H42" s="2972"/>
      <c r="I42" s="2973"/>
      <c r="J42" s="2969"/>
      <c r="K42" s="2970"/>
      <c r="N42" s="731">
        <v>9</v>
      </c>
      <c r="O42" s="2974" t="e">
        <f>'[20]原始记录（电阻箱）'!O42:Q42</f>
        <v>#REF!</v>
      </c>
      <c r="P42" s="2974"/>
      <c r="Q42" s="2974"/>
      <c r="R42" s="2485" t="e">
        <f>'[20]原始记录（电阻箱）'!R42:S42</f>
        <v>#REF!</v>
      </c>
      <c r="S42" s="2485"/>
      <c r="T42" s="2485" t="e">
        <f>'[20]原始记录（电阻箱）'!T42:V42</f>
        <v>#REF!</v>
      </c>
      <c r="U42" s="2485"/>
      <c r="V42" s="2485"/>
      <c r="W42" s="2485" t="e">
        <f>'[20]原始记录（电阻箱）'!W42:X42</f>
        <v>#REF!</v>
      </c>
      <c r="X42" s="2485"/>
      <c r="Z42" s="785">
        <v>9</v>
      </c>
      <c r="AA42" s="1080"/>
      <c r="AB42" s="2967"/>
      <c r="AC42" s="2968"/>
      <c r="AD42" s="2969"/>
      <c r="AE42" s="2970"/>
      <c r="AF42" s="2971"/>
      <c r="AG42" s="2972"/>
      <c r="AH42" s="2973"/>
      <c r="AI42" s="2969"/>
      <c r="AJ42" s="2970"/>
      <c r="AK42" s="1814"/>
      <c r="AL42" s="1714"/>
    </row>
    <row r="43" spans="1:38">
      <c r="A43" s="785">
        <v>10</v>
      </c>
      <c r="B43" s="1080"/>
      <c r="C43" s="2967"/>
      <c r="D43" s="2968"/>
      <c r="E43" s="2969"/>
      <c r="F43" s="2970"/>
      <c r="G43" s="2971"/>
      <c r="H43" s="2972"/>
      <c r="I43" s="2973"/>
      <c r="J43" s="2969"/>
      <c r="K43" s="2970"/>
      <c r="N43" s="731">
        <v>10</v>
      </c>
      <c r="O43" s="2974" t="e">
        <f>'[20]原始记录（电阻箱）'!O43:Q43</f>
        <v>#REF!</v>
      </c>
      <c r="P43" s="2974"/>
      <c r="Q43" s="2974"/>
      <c r="R43" s="2485" t="e">
        <f>'[20]原始记录（电阻箱）'!R43:S43</f>
        <v>#REF!</v>
      </c>
      <c r="S43" s="2485"/>
      <c r="T43" s="2485" t="e">
        <f>'[20]原始记录（电阻箱）'!T43:V43</f>
        <v>#REF!</v>
      </c>
      <c r="U43" s="2485"/>
      <c r="V43" s="2485"/>
      <c r="W43" s="2485" t="e">
        <f>'[20]原始记录（电阻箱）'!W43:X43</f>
        <v>#REF!</v>
      </c>
      <c r="X43" s="2485"/>
      <c r="Z43" s="785">
        <v>10</v>
      </c>
      <c r="AA43" s="1080"/>
      <c r="AB43" s="2967"/>
      <c r="AC43" s="2968"/>
      <c r="AD43" s="2969"/>
      <c r="AE43" s="2970"/>
      <c r="AF43" s="2971"/>
      <c r="AG43" s="2972"/>
      <c r="AH43" s="2973"/>
      <c r="AI43" s="2969"/>
      <c r="AJ43" s="2970"/>
      <c r="AK43" s="2298"/>
      <c r="AL43" s="2298"/>
    </row>
    <row r="44" spans="1:38" ht="28.5">
      <c r="A44" s="785" t="s">
        <v>2844</v>
      </c>
      <c r="B44" s="1136"/>
      <c r="C44" s="1138" t="s">
        <v>2845</v>
      </c>
      <c r="D44" s="1139">
        <v>0.01</v>
      </c>
      <c r="E44" s="1145"/>
      <c r="F44" s="1010"/>
      <c r="G44" s="1136"/>
      <c r="H44" s="1138" t="s">
        <v>2846</v>
      </c>
      <c r="I44" s="1139">
        <v>0.01</v>
      </c>
      <c r="J44" s="1139"/>
      <c r="K44" s="1010"/>
      <c r="N44" s="731" t="s">
        <v>2760</v>
      </c>
      <c r="O44" s="1140"/>
      <c r="P44" s="1143" t="s">
        <v>2846</v>
      </c>
      <c r="Q44" s="956" t="e">
        <f>'[20]原始记录（电阻箱）'!Q44</f>
        <v>#REF!</v>
      </c>
      <c r="R44" s="881"/>
      <c r="S44" s="882"/>
      <c r="T44" s="1140"/>
      <c r="U44" s="1143" t="s">
        <v>2845</v>
      </c>
      <c r="V44" s="956" t="e">
        <f>'[20]原始记录（电阻箱）'!V44</f>
        <v>#REF!</v>
      </c>
      <c r="W44" s="956"/>
      <c r="X44" s="882"/>
      <c r="Z44" s="785" t="s">
        <v>2847</v>
      </c>
      <c r="AA44" s="1136"/>
      <c r="AB44" s="1138" t="s">
        <v>2848</v>
      </c>
      <c r="AC44" s="1139">
        <v>0.01</v>
      </c>
      <c r="AD44" s="1145"/>
      <c r="AE44" s="1010"/>
      <c r="AF44" s="1136"/>
      <c r="AG44" s="2966" t="s">
        <v>2849</v>
      </c>
      <c r="AH44" s="2966"/>
      <c r="AI44" s="2966"/>
      <c r="AJ44" s="2966"/>
      <c r="AK44" s="2966"/>
      <c r="AL44" s="2694"/>
    </row>
    <row r="45" spans="1:38">
      <c r="B45" s="702" t="s">
        <v>2850</v>
      </c>
      <c r="C45" s="702"/>
      <c r="E45" t="s">
        <v>961</v>
      </c>
      <c r="N45" s="702" t="s">
        <v>2685</v>
      </c>
      <c r="Z45" s="702" t="s">
        <v>2686</v>
      </c>
    </row>
    <row r="46" spans="1:38">
      <c r="A46" s="2735" t="s">
        <v>2851</v>
      </c>
      <c r="B46" s="1136"/>
      <c r="C46" s="1006" t="s">
        <v>90</v>
      </c>
      <c r="D46" s="1137">
        <v>10000</v>
      </c>
      <c r="E46" s="2943" t="s">
        <v>2852</v>
      </c>
      <c r="F46" s="2944"/>
      <c r="G46" s="2975" t="s">
        <v>90</v>
      </c>
      <c r="H46" s="2976"/>
      <c r="I46" s="1009">
        <v>1000</v>
      </c>
      <c r="J46" s="2960" t="s">
        <v>91</v>
      </c>
      <c r="K46" s="2961"/>
      <c r="N46" s="2735" t="s">
        <v>2851</v>
      </c>
      <c r="O46" s="1140"/>
      <c r="P46" s="1012" t="s">
        <v>90</v>
      </c>
      <c r="Q46" s="1141" t="e">
        <f>'[20]原始记录（电阻箱）'!Q47</f>
        <v>#REF!</v>
      </c>
      <c r="R46" s="2799" t="s">
        <v>2853</v>
      </c>
      <c r="S46" s="2800"/>
      <c r="T46" s="2964" t="s">
        <v>90</v>
      </c>
      <c r="U46" s="2965"/>
      <c r="V46" s="942" t="e">
        <f>'[20]原始记录（电阻箱）'!V47</f>
        <v>#REF!</v>
      </c>
      <c r="W46" s="2739" t="s">
        <v>91</v>
      </c>
      <c r="X46" s="2858"/>
      <c r="Z46" s="2735" t="s">
        <v>2818</v>
      </c>
      <c r="AA46" s="1140"/>
      <c r="AB46" s="1012" t="s">
        <v>90</v>
      </c>
      <c r="AC46" s="1141" t="e">
        <f>'[20]原始记录（电阻箱）'!AC47</f>
        <v>#REF!</v>
      </c>
      <c r="AD46" s="2799" t="s">
        <v>2854</v>
      </c>
      <c r="AE46" s="2799"/>
      <c r="AF46" s="2800"/>
      <c r="AG46" s="2964" t="s">
        <v>90</v>
      </c>
      <c r="AH46" s="2965"/>
      <c r="AI46" s="942" t="e">
        <f>'[20]原始记录（电阻箱）'!AH47</f>
        <v>#REF!</v>
      </c>
      <c r="AJ46" s="2739" t="s">
        <v>91</v>
      </c>
      <c r="AK46" s="2858"/>
      <c r="AL46" s="2"/>
    </row>
    <row r="47" spans="1:38">
      <c r="A47" s="2736"/>
      <c r="B47" s="2975" t="s">
        <v>2826</v>
      </c>
      <c r="C47" s="2976"/>
      <c r="D47" s="957">
        <v>1E-4</v>
      </c>
      <c r="E47" s="2943" t="s">
        <v>2827</v>
      </c>
      <c r="F47" s="2944"/>
      <c r="G47" s="2975" t="s">
        <v>2826</v>
      </c>
      <c r="H47" s="2976"/>
      <c r="I47" s="957">
        <v>1E-3</v>
      </c>
      <c r="J47" s="2943" t="s">
        <v>2827</v>
      </c>
      <c r="K47" s="2944"/>
      <c r="N47" s="2736"/>
      <c r="O47" s="2964" t="s">
        <v>2826</v>
      </c>
      <c r="P47" s="2965"/>
      <c r="Q47" s="718" t="e">
        <f>'[20]原始记录（电阻箱）'!Q48</f>
        <v>#REF!</v>
      </c>
      <c r="R47" s="2799" t="s">
        <v>2828</v>
      </c>
      <c r="S47" s="2800"/>
      <c r="T47" s="2964" t="s">
        <v>2829</v>
      </c>
      <c r="U47" s="2965"/>
      <c r="V47" s="718" t="e">
        <f>'[20]原始记录（电阻箱）'!V48</f>
        <v>#REF!</v>
      </c>
      <c r="W47" s="2799" t="s">
        <v>2855</v>
      </c>
      <c r="X47" s="2800"/>
      <c r="Z47" s="2736"/>
      <c r="AA47" s="2964" t="s">
        <v>2805</v>
      </c>
      <c r="AB47" s="2965"/>
      <c r="AC47" s="718" t="e">
        <f>'[20]原始记录（电阻箱）'!AC48</f>
        <v>#REF!</v>
      </c>
      <c r="AD47" s="2799" t="s">
        <v>2856</v>
      </c>
      <c r="AE47" s="2799"/>
      <c r="AF47" s="2800"/>
      <c r="AG47" s="2964" t="s">
        <v>2857</v>
      </c>
      <c r="AH47" s="2965"/>
      <c r="AI47" s="718" t="e">
        <f>'[20]原始记录（电阻箱）'!AH48</f>
        <v>#REF!</v>
      </c>
      <c r="AJ47" s="2799" t="s">
        <v>2828</v>
      </c>
      <c r="AK47" s="2800"/>
      <c r="AL47" s="2"/>
    </row>
    <row r="48" spans="1:38" ht="42.75">
      <c r="A48" s="2737"/>
      <c r="B48" s="2693" t="s">
        <v>2858</v>
      </c>
      <c r="C48" s="2694"/>
      <c r="D48" s="2930" t="s">
        <v>2859</v>
      </c>
      <c r="E48" s="2932"/>
      <c r="F48" s="1146" t="s">
        <v>2860</v>
      </c>
      <c r="G48" s="2693" t="s">
        <v>2861</v>
      </c>
      <c r="H48" s="2694"/>
      <c r="I48" s="2930" t="s">
        <v>2859</v>
      </c>
      <c r="J48" s="2932"/>
      <c r="K48" s="1146" t="s">
        <v>2860</v>
      </c>
      <c r="N48" s="2737"/>
      <c r="O48" s="2493" t="s">
        <v>2861</v>
      </c>
      <c r="P48" s="2611"/>
      <c r="Q48" s="2385" t="s">
        <v>2859</v>
      </c>
      <c r="R48" s="2379"/>
      <c r="S48" s="698" t="s">
        <v>2862</v>
      </c>
      <c r="T48" s="2493" t="s">
        <v>2861</v>
      </c>
      <c r="U48" s="2611"/>
      <c r="V48" s="2385" t="s">
        <v>2859</v>
      </c>
      <c r="W48" s="2379"/>
      <c r="X48" s="698" t="s">
        <v>2862</v>
      </c>
      <c r="Z48" s="2737"/>
      <c r="AA48" s="2493" t="s">
        <v>2861</v>
      </c>
      <c r="AB48" s="2611"/>
      <c r="AC48" s="2385" t="s">
        <v>2859</v>
      </c>
      <c r="AD48" s="2379"/>
      <c r="AE48" s="698" t="s">
        <v>2862</v>
      </c>
      <c r="AF48" t="s">
        <v>2863</v>
      </c>
      <c r="AG48" s="2493" t="s">
        <v>2861</v>
      </c>
      <c r="AH48" s="2611"/>
      <c r="AI48" s="2385" t="s">
        <v>2859</v>
      </c>
      <c r="AJ48" s="2379"/>
      <c r="AK48" s="698" t="s">
        <v>2862</v>
      </c>
      <c r="AL48" s="1390" t="s">
        <v>2863</v>
      </c>
    </row>
    <row r="49" spans="1:38">
      <c r="A49" s="785">
        <v>1</v>
      </c>
      <c r="B49" s="2993">
        <v>1.0000899999999999</v>
      </c>
      <c r="C49" s="2994"/>
      <c r="D49" s="2991" t="e">
        <f t="shared" ref="D49:D58" si="2">B49/$D$40-$G$8/1000</f>
        <v>#DIV/0!</v>
      </c>
      <c r="E49" s="2992"/>
      <c r="F49" s="979" t="e">
        <f>($A49*$D$39-D49)/D49*100</f>
        <v>#DIV/0!</v>
      </c>
      <c r="G49" s="2993">
        <v>1.00014</v>
      </c>
      <c r="H49" s="2994"/>
      <c r="I49" s="2935" t="e">
        <f t="shared" ref="I49:I58" si="3">G49/$I$40-$G$8/1000</f>
        <v>#DIV/0!</v>
      </c>
      <c r="J49" s="2937"/>
      <c r="K49" s="979" t="e">
        <f>($A49*$I$39-I49)/I49*100</f>
        <v>#DIV/0!</v>
      </c>
      <c r="L49" s="2962" t="s">
        <v>2864</v>
      </c>
      <c r="M49" s="2963"/>
      <c r="N49" s="731">
        <v>1</v>
      </c>
      <c r="O49" s="2955" t="e">
        <f>'[20]原始记录（电阻箱）'!O50:P50</f>
        <v>#REF!</v>
      </c>
      <c r="P49" s="2956"/>
      <c r="Q49" s="2484" t="e">
        <f>'[20]原始记录（电阻箱）'!Q50:R50</f>
        <v>#REF!</v>
      </c>
      <c r="R49" s="2959"/>
      <c r="S49" s="976" t="e">
        <f>'[20]原始记录（电阻箱）'!S50</f>
        <v>#REF!</v>
      </c>
      <c r="T49" s="2955" t="e">
        <f>'[20]原始记录（电阻箱）'!T50:U50</f>
        <v>#REF!</v>
      </c>
      <c r="U49" s="2956"/>
      <c r="V49" s="2957" t="e">
        <f>'[20]原始记录（电阻箱）'!V50:W50</f>
        <v>#REF!</v>
      </c>
      <c r="W49" s="2958"/>
      <c r="X49" s="976" t="e">
        <f>'[20]原始记录（电阻箱）'!X50</f>
        <v>#REF!</v>
      </c>
      <c r="Z49" s="731">
        <v>1</v>
      </c>
      <c r="AA49" s="2955" t="e">
        <f>'[20]原始记录（电阻箱）'!AA50:AB50</f>
        <v>#REF!</v>
      </c>
      <c r="AB49" s="2956"/>
      <c r="AC49" s="2484" t="e">
        <f>'[20]原始记录（电阻箱）'!AC50:AD50</f>
        <v>#REF!</v>
      </c>
      <c r="AD49" s="2959"/>
      <c r="AE49" s="976" t="e">
        <f>'[20]原始记录（电阻箱）'!AE50</f>
        <v>#REF!</v>
      </c>
      <c r="AF49" s="1149"/>
      <c r="AG49" s="2955" t="e">
        <f>'[20]原始记录（电阻箱）'!AF50:AG50</f>
        <v>#REF!</v>
      </c>
      <c r="AH49" s="2956"/>
      <c r="AI49" s="2957" t="e">
        <f>'[20]原始记录（电阻箱）'!AH50:AI50</f>
        <v>#REF!</v>
      </c>
      <c r="AJ49" s="2958"/>
      <c r="AK49" s="976" t="e">
        <f>'[20]原始记录（电阻箱）'!AJ50</f>
        <v>#REF!</v>
      </c>
      <c r="AL49" s="2"/>
    </row>
    <row r="50" spans="1:38">
      <c r="A50" s="939">
        <v>2</v>
      </c>
      <c r="B50" s="2585">
        <v>2.0000599999999999</v>
      </c>
      <c r="C50" s="2652"/>
      <c r="D50" s="2991" t="e">
        <f t="shared" si="2"/>
        <v>#DIV/0!</v>
      </c>
      <c r="E50" s="2992"/>
      <c r="F50" s="979" t="e">
        <f t="shared" ref="F50:F58" si="4">($A50*$D$39-D50)/D50*100</f>
        <v>#DIV/0!</v>
      </c>
      <c r="G50" s="2993">
        <v>2.0001500000000001</v>
      </c>
      <c r="H50" s="2994"/>
      <c r="I50" s="2935" t="e">
        <f t="shared" si="3"/>
        <v>#DIV/0!</v>
      </c>
      <c r="J50" s="2937"/>
      <c r="K50" s="979" t="e">
        <f t="shared" ref="K50:K58" si="5">($A50*$I$39-I50)/I50*100</f>
        <v>#DIV/0!</v>
      </c>
      <c r="L50" s="2962"/>
      <c r="M50" s="2963"/>
      <c r="N50" s="885">
        <v>2</v>
      </c>
      <c r="O50" s="2955" t="e">
        <f>'[20]原始记录（电阻箱）'!O51:P51</f>
        <v>#REF!</v>
      </c>
      <c r="P50" s="2956"/>
      <c r="Q50" s="2484" t="e">
        <f>'[20]原始记录（电阻箱）'!Q51:R51</f>
        <v>#REF!</v>
      </c>
      <c r="R50" s="2959"/>
      <c r="S50" s="976" t="e">
        <f>'[20]原始记录（电阻箱）'!S51</f>
        <v>#REF!</v>
      </c>
      <c r="T50" s="2955" t="e">
        <f>'[20]原始记录（电阻箱）'!T51:U51</f>
        <v>#REF!</v>
      </c>
      <c r="U50" s="2956"/>
      <c r="V50" s="2957" t="e">
        <f>'[20]原始记录（电阻箱）'!V51:W51</f>
        <v>#REF!</v>
      </c>
      <c r="W50" s="2958"/>
      <c r="X50" s="976" t="e">
        <f>'[20]原始记录（电阻箱）'!X51</f>
        <v>#REF!</v>
      </c>
      <c r="Z50" s="885">
        <v>2</v>
      </c>
      <c r="AA50" s="2955" t="e">
        <f>'[20]原始记录（电阻箱）'!AA51:AB51</f>
        <v>#REF!</v>
      </c>
      <c r="AB50" s="2956"/>
      <c r="AC50" s="2484" t="e">
        <f>'[20]原始记录（电阻箱）'!AC51:AD51</f>
        <v>#REF!</v>
      </c>
      <c r="AD50" s="2959"/>
      <c r="AE50" s="976" t="e">
        <f>'[20]原始记录（电阻箱）'!AE51</f>
        <v>#REF!</v>
      </c>
      <c r="AF50" s="1149"/>
      <c r="AG50" s="2955" t="e">
        <f>'[20]原始记录（电阻箱）'!AF51:AG51</f>
        <v>#REF!</v>
      </c>
      <c r="AH50" s="2956"/>
      <c r="AI50" s="2957" t="e">
        <f>'[20]原始记录（电阻箱）'!AH51:AI51</f>
        <v>#REF!</v>
      </c>
      <c r="AJ50" s="2958"/>
      <c r="AK50" s="976" t="e">
        <f>'[20]原始记录（电阻箱）'!AJ51</f>
        <v>#REF!</v>
      </c>
      <c r="AL50" s="2"/>
    </row>
    <row r="51" spans="1:38">
      <c r="A51" s="939">
        <v>3</v>
      </c>
      <c r="B51" s="2585">
        <v>2.9999799999999999</v>
      </c>
      <c r="C51" s="2652"/>
      <c r="D51" s="2991" t="e">
        <f t="shared" si="2"/>
        <v>#DIV/0!</v>
      </c>
      <c r="E51" s="2992"/>
      <c r="F51" s="979" t="e">
        <f t="shared" si="4"/>
        <v>#DIV/0!</v>
      </c>
      <c r="G51" s="2993">
        <v>3.0001699999999998</v>
      </c>
      <c r="H51" s="2994"/>
      <c r="I51" s="2935" t="e">
        <f t="shared" si="3"/>
        <v>#DIV/0!</v>
      </c>
      <c r="J51" s="2937"/>
      <c r="K51" s="979" t="e">
        <f t="shared" si="5"/>
        <v>#DIV/0!</v>
      </c>
      <c r="L51" s="2962"/>
      <c r="M51" s="2963"/>
      <c r="N51" s="885">
        <v>3</v>
      </c>
      <c r="O51" s="2955" t="e">
        <f>'[20]原始记录（电阻箱）'!O52:P52</f>
        <v>#REF!</v>
      </c>
      <c r="P51" s="2956"/>
      <c r="Q51" s="2484" t="e">
        <f>'[20]原始记录（电阻箱）'!Q52:R52</f>
        <v>#REF!</v>
      </c>
      <c r="R51" s="2959"/>
      <c r="S51" s="976" t="e">
        <f>'[20]原始记录（电阻箱）'!S52</f>
        <v>#REF!</v>
      </c>
      <c r="T51" s="2955" t="e">
        <f>'[20]原始记录（电阻箱）'!T52:U52</f>
        <v>#REF!</v>
      </c>
      <c r="U51" s="2956"/>
      <c r="V51" s="2957" t="e">
        <f>'[20]原始记录（电阻箱）'!V52:W52</f>
        <v>#REF!</v>
      </c>
      <c r="W51" s="2958"/>
      <c r="X51" s="976" t="e">
        <f>'[20]原始记录（电阻箱）'!X52</f>
        <v>#REF!</v>
      </c>
      <c r="Z51" s="885">
        <v>3</v>
      </c>
      <c r="AA51" s="2955" t="e">
        <f>'[20]原始记录（电阻箱）'!AA52:AB52</f>
        <v>#REF!</v>
      </c>
      <c r="AB51" s="2956"/>
      <c r="AC51" s="2484" t="e">
        <f>'[20]原始记录（电阻箱）'!AC52:AD52</f>
        <v>#REF!</v>
      </c>
      <c r="AD51" s="2959"/>
      <c r="AE51" s="976" t="e">
        <f>'[20]原始记录（电阻箱）'!AE52</f>
        <v>#REF!</v>
      </c>
      <c r="AF51" s="1149"/>
      <c r="AG51" s="2955" t="e">
        <f>'[20]原始记录（电阻箱）'!AF52:AG52</f>
        <v>#REF!</v>
      </c>
      <c r="AH51" s="2956"/>
      <c r="AI51" s="2957" t="e">
        <f>'[20]原始记录（电阻箱）'!AH52:AI52</f>
        <v>#REF!</v>
      </c>
      <c r="AJ51" s="2958"/>
      <c r="AK51" s="976" t="e">
        <f>'[20]原始记录（电阻箱）'!AJ52</f>
        <v>#REF!</v>
      </c>
      <c r="AL51" s="2"/>
    </row>
    <row r="52" spans="1:38" ht="15.75" customHeight="1">
      <c r="A52" s="939">
        <v>4</v>
      </c>
      <c r="B52" s="2585">
        <v>3.9999600000000002</v>
      </c>
      <c r="C52" s="2652"/>
      <c r="D52" s="2991" t="e">
        <f t="shared" si="2"/>
        <v>#DIV/0!</v>
      </c>
      <c r="E52" s="2992"/>
      <c r="F52" s="979" t="e">
        <f t="shared" si="4"/>
        <v>#DIV/0!</v>
      </c>
      <c r="G52" s="2993">
        <v>4.0002300000000002</v>
      </c>
      <c r="H52" s="2994"/>
      <c r="I52" s="2935" t="e">
        <f t="shared" si="3"/>
        <v>#DIV/0!</v>
      </c>
      <c r="J52" s="2937"/>
      <c r="K52" s="979" t="e">
        <f t="shared" si="5"/>
        <v>#DIV/0!</v>
      </c>
      <c r="L52" s="2962"/>
      <c r="M52" s="2963"/>
      <c r="N52" s="885">
        <v>4</v>
      </c>
      <c r="O52" s="2955" t="e">
        <f>'[20]原始记录（电阻箱）'!O53:P53</f>
        <v>#REF!</v>
      </c>
      <c r="P52" s="2956"/>
      <c r="Q52" s="2484" t="e">
        <f>'[20]原始记录（电阻箱）'!Q53:R53</f>
        <v>#REF!</v>
      </c>
      <c r="R52" s="2959"/>
      <c r="S52" s="976" t="e">
        <f>'[20]原始记录（电阻箱）'!S53</f>
        <v>#REF!</v>
      </c>
      <c r="T52" s="2955" t="e">
        <f>'[20]原始记录（电阻箱）'!T53:U53</f>
        <v>#REF!</v>
      </c>
      <c r="U52" s="2956"/>
      <c r="V52" s="2957" t="e">
        <f>'[20]原始记录（电阻箱）'!V53:W53</f>
        <v>#REF!</v>
      </c>
      <c r="W52" s="2958"/>
      <c r="X52" s="976" t="e">
        <f>'[20]原始记录（电阻箱）'!X53</f>
        <v>#REF!</v>
      </c>
      <c r="Z52" s="885">
        <v>4</v>
      </c>
      <c r="AA52" s="2955" t="e">
        <f>'[20]原始记录（电阻箱）'!AA53:AB53</f>
        <v>#REF!</v>
      </c>
      <c r="AB52" s="2956"/>
      <c r="AC52" s="2484" t="e">
        <f>'[20]原始记录（电阻箱）'!AC53:AD53</f>
        <v>#REF!</v>
      </c>
      <c r="AD52" s="2959"/>
      <c r="AE52" s="976" t="e">
        <f>'[20]原始记录（电阻箱）'!AE53</f>
        <v>#REF!</v>
      </c>
      <c r="AF52" s="1149"/>
      <c r="AG52" s="2955" t="e">
        <f>'[20]原始记录（电阻箱）'!AF53:AG53</f>
        <v>#REF!</v>
      </c>
      <c r="AH52" s="2956"/>
      <c r="AI52" s="2957" t="e">
        <f>'[20]原始记录（电阻箱）'!AH53:AI53</f>
        <v>#REF!</v>
      </c>
      <c r="AJ52" s="2958"/>
      <c r="AK52" s="976" t="e">
        <f>'[20]原始记录（电阻箱）'!AJ53</f>
        <v>#REF!</v>
      </c>
      <c r="AL52" s="2"/>
    </row>
    <row r="53" spans="1:38" ht="15" customHeight="1">
      <c r="A53" s="939">
        <v>5</v>
      </c>
      <c r="B53" s="2585">
        <v>4.9999500000000001</v>
      </c>
      <c r="C53" s="2652"/>
      <c r="D53" s="2991" t="e">
        <f t="shared" si="2"/>
        <v>#DIV/0!</v>
      </c>
      <c r="E53" s="2992"/>
      <c r="F53" s="979" t="e">
        <f t="shared" si="4"/>
        <v>#DIV/0!</v>
      </c>
      <c r="G53" s="2993">
        <v>5.0002599999999999</v>
      </c>
      <c r="H53" s="2994"/>
      <c r="I53" s="2935" t="e">
        <f t="shared" si="3"/>
        <v>#DIV/0!</v>
      </c>
      <c r="J53" s="2937"/>
      <c r="K53" s="979" t="e">
        <f t="shared" si="5"/>
        <v>#DIV/0!</v>
      </c>
      <c r="L53" s="2962" t="s">
        <v>2865</v>
      </c>
      <c r="M53" s="2963"/>
      <c r="N53" s="885">
        <v>5</v>
      </c>
      <c r="O53" s="2955" t="e">
        <f>'[20]原始记录（电阻箱）'!O54:P54</f>
        <v>#REF!</v>
      </c>
      <c r="P53" s="2956"/>
      <c r="Q53" s="2484" t="e">
        <f>'[20]原始记录（电阻箱）'!Q54:R54</f>
        <v>#REF!</v>
      </c>
      <c r="R53" s="2959"/>
      <c r="S53" s="976" t="e">
        <f>'[20]原始记录（电阻箱）'!S54</f>
        <v>#REF!</v>
      </c>
      <c r="T53" s="2955" t="e">
        <f>'[20]原始记录（电阻箱）'!T54:U54</f>
        <v>#REF!</v>
      </c>
      <c r="U53" s="2956"/>
      <c r="V53" s="2957" t="e">
        <f>'[20]原始记录（电阻箱）'!V54:W54</f>
        <v>#REF!</v>
      </c>
      <c r="W53" s="2958"/>
      <c r="X53" s="976" t="e">
        <f>'[20]原始记录（电阻箱）'!X54</f>
        <v>#REF!</v>
      </c>
      <c r="Z53" s="885">
        <v>5</v>
      </c>
      <c r="AA53" s="2955" t="e">
        <f>'[20]原始记录（电阻箱）'!AA54:AB54</f>
        <v>#REF!</v>
      </c>
      <c r="AB53" s="2956"/>
      <c r="AC53" s="2484" t="e">
        <f>'[20]原始记录（电阻箱）'!AC54:AD54</f>
        <v>#REF!</v>
      </c>
      <c r="AD53" s="2959"/>
      <c r="AE53" s="976" t="e">
        <f>'[20]原始记录（电阻箱）'!AE54</f>
        <v>#REF!</v>
      </c>
      <c r="AF53" s="1149"/>
      <c r="AG53" s="2955" t="e">
        <f>'[20]原始记录（电阻箱）'!AF54:AG54</f>
        <v>#REF!</v>
      </c>
      <c r="AH53" s="2956"/>
      <c r="AI53" s="2957" t="e">
        <f>'[20]原始记录（电阻箱）'!AH54:AI54</f>
        <v>#REF!</v>
      </c>
      <c r="AJ53" s="2958"/>
      <c r="AK53" s="976" t="e">
        <f>'[20]原始记录（电阻箱）'!AJ54</f>
        <v>#REF!</v>
      </c>
      <c r="AL53" s="2"/>
    </row>
    <row r="54" spans="1:38">
      <c r="A54" s="939">
        <v>6</v>
      </c>
      <c r="B54" s="2585">
        <v>5.99993</v>
      </c>
      <c r="C54" s="2652"/>
      <c r="D54" s="2991" t="e">
        <f t="shared" si="2"/>
        <v>#DIV/0!</v>
      </c>
      <c r="E54" s="2992"/>
      <c r="F54" s="979" t="e">
        <f t="shared" si="4"/>
        <v>#DIV/0!</v>
      </c>
      <c r="G54" s="2993">
        <v>6.00021</v>
      </c>
      <c r="H54" s="2994"/>
      <c r="I54" s="2935" t="e">
        <f t="shared" si="3"/>
        <v>#DIV/0!</v>
      </c>
      <c r="J54" s="2937"/>
      <c r="K54" s="979" t="e">
        <f t="shared" si="5"/>
        <v>#DIV/0!</v>
      </c>
      <c r="L54" s="2962"/>
      <c r="M54" s="2963"/>
      <c r="N54" s="885">
        <v>6</v>
      </c>
      <c r="O54" s="2955" t="e">
        <f>'[20]原始记录（电阻箱）'!O55:P55</f>
        <v>#REF!</v>
      </c>
      <c r="P54" s="2956"/>
      <c r="Q54" s="2484" t="e">
        <f>'[20]原始记录（电阻箱）'!Q55:R55</f>
        <v>#REF!</v>
      </c>
      <c r="R54" s="2959"/>
      <c r="S54" s="976" t="e">
        <f>'[20]原始记录（电阻箱）'!S55</f>
        <v>#REF!</v>
      </c>
      <c r="T54" s="2955" t="e">
        <f>'[20]原始记录（电阻箱）'!T55:U55</f>
        <v>#REF!</v>
      </c>
      <c r="U54" s="2956"/>
      <c r="V54" s="2957" t="e">
        <f>'[20]原始记录（电阻箱）'!V55:W55</f>
        <v>#REF!</v>
      </c>
      <c r="W54" s="2958"/>
      <c r="X54" s="976" t="e">
        <f>'[20]原始记录（电阻箱）'!X55</f>
        <v>#REF!</v>
      </c>
      <c r="Z54" s="885">
        <v>6</v>
      </c>
      <c r="AA54" s="2955" t="e">
        <f>'[20]原始记录（电阻箱）'!AA55:AB55</f>
        <v>#REF!</v>
      </c>
      <c r="AB54" s="2956"/>
      <c r="AC54" s="2484" t="e">
        <f>'[20]原始记录（电阻箱）'!AC55:AD55</f>
        <v>#REF!</v>
      </c>
      <c r="AD54" s="2959"/>
      <c r="AE54" s="976" t="e">
        <f>'[20]原始记录（电阻箱）'!AE55</f>
        <v>#REF!</v>
      </c>
      <c r="AF54" s="1149"/>
      <c r="AG54" s="2955" t="e">
        <f>'[20]原始记录（电阻箱）'!AF55:AG55</f>
        <v>#REF!</v>
      </c>
      <c r="AH54" s="2956"/>
      <c r="AI54" s="2957" t="e">
        <f>'[20]原始记录（电阻箱）'!AH55:AI55</f>
        <v>#REF!</v>
      </c>
      <c r="AJ54" s="2958"/>
      <c r="AK54" s="976" t="e">
        <f>'[20]原始记录（电阻箱）'!AJ55</f>
        <v>#REF!</v>
      </c>
      <c r="AL54" s="2"/>
    </row>
    <row r="55" spans="1:38">
      <c r="A55" s="939">
        <v>7</v>
      </c>
      <c r="B55" s="2993">
        <v>6.9999700000000002</v>
      </c>
      <c r="C55" s="2994"/>
      <c r="D55" s="2991" t="e">
        <f t="shared" si="2"/>
        <v>#DIV/0!</v>
      </c>
      <c r="E55" s="2992"/>
      <c r="F55" s="979" t="e">
        <f t="shared" si="4"/>
        <v>#DIV/0!</v>
      </c>
      <c r="G55" s="2993">
        <v>7.0002700000000004</v>
      </c>
      <c r="H55" s="2994"/>
      <c r="I55" s="2935" t="e">
        <f t="shared" si="3"/>
        <v>#DIV/0!</v>
      </c>
      <c r="J55" s="2937"/>
      <c r="K55" s="979" t="e">
        <f t="shared" si="5"/>
        <v>#DIV/0!</v>
      </c>
      <c r="L55" s="2962"/>
      <c r="M55" s="2963"/>
      <c r="N55" s="885">
        <v>7</v>
      </c>
      <c r="O55" s="2955" t="e">
        <f>'[20]原始记录（电阻箱）'!O56:P56</f>
        <v>#REF!</v>
      </c>
      <c r="P55" s="2956"/>
      <c r="Q55" s="2484" t="e">
        <f>'[20]原始记录（电阻箱）'!Q56:R56</f>
        <v>#REF!</v>
      </c>
      <c r="R55" s="2959"/>
      <c r="S55" s="976" t="e">
        <f>'[20]原始记录（电阻箱）'!S56</f>
        <v>#REF!</v>
      </c>
      <c r="T55" s="2955" t="e">
        <f>'[20]原始记录（电阻箱）'!T56:U56</f>
        <v>#REF!</v>
      </c>
      <c r="U55" s="2956"/>
      <c r="V55" s="2957" t="e">
        <f>'[20]原始记录（电阻箱）'!V56:W56</f>
        <v>#REF!</v>
      </c>
      <c r="W55" s="2958"/>
      <c r="X55" s="976" t="e">
        <f>'[20]原始记录（电阻箱）'!X56</f>
        <v>#REF!</v>
      </c>
      <c r="Z55" s="885">
        <v>7</v>
      </c>
      <c r="AA55" s="2955" t="e">
        <f>'[20]原始记录（电阻箱）'!AA56:AB56</f>
        <v>#REF!</v>
      </c>
      <c r="AB55" s="2956"/>
      <c r="AC55" s="2484" t="e">
        <f>'[20]原始记录（电阻箱）'!AC56:AD56</f>
        <v>#REF!</v>
      </c>
      <c r="AD55" s="2959"/>
      <c r="AE55" s="976" t="e">
        <f>'[20]原始记录（电阻箱）'!AE56</f>
        <v>#REF!</v>
      </c>
      <c r="AF55" s="1149"/>
      <c r="AG55" s="2955" t="e">
        <f>'[20]原始记录（电阻箱）'!AF56:AG56</f>
        <v>#REF!</v>
      </c>
      <c r="AH55" s="2956"/>
      <c r="AI55" s="2957" t="e">
        <f>'[20]原始记录（电阻箱）'!AH56:AI56</f>
        <v>#REF!</v>
      </c>
      <c r="AJ55" s="2958"/>
      <c r="AK55" s="976" t="e">
        <f>'[20]原始记录（电阻箱）'!AJ56</f>
        <v>#REF!</v>
      </c>
      <c r="AL55" s="2"/>
    </row>
    <row r="56" spans="1:38">
      <c r="A56" s="939">
        <v>8</v>
      </c>
      <c r="B56" s="2585">
        <v>7.9999399999999996</v>
      </c>
      <c r="C56" s="2652"/>
      <c r="D56" s="2991" t="e">
        <f t="shared" si="2"/>
        <v>#DIV/0!</v>
      </c>
      <c r="E56" s="2992"/>
      <c r="F56" s="979" t="e">
        <f t="shared" si="4"/>
        <v>#DIV/0!</v>
      </c>
      <c r="G56" s="2993">
        <v>8.0003399999999996</v>
      </c>
      <c r="H56" s="2994"/>
      <c r="I56" s="2935" t="e">
        <f t="shared" si="3"/>
        <v>#DIV/0!</v>
      </c>
      <c r="J56" s="2937"/>
      <c r="K56" s="979" t="e">
        <f t="shared" si="5"/>
        <v>#DIV/0!</v>
      </c>
      <c r="N56" s="885">
        <v>8</v>
      </c>
      <c r="O56" s="2955" t="e">
        <f>'[20]原始记录（电阻箱）'!O57:P57</f>
        <v>#REF!</v>
      </c>
      <c r="P56" s="2956"/>
      <c r="Q56" s="2484" t="e">
        <f>'[20]原始记录（电阻箱）'!Q57:R57</f>
        <v>#REF!</v>
      </c>
      <c r="R56" s="2959"/>
      <c r="S56" s="976" t="e">
        <f>'[20]原始记录（电阻箱）'!S57</f>
        <v>#REF!</v>
      </c>
      <c r="T56" s="2955" t="e">
        <f>'[20]原始记录（电阻箱）'!T57:U57</f>
        <v>#REF!</v>
      </c>
      <c r="U56" s="2956"/>
      <c r="V56" s="2957" t="e">
        <f>'[20]原始记录（电阻箱）'!V57:W57</f>
        <v>#REF!</v>
      </c>
      <c r="W56" s="2958"/>
      <c r="X56" s="976" t="e">
        <f>'[20]原始记录（电阻箱）'!X57</f>
        <v>#REF!</v>
      </c>
      <c r="Z56" s="885">
        <v>8</v>
      </c>
      <c r="AA56" s="2955" t="e">
        <f>'[20]原始记录（电阻箱）'!AA57:AB57</f>
        <v>#REF!</v>
      </c>
      <c r="AB56" s="2956"/>
      <c r="AC56" s="2484" t="e">
        <f>'[20]原始记录（电阻箱）'!AC57:AD57</f>
        <v>#REF!</v>
      </c>
      <c r="AD56" s="2959"/>
      <c r="AE56" s="976" t="e">
        <f>'[20]原始记录（电阻箱）'!AE57</f>
        <v>#REF!</v>
      </c>
      <c r="AF56" s="1149"/>
      <c r="AG56" s="2955" t="e">
        <f>'[20]原始记录（电阻箱）'!AF57:AG57</f>
        <v>#REF!</v>
      </c>
      <c r="AH56" s="2956"/>
      <c r="AI56" s="2957" t="e">
        <f>'[20]原始记录（电阻箱）'!AH57:AI57</f>
        <v>#REF!</v>
      </c>
      <c r="AJ56" s="2958"/>
      <c r="AK56" s="976" t="e">
        <f>'[20]原始记录（电阻箱）'!AJ57</f>
        <v>#REF!</v>
      </c>
      <c r="AL56" s="2"/>
    </row>
    <row r="57" spans="1:38">
      <c r="A57" s="939">
        <v>9</v>
      </c>
      <c r="B57" s="2585">
        <v>8.9999500000000001</v>
      </c>
      <c r="C57" s="2652"/>
      <c r="D57" s="2991" t="e">
        <f t="shared" si="2"/>
        <v>#DIV/0!</v>
      </c>
      <c r="E57" s="2992"/>
      <c r="F57" s="979" t="e">
        <f t="shared" si="4"/>
        <v>#DIV/0!</v>
      </c>
      <c r="G57" s="2993">
        <v>9.0003700000000002</v>
      </c>
      <c r="H57" s="2994"/>
      <c r="I57" s="2935" t="e">
        <f t="shared" si="3"/>
        <v>#DIV/0!</v>
      </c>
      <c r="J57" s="2937"/>
      <c r="K57" s="979" t="e">
        <f t="shared" si="5"/>
        <v>#DIV/0!</v>
      </c>
      <c r="N57" s="885">
        <v>9</v>
      </c>
      <c r="O57" s="2955" t="e">
        <f>'[20]原始记录（电阻箱）'!O58:P58</f>
        <v>#REF!</v>
      </c>
      <c r="P57" s="2956"/>
      <c r="Q57" s="2484" t="e">
        <f>'[20]原始记录（电阻箱）'!Q58:R58</f>
        <v>#REF!</v>
      </c>
      <c r="R57" s="2959"/>
      <c r="S57" s="976" t="e">
        <f>'[20]原始记录（电阻箱）'!S58</f>
        <v>#REF!</v>
      </c>
      <c r="T57" s="2955" t="e">
        <f>'[20]原始记录（电阻箱）'!T58:U58</f>
        <v>#REF!</v>
      </c>
      <c r="U57" s="2956"/>
      <c r="V57" s="2957" t="e">
        <f>'[20]原始记录（电阻箱）'!V58:W58</f>
        <v>#REF!</v>
      </c>
      <c r="W57" s="2958"/>
      <c r="X57" s="976" t="e">
        <f>'[20]原始记录（电阻箱）'!X58</f>
        <v>#REF!</v>
      </c>
      <c r="Z57" s="885">
        <v>9</v>
      </c>
      <c r="AA57" s="2955" t="e">
        <f>'[20]原始记录（电阻箱）'!AA58:AB58</f>
        <v>#REF!</v>
      </c>
      <c r="AB57" s="2956"/>
      <c r="AC57" s="2484" t="e">
        <f>'[20]原始记录（电阻箱）'!AC58:AD58</f>
        <v>#REF!</v>
      </c>
      <c r="AD57" s="2959"/>
      <c r="AE57" s="976" t="e">
        <f>'[20]原始记录（电阻箱）'!AE58</f>
        <v>#REF!</v>
      </c>
      <c r="AF57" s="1149"/>
      <c r="AG57" s="2955" t="e">
        <f>'[20]原始记录（电阻箱）'!AF58:AG58</f>
        <v>#REF!</v>
      </c>
      <c r="AH57" s="2956"/>
      <c r="AI57" s="2957" t="e">
        <f>'[20]原始记录（电阻箱）'!AH58:AI58</f>
        <v>#REF!</v>
      </c>
      <c r="AJ57" s="2958"/>
      <c r="AK57" s="976" t="e">
        <f>'[20]原始记录（电阻箱）'!AJ58</f>
        <v>#REF!</v>
      </c>
      <c r="AL57" s="2"/>
    </row>
    <row r="58" spans="1:38">
      <c r="A58" s="939">
        <v>10</v>
      </c>
      <c r="B58" s="2585">
        <v>9.9999699999999994</v>
      </c>
      <c r="C58" s="2652"/>
      <c r="D58" s="2991" t="e">
        <f t="shared" si="2"/>
        <v>#DIV/0!</v>
      </c>
      <c r="E58" s="2992"/>
      <c r="F58" s="979" t="e">
        <f t="shared" si="4"/>
        <v>#DIV/0!</v>
      </c>
      <c r="G58" s="2993">
        <v>10.000439999999999</v>
      </c>
      <c r="H58" s="2994"/>
      <c r="I58" s="2935" t="e">
        <f t="shared" si="3"/>
        <v>#DIV/0!</v>
      </c>
      <c r="J58" s="2937"/>
      <c r="K58" s="979" t="e">
        <f t="shared" si="5"/>
        <v>#DIV/0!</v>
      </c>
      <c r="N58" s="885">
        <v>10</v>
      </c>
      <c r="O58" s="2955" t="e">
        <f>'[20]原始记录（电阻箱）'!O59:P59</f>
        <v>#REF!</v>
      </c>
      <c r="P58" s="2956"/>
      <c r="Q58" s="2484" t="e">
        <f>'[20]原始记录（电阻箱）'!Q59:R59</f>
        <v>#REF!</v>
      </c>
      <c r="R58" s="2959"/>
      <c r="S58" s="976" t="e">
        <f>'[20]原始记录（电阻箱）'!S59</f>
        <v>#REF!</v>
      </c>
      <c r="T58" s="2955" t="e">
        <f>'[20]原始记录（电阻箱）'!T59:U59</f>
        <v>#REF!</v>
      </c>
      <c r="U58" s="2956"/>
      <c r="V58" s="2957" t="e">
        <f>'[20]原始记录（电阻箱）'!V59:W59</f>
        <v>#REF!</v>
      </c>
      <c r="W58" s="2958"/>
      <c r="X58" s="976" t="e">
        <f>'[20]原始记录（电阻箱）'!X59</f>
        <v>#REF!</v>
      </c>
      <c r="Z58" s="885">
        <v>10</v>
      </c>
      <c r="AA58" s="2955" t="e">
        <f>'[20]原始记录（电阻箱）'!AA59:AB59</f>
        <v>#REF!</v>
      </c>
      <c r="AB58" s="2956"/>
      <c r="AC58" s="2484" t="e">
        <f>'[20]原始记录（电阻箱）'!AC59:AD59</f>
        <v>#REF!</v>
      </c>
      <c r="AD58" s="2959"/>
      <c r="AE58" s="976" t="e">
        <f>'[20]原始记录（电阻箱）'!AE59</f>
        <v>#REF!</v>
      </c>
      <c r="AF58" s="1149"/>
      <c r="AG58" s="2955" t="e">
        <f>'[20]原始记录（电阻箱）'!AF59:AG59</f>
        <v>#REF!</v>
      </c>
      <c r="AH58" s="2956"/>
      <c r="AI58" s="2957" t="e">
        <f>'[20]原始记录（电阻箱）'!AH59:AI59</f>
        <v>#REF!</v>
      </c>
      <c r="AJ58" s="2958"/>
      <c r="AK58" s="976" t="e">
        <f>'[20]原始记录（电阻箱）'!AJ59</f>
        <v>#REF!</v>
      </c>
      <c r="AL58" s="2"/>
    </row>
    <row r="59" spans="1:38" ht="28.5">
      <c r="A59" s="939" t="s">
        <v>2866</v>
      </c>
      <c r="B59" s="1136"/>
      <c r="C59" s="1138" t="s">
        <v>2867</v>
      </c>
      <c r="D59" s="1139">
        <v>0.01</v>
      </c>
      <c r="E59" s="1150"/>
      <c r="F59" s="1010"/>
      <c r="G59" s="1136"/>
      <c r="H59" s="1138" t="s">
        <v>2867</v>
      </c>
      <c r="I59" s="1139">
        <v>0.01</v>
      </c>
      <c r="J59" s="1139"/>
      <c r="K59" s="1010"/>
      <c r="N59" s="885" t="s">
        <v>2866</v>
      </c>
      <c r="O59" s="1140"/>
      <c r="P59" s="1143" t="s">
        <v>2867</v>
      </c>
      <c r="Q59" s="956" t="e">
        <f>'[20]原始记录（电阻箱）'!Q60</f>
        <v>#REF!</v>
      </c>
      <c r="R59" s="881"/>
      <c r="S59" s="882"/>
      <c r="T59" s="1140"/>
      <c r="U59" s="1143" t="s">
        <v>2845</v>
      </c>
      <c r="V59" s="956" t="e">
        <f>'[20]原始记录（电阻箱）'!V60</f>
        <v>#REF!</v>
      </c>
      <c r="W59" s="956"/>
      <c r="X59" s="882"/>
      <c r="Z59" s="885" t="s">
        <v>2868</v>
      </c>
      <c r="AA59" s="1140"/>
      <c r="AB59" s="1143" t="s">
        <v>2869</v>
      </c>
      <c r="AC59" s="956" t="e">
        <f>'[20]原始记录（电阻箱）'!AC60</f>
        <v>#REF!</v>
      </c>
      <c r="AD59" s="881"/>
      <c r="AE59" s="882"/>
      <c r="AF59" s="881"/>
      <c r="AG59" s="1140"/>
      <c r="AH59" s="1143" t="s">
        <v>2870</v>
      </c>
      <c r="AI59" s="956" t="e">
        <f>'[20]原始记录（电阻箱）'!AH60</f>
        <v>#REF!</v>
      </c>
      <c r="AJ59" s="956"/>
      <c r="AK59" s="882"/>
      <c r="AL59" s="2"/>
    </row>
    <row r="61" spans="1:38" hidden="1">
      <c r="A61" s="702" t="s">
        <v>2871</v>
      </c>
    </row>
    <row r="62" spans="1:38" ht="20.100000000000001" hidden="1" customHeight="1">
      <c r="A62" s="2788" t="s">
        <v>2872</v>
      </c>
      <c r="B62" s="2814"/>
      <c r="C62" s="2814"/>
      <c r="D62" s="2789"/>
      <c r="E62" s="2788" t="s">
        <v>2873</v>
      </c>
      <c r="F62" s="2814"/>
      <c r="G62" s="2814"/>
      <c r="H62" s="2789"/>
      <c r="N62" s="315"/>
    </row>
    <row r="63" spans="1:38" ht="20.100000000000001" hidden="1" customHeight="1">
      <c r="A63" s="2950" t="s">
        <v>2874</v>
      </c>
      <c r="B63" s="2951"/>
      <c r="C63" s="2951"/>
      <c r="D63" s="1151">
        <v>10.09</v>
      </c>
      <c r="E63" s="768"/>
      <c r="F63" s="1006" t="s">
        <v>2874</v>
      </c>
      <c r="G63" s="1151">
        <v>10.031000000000001</v>
      </c>
      <c r="H63" s="884"/>
      <c r="J63" s="2840" t="s">
        <v>2875</v>
      </c>
      <c r="K63" s="2840"/>
    </row>
    <row r="64" spans="1:38" ht="20.25" hidden="1" customHeight="1">
      <c r="A64" s="2950" t="s">
        <v>2876</v>
      </c>
      <c r="B64" s="2951"/>
      <c r="C64" s="2951"/>
      <c r="D64" s="1151">
        <v>10.092000000000001</v>
      </c>
      <c r="E64" s="768"/>
      <c r="F64" s="1006" t="s">
        <v>2876</v>
      </c>
      <c r="G64" s="1151">
        <v>10.026</v>
      </c>
      <c r="H64" s="884"/>
      <c r="J64" s="2840"/>
      <c r="K64" s="2840"/>
    </row>
    <row r="65" spans="1:31" ht="20.100000000000001" hidden="1" customHeight="1">
      <c r="A65" s="2950" t="s">
        <v>2877</v>
      </c>
      <c r="B65" s="2951"/>
      <c r="C65" s="2951"/>
      <c r="D65" s="1151">
        <v>10.092000000000001</v>
      </c>
      <c r="E65" s="768"/>
      <c r="F65" s="1006" t="s">
        <v>2877</v>
      </c>
      <c r="G65" s="1151">
        <v>10.021000000000001</v>
      </c>
      <c r="H65" s="884"/>
      <c r="J65" s="2840"/>
      <c r="K65" s="2840"/>
    </row>
    <row r="66" spans="1:31" ht="20.100000000000001" hidden="1" customHeight="1">
      <c r="A66" s="2950" t="s">
        <v>2878</v>
      </c>
      <c r="B66" s="2951"/>
      <c r="C66" s="2951"/>
      <c r="D66" s="1152">
        <f>AVERAGE(D63:D65)</f>
        <v>10.091333333333333</v>
      </c>
      <c r="E66" s="1140"/>
      <c r="F66" s="1006" t="s">
        <v>2878</v>
      </c>
      <c r="G66" s="1152">
        <f>AVERAGE(G63:G65)</f>
        <v>10.026000000000002</v>
      </c>
      <c r="H66" s="882"/>
    </row>
    <row r="67" spans="1:31" ht="20.100000000000001" customHeight="1"/>
    <row r="68" spans="1:31" ht="20.100000000000001" customHeight="1">
      <c r="A68" s="702" t="s">
        <v>2879</v>
      </c>
      <c r="M68" s="702" t="s">
        <v>2880</v>
      </c>
      <c r="V68" s="702" t="s">
        <v>2881</v>
      </c>
    </row>
    <row r="69" spans="1:31" ht="20.100000000000001" customHeight="1">
      <c r="A69" s="2735" t="s">
        <v>2823</v>
      </c>
      <c r="B69" s="1136"/>
      <c r="C69" s="1006" t="s">
        <v>90</v>
      </c>
      <c r="D69" s="1137">
        <v>10000</v>
      </c>
      <c r="E69" s="2943" t="s">
        <v>2853</v>
      </c>
      <c r="F69" s="2944"/>
      <c r="G69" s="2975" t="s">
        <v>90</v>
      </c>
      <c r="H69" s="2976"/>
      <c r="I69" s="1009">
        <v>1000</v>
      </c>
      <c r="J69" s="2960" t="s">
        <v>91</v>
      </c>
      <c r="K69" s="2961"/>
      <c r="M69" s="2749" t="s">
        <v>2823</v>
      </c>
      <c r="N69" s="2727"/>
      <c r="O69" s="1011" t="s">
        <v>90</v>
      </c>
      <c r="P69" s="1141">
        <v>1000</v>
      </c>
      <c r="Q69" s="884" t="s">
        <v>2853</v>
      </c>
      <c r="R69" s="1142" t="s">
        <v>90</v>
      </c>
      <c r="S69" s="942">
        <v>100</v>
      </c>
      <c r="T69" s="1000" t="s">
        <v>91</v>
      </c>
      <c r="V69" s="2749" t="s">
        <v>2823</v>
      </c>
      <c r="W69" s="2727"/>
      <c r="X69" s="1011" t="s">
        <v>90</v>
      </c>
      <c r="Y69" s="1141">
        <v>1000</v>
      </c>
      <c r="Z69" s="2386" t="s">
        <v>2853</v>
      </c>
      <c r="AA69" s="2379"/>
      <c r="AB69" s="1142" t="s">
        <v>90</v>
      </c>
      <c r="AC69" s="942">
        <v>100</v>
      </c>
      <c r="AD69" s="1000" t="s">
        <v>91</v>
      </c>
      <c r="AE69" s="2"/>
    </row>
    <row r="70" spans="1:31" ht="20.100000000000001" customHeight="1">
      <c r="A70" s="2736"/>
      <c r="B70" s="2975" t="s">
        <v>2826</v>
      </c>
      <c r="C70" s="2976"/>
      <c r="D70" s="957">
        <v>1E-4</v>
      </c>
      <c r="E70" s="2943" t="s">
        <v>2827</v>
      </c>
      <c r="F70" s="2944"/>
      <c r="G70" s="2975" t="s">
        <v>2826</v>
      </c>
      <c r="H70" s="2976"/>
      <c r="I70" s="957">
        <v>1E-3</v>
      </c>
      <c r="J70" s="2943" t="s">
        <v>2827</v>
      </c>
      <c r="K70" s="2944"/>
      <c r="M70" s="2953"/>
      <c r="N70" s="2954"/>
      <c r="O70" s="885" t="s">
        <v>2826</v>
      </c>
      <c r="P70" s="718">
        <v>1E-3</v>
      </c>
      <c r="Q70" s="884" t="s">
        <v>2827</v>
      </c>
      <c r="R70" s="885" t="s">
        <v>2826</v>
      </c>
      <c r="S70" s="718">
        <v>0.01</v>
      </c>
      <c r="T70" s="884" t="s">
        <v>2827</v>
      </c>
      <c r="V70" s="2953"/>
      <c r="W70" s="2954"/>
      <c r="X70" s="885" t="s">
        <v>2826</v>
      </c>
      <c r="Y70" s="718">
        <v>1E-3</v>
      </c>
      <c r="Z70" s="2386" t="s">
        <v>2827</v>
      </c>
      <c r="AA70" s="2379"/>
      <c r="AB70" s="885" t="s">
        <v>2826</v>
      </c>
      <c r="AC70" s="718">
        <v>0.01</v>
      </c>
      <c r="AD70" s="884" t="s">
        <v>2827</v>
      </c>
      <c r="AE70" s="2"/>
    </row>
    <row r="71" spans="1:31" ht="20.100000000000001" customHeight="1">
      <c r="A71" s="2737"/>
      <c r="B71" s="2693" t="s">
        <v>2882</v>
      </c>
      <c r="C71" s="2694"/>
      <c r="D71" s="2930" t="s">
        <v>2883</v>
      </c>
      <c r="E71" s="2932"/>
      <c r="F71" s="1146" t="s">
        <v>2884</v>
      </c>
      <c r="G71" s="2693" t="s">
        <v>2882</v>
      </c>
      <c r="H71" s="2694"/>
      <c r="I71" s="2930" t="s">
        <v>2883</v>
      </c>
      <c r="J71" s="2932"/>
      <c r="K71" s="1146" t="s">
        <v>2884</v>
      </c>
      <c r="M71" s="2728"/>
      <c r="N71" s="2729"/>
      <c r="O71" s="1001" t="s">
        <v>2882</v>
      </c>
      <c r="P71" s="698" t="s">
        <v>2883</v>
      </c>
      <c r="Q71" s="698" t="s">
        <v>2884</v>
      </c>
      <c r="R71" s="1001" t="s">
        <v>2882</v>
      </c>
      <c r="S71" s="698" t="s">
        <v>2883</v>
      </c>
      <c r="T71" s="698" t="s">
        <v>2884</v>
      </c>
      <c r="V71" s="2728"/>
      <c r="W71" s="2729"/>
      <c r="X71" s="1001" t="s">
        <v>2882</v>
      </c>
      <c r="Y71" s="698" t="s">
        <v>2883</v>
      </c>
      <c r="Z71" s="698" t="s">
        <v>2884</v>
      </c>
      <c r="AA71" s="720" t="s">
        <v>2885</v>
      </c>
      <c r="AB71" s="1001" t="s">
        <v>2882</v>
      </c>
      <c r="AC71" s="698" t="s">
        <v>2883</v>
      </c>
      <c r="AD71" s="698" t="s">
        <v>2884</v>
      </c>
      <c r="AE71" s="1153" t="s">
        <v>2885</v>
      </c>
    </row>
    <row r="72" spans="1:31">
      <c r="A72" s="785">
        <v>1</v>
      </c>
      <c r="B72" s="2993">
        <v>1.0000899999999999</v>
      </c>
      <c r="C72" s="2994"/>
      <c r="D72" s="2991" t="e">
        <f t="shared" ref="D72:D81" si="6">B72/$D$40-$G$8/1000</f>
        <v>#DIV/0!</v>
      </c>
      <c r="E72" s="2992"/>
      <c r="F72" s="979" t="e">
        <f>($A72*$D$39-D72)/D72*100</f>
        <v>#DIV/0!</v>
      </c>
      <c r="G72" s="2993">
        <v>1.00014</v>
      </c>
      <c r="H72" s="2994"/>
      <c r="I72" s="2935" t="e">
        <f t="shared" ref="I72:I81" si="7">G72/$I$40-$G$8/1000</f>
        <v>#DIV/0!</v>
      </c>
      <c r="J72" s="2937"/>
      <c r="K72" s="979" t="e">
        <f>($A72*$I$39-I72)/I72*100</f>
        <v>#DIV/0!</v>
      </c>
      <c r="M72" s="2952">
        <v>1</v>
      </c>
      <c r="N72" s="2952"/>
      <c r="O72" s="1021" t="e">
        <f>'[21]原始记录（电阻箱）'!O72</f>
        <v>#REF!</v>
      </c>
      <c r="P72" s="1155" t="e">
        <f>'[21]原始记录（电阻箱）'!P72</f>
        <v>#REF!</v>
      </c>
      <c r="Q72" s="976" t="e">
        <f>'[21]原始记录（电阻箱）'!Q72</f>
        <v>#REF!</v>
      </c>
      <c r="R72" s="1156" t="e">
        <f>'[21]原始记录（电阻箱）'!R72</f>
        <v>#REF!</v>
      </c>
      <c r="S72" s="1157" t="e">
        <f>'[21]原始记录（电阻箱）'!S72</f>
        <v>#REF!</v>
      </c>
      <c r="T72" s="976" t="e">
        <f>'[21]原始记录（电阻箱）'!T72</f>
        <v>#REF!</v>
      </c>
      <c r="V72" s="2952">
        <v>1</v>
      </c>
      <c r="W72" s="2952"/>
      <c r="X72" s="1021" t="e">
        <f>'[21]原始记录（电阻箱）'!X72</f>
        <v>#REF!</v>
      </c>
      <c r="Y72" s="1155" t="e">
        <f>'[21]原始记录（电阻箱）'!Y72</f>
        <v>#REF!</v>
      </c>
      <c r="Z72" s="976" t="e">
        <f>'[21]原始记录（电阻箱）'!Z72</f>
        <v>#REF!</v>
      </c>
      <c r="AA72" s="976"/>
      <c r="AB72" s="1156" t="e">
        <f>'[21]原始记录（电阻箱）'!AA72</f>
        <v>#REF!</v>
      </c>
      <c r="AC72" s="1157" t="e">
        <f>'[21]原始记录（电阻箱）'!AB72</f>
        <v>#REF!</v>
      </c>
      <c r="AD72" s="976" t="e">
        <f>'[21]原始记录（电阻箱）'!AC72</f>
        <v>#REF!</v>
      </c>
      <c r="AE72" s="674"/>
    </row>
    <row r="73" spans="1:31">
      <c r="A73" s="939">
        <v>2</v>
      </c>
      <c r="B73" s="2585">
        <v>2.0000599999999999</v>
      </c>
      <c r="C73" s="2652"/>
      <c r="D73" s="2991" t="e">
        <f t="shared" si="6"/>
        <v>#DIV/0!</v>
      </c>
      <c r="E73" s="2992"/>
      <c r="F73" s="979" t="e">
        <f t="shared" ref="F73:F81" si="8">($A73*$D$39-D73)/D73*100</f>
        <v>#DIV/0!</v>
      </c>
      <c r="G73" s="2993">
        <v>2.0001500000000001</v>
      </c>
      <c r="H73" s="2994"/>
      <c r="I73" s="2935" t="e">
        <f t="shared" si="7"/>
        <v>#DIV/0!</v>
      </c>
      <c r="J73" s="2937"/>
      <c r="K73" s="979" t="e">
        <f t="shared" ref="K73:K81" si="9">($A73*$I$39-I73)/I73*100</f>
        <v>#DIV/0!</v>
      </c>
      <c r="M73" s="2952">
        <v>2</v>
      </c>
      <c r="N73" s="2952"/>
      <c r="O73" s="1021" t="e">
        <f>'[21]原始记录（电阻箱）'!O73</f>
        <v>#REF!</v>
      </c>
      <c r="P73" s="1155" t="e">
        <f>'[21]原始记录（电阻箱）'!P73</f>
        <v>#REF!</v>
      </c>
      <c r="Q73" s="976" t="e">
        <f>'[21]原始记录（电阻箱）'!Q73</f>
        <v>#REF!</v>
      </c>
      <c r="R73" s="1156" t="e">
        <f>'[21]原始记录（电阻箱）'!R73</f>
        <v>#REF!</v>
      </c>
      <c r="S73" s="1157" t="e">
        <f>'[21]原始记录（电阻箱）'!S73</f>
        <v>#REF!</v>
      </c>
      <c r="T73" s="976" t="e">
        <f>'[21]原始记录（电阻箱）'!T73</f>
        <v>#REF!</v>
      </c>
      <c r="V73" s="2952">
        <v>2</v>
      </c>
      <c r="W73" s="2952"/>
      <c r="X73" s="1021" t="e">
        <f>'[21]原始记录（电阻箱）'!X73</f>
        <v>#REF!</v>
      </c>
      <c r="Y73" s="1155" t="e">
        <f>'[21]原始记录（电阻箱）'!Y73</f>
        <v>#REF!</v>
      </c>
      <c r="Z73" s="976" t="e">
        <f>'[21]原始记录（电阻箱）'!Z73</f>
        <v>#REF!</v>
      </c>
      <c r="AA73" s="976"/>
      <c r="AB73" s="1156" t="e">
        <f>'[21]原始记录（电阻箱）'!AA73</f>
        <v>#REF!</v>
      </c>
      <c r="AC73" s="1157" t="e">
        <f>'[21]原始记录（电阻箱）'!AB73</f>
        <v>#REF!</v>
      </c>
      <c r="AD73" s="976" t="e">
        <f>'[21]原始记录（电阻箱）'!AC73</f>
        <v>#REF!</v>
      </c>
      <c r="AE73" s="674"/>
    </row>
    <row r="74" spans="1:31">
      <c r="A74" s="939">
        <v>3</v>
      </c>
      <c r="B74" s="2585">
        <v>2.9999799999999999</v>
      </c>
      <c r="C74" s="2652"/>
      <c r="D74" s="2991" t="e">
        <f t="shared" si="6"/>
        <v>#DIV/0!</v>
      </c>
      <c r="E74" s="2992"/>
      <c r="F74" s="979" t="e">
        <f t="shared" si="8"/>
        <v>#DIV/0!</v>
      </c>
      <c r="G74" s="2993">
        <v>3.0001699999999998</v>
      </c>
      <c r="H74" s="2994"/>
      <c r="I74" s="2935" t="e">
        <f t="shared" si="7"/>
        <v>#DIV/0!</v>
      </c>
      <c r="J74" s="2937"/>
      <c r="K74" s="979" t="e">
        <f t="shared" si="9"/>
        <v>#DIV/0!</v>
      </c>
      <c r="M74" s="2952">
        <v>3</v>
      </c>
      <c r="N74" s="2952"/>
      <c r="O74" s="1021" t="e">
        <f>'[21]原始记录（电阻箱）'!O74</f>
        <v>#REF!</v>
      </c>
      <c r="P74" s="1155" t="e">
        <f>'[21]原始记录（电阻箱）'!P74</f>
        <v>#REF!</v>
      </c>
      <c r="Q74" s="976" t="e">
        <f>'[21]原始记录（电阻箱）'!Q74</f>
        <v>#REF!</v>
      </c>
      <c r="R74" s="1156" t="e">
        <f>'[21]原始记录（电阻箱）'!R74</f>
        <v>#REF!</v>
      </c>
      <c r="S74" s="1157" t="e">
        <f>'[21]原始记录（电阻箱）'!S74</f>
        <v>#REF!</v>
      </c>
      <c r="T74" s="976" t="e">
        <f>'[21]原始记录（电阻箱）'!T74</f>
        <v>#REF!</v>
      </c>
      <c r="V74" s="2952">
        <v>3</v>
      </c>
      <c r="W74" s="2952"/>
      <c r="X74" s="1021" t="e">
        <f>'[21]原始记录（电阻箱）'!X74</f>
        <v>#REF!</v>
      </c>
      <c r="Y74" s="1155" t="e">
        <f>'[21]原始记录（电阻箱）'!Y74</f>
        <v>#REF!</v>
      </c>
      <c r="Z74" s="976" t="e">
        <f>'[21]原始记录（电阻箱）'!Z74</f>
        <v>#REF!</v>
      </c>
      <c r="AA74" s="976"/>
      <c r="AB74" s="1156" t="e">
        <f>'[21]原始记录（电阻箱）'!AA74</f>
        <v>#REF!</v>
      </c>
      <c r="AC74" s="1157" t="e">
        <f>'[21]原始记录（电阻箱）'!AB74</f>
        <v>#REF!</v>
      </c>
      <c r="AD74" s="976" t="e">
        <f>'[21]原始记录（电阻箱）'!AC74</f>
        <v>#REF!</v>
      </c>
      <c r="AE74" s="674"/>
    </row>
    <row r="75" spans="1:31">
      <c r="A75" s="939">
        <v>4</v>
      </c>
      <c r="B75" s="2585">
        <v>3.9999600000000002</v>
      </c>
      <c r="C75" s="2652"/>
      <c r="D75" s="2991" t="e">
        <f t="shared" si="6"/>
        <v>#DIV/0!</v>
      </c>
      <c r="E75" s="2992"/>
      <c r="F75" s="979" t="e">
        <f t="shared" si="8"/>
        <v>#DIV/0!</v>
      </c>
      <c r="G75" s="2993">
        <v>4.0002300000000002</v>
      </c>
      <c r="H75" s="2994"/>
      <c r="I75" s="2935" t="e">
        <f t="shared" si="7"/>
        <v>#DIV/0!</v>
      </c>
      <c r="J75" s="2937"/>
      <c r="K75" s="979" t="e">
        <f t="shared" si="9"/>
        <v>#DIV/0!</v>
      </c>
      <c r="M75" s="2952">
        <v>4</v>
      </c>
      <c r="N75" s="2952"/>
      <c r="O75" s="1021" t="e">
        <f>'[21]原始记录（电阻箱）'!O75</f>
        <v>#REF!</v>
      </c>
      <c r="P75" s="1155" t="e">
        <f>'[21]原始记录（电阻箱）'!P75</f>
        <v>#REF!</v>
      </c>
      <c r="Q75" s="976" t="e">
        <f>'[21]原始记录（电阻箱）'!Q75</f>
        <v>#REF!</v>
      </c>
      <c r="R75" s="1156" t="e">
        <f>'[21]原始记录（电阻箱）'!R75</f>
        <v>#REF!</v>
      </c>
      <c r="S75" s="1157" t="e">
        <f>'[21]原始记录（电阻箱）'!S75</f>
        <v>#REF!</v>
      </c>
      <c r="T75" s="976" t="e">
        <f>'[21]原始记录（电阻箱）'!T75</f>
        <v>#REF!</v>
      </c>
      <c r="V75" s="2952">
        <v>4</v>
      </c>
      <c r="W75" s="2952"/>
      <c r="X75" s="1021" t="e">
        <f>'[21]原始记录（电阻箱）'!X75</f>
        <v>#REF!</v>
      </c>
      <c r="Y75" s="1155" t="e">
        <f>'[21]原始记录（电阻箱）'!Y75</f>
        <v>#REF!</v>
      </c>
      <c r="Z75" s="976" t="e">
        <f>'[21]原始记录（电阻箱）'!Z75</f>
        <v>#REF!</v>
      </c>
      <c r="AA75" s="976"/>
      <c r="AB75" s="1156" t="e">
        <f>'[21]原始记录（电阻箱）'!AA75</f>
        <v>#REF!</v>
      </c>
      <c r="AC75" s="1157" t="e">
        <f>'[21]原始记录（电阻箱）'!AB75</f>
        <v>#REF!</v>
      </c>
      <c r="AD75" s="976" t="e">
        <f>'[21]原始记录（电阻箱）'!AC75</f>
        <v>#REF!</v>
      </c>
      <c r="AE75" s="674"/>
    </row>
    <row r="76" spans="1:31">
      <c r="A76" s="939">
        <v>5</v>
      </c>
      <c r="B76" s="2585">
        <v>4.9999500000000001</v>
      </c>
      <c r="C76" s="2652"/>
      <c r="D76" s="2991" t="e">
        <f t="shared" si="6"/>
        <v>#DIV/0!</v>
      </c>
      <c r="E76" s="2992"/>
      <c r="F76" s="979" t="e">
        <f t="shared" si="8"/>
        <v>#DIV/0!</v>
      </c>
      <c r="G76" s="2993">
        <v>5.0002599999999999</v>
      </c>
      <c r="H76" s="2994"/>
      <c r="I76" s="2935" t="e">
        <f t="shared" si="7"/>
        <v>#DIV/0!</v>
      </c>
      <c r="J76" s="2937"/>
      <c r="K76" s="979" t="e">
        <f t="shared" si="9"/>
        <v>#DIV/0!</v>
      </c>
      <c r="L76" s="1158"/>
      <c r="M76" s="2952">
        <v>5</v>
      </c>
      <c r="N76" s="2952"/>
      <c r="O76" s="1021" t="e">
        <f>'[21]原始记录（电阻箱）'!O76</f>
        <v>#REF!</v>
      </c>
      <c r="P76" s="1155" t="e">
        <f>'[21]原始记录（电阻箱）'!P76</f>
        <v>#REF!</v>
      </c>
      <c r="Q76" s="976" t="e">
        <f>'[21]原始记录（电阻箱）'!Q76</f>
        <v>#REF!</v>
      </c>
      <c r="R76" s="1156" t="e">
        <f>'[21]原始记录（电阻箱）'!R76</f>
        <v>#REF!</v>
      </c>
      <c r="S76" s="1157" t="e">
        <f>'[21]原始记录（电阻箱）'!S76</f>
        <v>#REF!</v>
      </c>
      <c r="T76" s="976" t="e">
        <f>'[21]原始记录（电阻箱）'!T76</f>
        <v>#REF!</v>
      </c>
      <c r="V76" s="2952">
        <v>5</v>
      </c>
      <c r="W76" s="2952"/>
      <c r="X76" s="1021" t="e">
        <f>'[21]原始记录（电阻箱）'!X76</f>
        <v>#REF!</v>
      </c>
      <c r="Y76" s="1155" t="e">
        <f>'[21]原始记录（电阻箱）'!Y76</f>
        <v>#REF!</v>
      </c>
      <c r="Z76" s="976" t="e">
        <f>'[21]原始记录（电阻箱）'!Z76</f>
        <v>#REF!</v>
      </c>
      <c r="AA76" s="976"/>
      <c r="AB76" s="1156" t="e">
        <f>'[21]原始记录（电阻箱）'!AA76</f>
        <v>#REF!</v>
      </c>
      <c r="AC76" s="1157" t="e">
        <f>'[21]原始记录（电阻箱）'!AB76</f>
        <v>#REF!</v>
      </c>
      <c r="AD76" s="976" t="e">
        <f>'[21]原始记录（电阻箱）'!AC76</f>
        <v>#REF!</v>
      </c>
      <c r="AE76" s="674"/>
    </row>
    <row r="77" spans="1:31">
      <c r="A77" s="939">
        <v>6</v>
      </c>
      <c r="B77" s="2585">
        <v>5.99993</v>
      </c>
      <c r="C77" s="2652"/>
      <c r="D77" s="2991" t="e">
        <f t="shared" si="6"/>
        <v>#DIV/0!</v>
      </c>
      <c r="E77" s="2992"/>
      <c r="F77" s="979" t="e">
        <f t="shared" si="8"/>
        <v>#DIV/0!</v>
      </c>
      <c r="G77" s="2993">
        <v>6.00021</v>
      </c>
      <c r="H77" s="2994"/>
      <c r="I77" s="2935" t="e">
        <f t="shared" si="7"/>
        <v>#DIV/0!</v>
      </c>
      <c r="J77" s="2937"/>
      <c r="K77" s="979" t="e">
        <f t="shared" si="9"/>
        <v>#DIV/0!</v>
      </c>
      <c r="L77" s="1159"/>
      <c r="M77" s="2952">
        <v>6</v>
      </c>
      <c r="N77" s="2952"/>
      <c r="O77" s="1021" t="e">
        <f>'[21]原始记录（电阻箱）'!O77</f>
        <v>#REF!</v>
      </c>
      <c r="P77" s="1155" t="e">
        <f>'[21]原始记录（电阻箱）'!P77</f>
        <v>#REF!</v>
      </c>
      <c r="Q77" s="976" t="e">
        <f>'[21]原始记录（电阻箱）'!Q77</f>
        <v>#REF!</v>
      </c>
      <c r="R77" s="1156" t="e">
        <f>'[21]原始记录（电阻箱）'!R77</f>
        <v>#REF!</v>
      </c>
      <c r="S77" s="1157" t="e">
        <f>'[21]原始记录（电阻箱）'!S77</f>
        <v>#REF!</v>
      </c>
      <c r="T77" s="976" t="e">
        <f>'[21]原始记录（电阻箱）'!T77</f>
        <v>#REF!</v>
      </c>
      <c r="V77" s="2952">
        <v>6</v>
      </c>
      <c r="W77" s="2952"/>
      <c r="X77" s="1021" t="e">
        <f>'[21]原始记录（电阻箱）'!X77</f>
        <v>#REF!</v>
      </c>
      <c r="Y77" s="1155" t="e">
        <f>'[21]原始记录（电阻箱）'!Y77</f>
        <v>#REF!</v>
      </c>
      <c r="Z77" s="976" t="e">
        <f>'[21]原始记录（电阻箱）'!Z77</f>
        <v>#REF!</v>
      </c>
      <c r="AA77" s="976"/>
      <c r="AB77" s="1156" t="e">
        <f>'[21]原始记录（电阻箱）'!AA77</f>
        <v>#REF!</v>
      </c>
      <c r="AC77" s="1157" t="e">
        <f>'[21]原始记录（电阻箱）'!AB77</f>
        <v>#REF!</v>
      </c>
      <c r="AD77" s="976" t="e">
        <f>'[21]原始记录（电阻箱）'!AC77</f>
        <v>#REF!</v>
      </c>
      <c r="AE77" s="674"/>
    </row>
    <row r="78" spans="1:31">
      <c r="A78" s="939">
        <v>7</v>
      </c>
      <c r="B78" s="2993">
        <v>6.9999700000000002</v>
      </c>
      <c r="C78" s="2994"/>
      <c r="D78" s="2991" t="e">
        <f t="shared" si="6"/>
        <v>#DIV/0!</v>
      </c>
      <c r="E78" s="2992"/>
      <c r="F78" s="979" t="e">
        <f t="shared" si="8"/>
        <v>#DIV/0!</v>
      </c>
      <c r="G78" s="2993">
        <v>7.0002700000000004</v>
      </c>
      <c r="H78" s="2994"/>
      <c r="I78" s="2935" t="e">
        <f t="shared" si="7"/>
        <v>#DIV/0!</v>
      </c>
      <c r="J78" s="2937"/>
      <c r="K78" s="979" t="e">
        <f t="shared" si="9"/>
        <v>#DIV/0!</v>
      </c>
      <c r="L78" s="1159"/>
      <c r="M78" s="2952">
        <v>7</v>
      </c>
      <c r="N78" s="2952"/>
      <c r="O78" s="1021" t="e">
        <f>'[21]原始记录（电阻箱）'!O78</f>
        <v>#REF!</v>
      </c>
      <c r="P78" s="1155" t="e">
        <f>'[21]原始记录（电阻箱）'!P78</f>
        <v>#REF!</v>
      </c>
      <c r="Q78" s="976" t="e">
        <f>'[21]原始记录（电阻箱）'!Q78</f>
        <v>#REF!</v>
      </c>
      <c r="R78" s="1156" t="e">
        <f>'[21]原始记录（电阻箱）'!R78</f>
        <v>#REF!</v>
      </c>
      <c r="S78" s="1157" t="e">
        <f>'[21]原始记录（电阻箱）'!S78</f>
        <v>#REF!</v>
      </c>
      <c r="T78" s="976" t="e">
        <f>'[21]原始记录（电阻箱）'!T78</f>
        <v>#REF!</v>
      </c>
      <c r="V78" s="2952">
        <v>7</v>
      </c>
      <c r="W78" s="2952"/>
      <c r="X78" s="1021" t="e">
        <f>'[21]原始记录（电阻箱）'!X78</f>
        <v>#REF!</v>
      </c>
      <c r="Y78" s="1155" t="e">
        <f>'[21]原始记录（电阻箱）'!Y78</f>
        <v>#REF!</v>
      </c>
      <c r="Z78" s="976" t="e">
        <f>'[21]原始记录（电阻箱）'!Z78</f>
        <v>#REF!</v>
      </c>
      <c r="AA78" s="976"/>
      <c r="AB78" s="1156" t="e">
        <f>'[21]原始记录（电阻箱）'!AA78</f>
        <v>#REF!</v>
      </c>
      <c r="AC78" s="1157" t="e">
        <f>'[21]原始记录（电阻箱）'!AB78</f>
        <v>#REF!</v>
      </c>
      <c r="AD78" s="976" t="e">
        <f>'[21]原始记录（电阻箱）'!AC78</f>
        <v>#REF!</v>
      </c>
      <c r="AE78" s="674"/>
    </row>
    <row r="79" spans="1:31">
      <c r="A79" s="939">
        <v>8</v>
      </c>
      <c r="B79" s="2585">
        <v>7.9999399999999996</v>
      </c>
      <c r="C79" s="2652"/>
      <c r="D79" s="2991" t="e">
        <f t="shared" si="6"/>
        <v>#DIV/0!</v>
      </c>
      <c r="E79" s="2992"/>
      <c r="F79" s="979" t="e">
        <f t="shared" si="8"/>
        <v>#DIV/0!</v>
      </c>
      <c r="G79" s="2993">
        <v>8.0003399999999996</v>
      </c>
      <c r="H79" s="2994"/>
      <c r="I79" s="2935" t="e">
        <f t="shared" si="7"/>
        <v>#DIV/0!</v>
      </c>
      <c r="J79" s="2937"/>
      <c r="K79" s="979" t="e">
        <f t="shared" si="9"/>
        <v>#DIV/0!</v>
      </c>
      <c r="L79" s="1159"/>
      <c r="M79" s="2952">
        <v>8</v>
      </c>
      <c r="N79" s="2952"/>
      <c r="O79" s="1021" t="e">
        <f>'[21]原始记录（电阻箱）'!O79</f>
        <v>#REF!</v>
      </c>
      <c r="P79" s="1155" t="e">
        <f>'[21]原始记录（电阻箱）'!P79</f>
        <v>#REF!</v>
      </c>
      <c r="Q79" s="976" t="e">
        <f>'[21]原始记录（电阻箱）'!Q79</f>
        <v>#REF!</v>
      </c>
      <c r="R79" s="1156" t="e">
        <f>'[21]原始记录（电阻箱）'!R79</f>
        <v>#REF!</v>
      </c>
      <c r="S79" s="1157" t="e">
        <f>'[21]原始记录（电阻箱）'!S79</f>
        <v>#REF!</v>
      </c>
      <c r="T79" s="976" t="e">
        <f>'[21]原始记录（电阻箱）'!T79</f>
        <v>#REF!</v>
      </c>
      <c r="V79" s="2952">
        <v>8</v>
      </c>
      <c r="W79" s="2952"/>
      <c r="X79" s="1021" t="e">
        <f>'[21]原始记录（电阻箱）'!X79</f>
        <v>#REF!</v>
      </c>
      <c r="Y79" s="1155" t="e">
        <f>'[21]原始记录（电阻箱）'!Y79</f>
        <v>#REF!</v>
      </c>
      <c r="Z79" s="976" t="e">
        <f>'[21]原始记录（电阻箱）'!Z79</f>
        <v>#REF!</v>
      </c>
      <c r="AA79" s="976"/>
      <c r="AB79" s="1156" t="e">
        <f>'[21]原始记录（电阻箱）'!AA79</f>
        <v>#REF!</v>
      </c>
      <c r="AC79" s="1157" t="e">
        <f>'[21]原始记录（电阻箱）'!AB79</f>
        <v>#REF!</v>
      </c>
      <c r="AD79" s="976" t="e">
        <f>'[21]原始记录（电阻箱）'!AC79</f>
        <v>#REF!</v>
      </c>
      <c r="AE79" s="674"/>
    </row>
    <row r="80" spans="1:31">
      <c r="A80" s="939">
        <v>9</v>
      </c>
      <c r="B80" s="2585">
        <v>8.9999500000000001</v>
      </c>
      <c r="C80" s="2652"/>
      <c r="D80" s="2991" t="e">
        <f t="shared" si="6"/>
        <v>#DIV/0!</v>
      </c>
      <c r="E80" s="2992"/>
      <c r="F80" s="979" t="e">
        <f t="shared" si="8"/>
        <v>#DIV/0!</v>
      </c>
      <c r="G80" s="2993">
        <v>9.0003700000000002</v>
      </c>
      <c r="H80" s="2994"/>
      <c r="I80" s="2935" t="e">
        <f t="shared" si="7"/>
        <v>#DIV/0!</v>
      </c>
      <c r="J80" s="2937"/>
      <c r="K80" s="979" t="e">
        <f t="shared" si="9"/>
        <v>#DIV/0!</v>
      </c>
      <c r="L80" s="1159"/>
      <c r="M80" s="2952">
        <v>9</v>
      </c>
      <c r="N80" s="2952"/>
      <c r="O80" s="1021" t="e">
        <f>'[21]原始记录（电阻箱）'!O80</f>
        <v>#REF!</v>
      </c>
      <c r="P80" s="1155" t="e">
        <f>'[21]原始记录（电阻箱）'!P80</f>
        <v>#REF!</v>
      </c>
      <c r="Q80" s="976" t="e">
        <f>'[21]原始记录（电阻箱）'!Q80</f>
        <v>#REF!</v>
      </c>
      <c r="R80" s="1156" t="e">
        <f>'[21]原始记录（电阻箱）'!R80</f>
        <v>#REF!</v>
      </c>
      <c r="S80" s="1157" t="e">
        <f>'[21]原始记录（电阻箱）'!S80</f>
        <v>#REF!</v>
      </c>
      <c r="T80" s="976" t="e">
        <f>'[21]原始记录（电阻箱）'!T80</f>
        <v>#REF!</v>
      </c>
      <c r="V80" s="2952">
        <v>9</v>
      </c>
      <c r="W80" s="2952"/>
      <c r="X80" s="1021" t="e">
        <f>'[21]原始记录（电阻箱）'!X80</f>
        <v>#REF!</v>
      </c>
      <c r="Y80" s="1155" t="e">
        <f>'[21]原始记录（电阻箱）'!Y80</f>
        <v>#REF!</v>
      </c>
      <c r="Z80" s="976" t="e">
        <f>'[21]原始记录（电阻箱）'!Z80</f>
        <v>#REF!</v>
      </c>
      <c r="AA80" s="976"/>
      <c r="AB80" s="1156" t="e">
        <f>'[21]原始记录（电阻箱）'!AA80</f>
        <v>#REF!</v>
      </c>
      <c r="AC80" s="1157" t="e">
        <f>'[21]原始记录（电阻箱）'!AB80</f>
        <v>#REF!</v>
      </c>
      <c r="AD80" s="976" t="e">
        <f>'[21]原始记录（电阻箱）'!AC80</f>
        <v>#REF!</v>
      </c>
      <c r="AE80" s="674"/>
    </row>
    <row r="81" spans="1:31">
      <c r="A81" s="939">
        <v>10</v>
      </c>
      <c r="B81" s="2585">
        <v>9.9999699999999994</v>
      </c>
      <c r="C81" s="2652"/>
      <c r="D81" s="2991" t="e">
        <f t="shared" si="6"/>
        <v>#DIV/0!</v>
      </c>
      <c r="E81" s="2992"/>
      <c r="F81" s="979" t="e">
        <f t="shared" si="8"/>
        <v>#DIV/0!</v>
      </c>
      <c r="G81" s="2993">
        <v>10.000439999999999</v>
      </c>
      <c r="H81" s="2994"/>
      <c r="I81" s="2935" t="e">
        <f t="shared" si="7"/>
        <v>#DIV/0!</v>
      </c>
      <c r="J81" s="2937"/>
      <c r="K81" s="979" t="e">
        <f t="shared" si="9"/>
        <v>#DIV/0!</v>
      </c>
      <c r="L81" s="1159"/>
      <c r="M81" s="2952">
        <v>10</v>
      </c>
      <c r="N81" s="2952"/>
      <c r="O81" s="1021" t="e">
        <f>'[21]原始记录（电阻箱）'!O81</f>
        <v>#REF!</v>
      </c>
      <c r="P81" s="1155" t="e">
        <f>'[21]原始记录（电阻箱）'!P81</f>
        <v>#REF!</v>
      </c>
      <c r="Q81" s="976" t="e">
        <f>'[21]原始记录（电阻箱）'!Q81</f>
        <v>#REF!</v>
      </c>
      <c r="R81" s="1156" t="e">
        <f>'[21]原始记录（电阻箱）'!R81</f>
        <v>#REF!</v>
      </c>
      <c r="S81" s="1157" t="e">
        <f>'[21]原始记录（电阻箱）'!S81</f>
        <v>#REF!</v>
      </c>
      <c r="T81" s="976" t="e">
        <f>'[21]原始记录（电阻箱）'!T81</f>
        <v>#REF!</v>
      </c>
      <c r="V81" s="2952">
        <v>10</v>
      </c>
      <c r="W81" s="2952"/>
      <c r="X81" s="1021" t="e">
        <f>'[21]原始记录（电阻箱）'!X81</f>
        <v>#REF!</v>
      </c>
      <c r="Y81" s="1155" t="e">
        <f>'[21]原始记录（电阻箱）'!Y81</f>
        <v>#REF!</v>
      </c>
      <c r="Z81" s="976" t="e">
        <f>'[21]原始记录（电阻箱）'!Z81</f>
        <v>#REF!</v>
      </c>
      <c r="AA81" s="976"/>
      <c r="AB81" s="1156" t="e">
        <f>'[21]原始记录（电阻箱）'!AA81</f>
        <v>#REF!</v>
      </c>
      <c r="AC81" s="1157" t="e">
        <f>'[21]原始记录（电阻箱）'!AB81</f>
        <v>#REF!</v>
      </c>
      <c r="AD81" s="976" t="e">
        <f>'[21]原始记录（电阻箱）'!AC81</f>
        <v>#REF!</v>
      </c>
      <c r="AE81" s="674"/>
    </row>
    <row r="82" spans="1:31">
      <c r="A82" s="939" t="s">
        <v>2886</v>
      </c>
      <c r="B82" s="1136"/>
      <c r="C82" s="1138" t="s">
        <v>2887</v>
      </c>
      <c r="D82" s="1139">
        <v>0.01</v>
      </c>
      <c r="E82" s="1150"/>
      <c r="F82" s="1010"/>
      <c r="G82" s="1136"/>
      <c r="H82" s="1138" t="s">
        <v>2887</v>
      </c>
      <c r="I82" s="1139">
        <v>0.01</v>
      </c>
      <c r="J82" s="1139"/>
      <c r="K82" s="1010"/>
      <c r="L82" s="1159"/>
      <c r="M82" s="2431" t="s">
        <v>2886</v>
      </c>
      <c r="N82" s="2431"/>
      <c r="O82" s="1011" t="s">
        <v>2887</v>
      </c>
      <c r="P82" s="883" t="e">
        <f>'[21]原始记录（电阻箱）'!P82</f>
        <v>#REF!</v>
      </c>
      <c r="Q82" s="1124"/>
      <c r="R82" s="1142" t="s">
        <v>2888</v>
      </c>
      <c r="S82" s="956" t="e">
        <f>'[21]原始记录（电阻箱）'!S82</f>
        <v>#REF!</v>
      </c>
      <c r="T82" s="1000"/>
      <c r="V82" s="2431" t="s">
        <v>2886</v>
      </c>
      <c r="W82" s="2431"/>
      <c r="X82" s="1011" t="s">
        <v>2887</v>
      </c>
      <c r="Y82" s="883" t="e">
        <f>'[21]原始记录（电阻箱）'!Y82</f>
        <v>#REF!</v>
      </c>
      <c r="Z82" s="2386"/>
      <c r="AA82" s="2379"/>
      <c r="AB82" s="1142" t="s">
        <v>2889</v>
      </c>
      <c r="AC82" s="956" t="e">
        <f>'[21]原始记录（电阻箱）'!AB82</f>
        <v>#REF!</v>
      </c>
      <c r="AD82" s="2612"/>
      <c r="AE82" s="2611"/>
    </row>
    <row r="83" spans="1:31">
      <c r="L83" s="1159"/>
      <c r="M83" s="1159"/>
    </row>
    <row r="84" spans="1:31">
      <c r="A84" s="702" t="s">
        <v>2890</v>
      </c>
      <c r="B84" s="702" t="s">
        <v>2891</v>
      </c>
      <c r="M84" s="702" t="s">
        <v>2892</v>
      </c>
      <c r="V84" s="702" t="s">
        <v>2893</v>
      </c>
    </row>
    <row r="85" spans="1:31" ht="20.100000000000001" customHeight="1">
      <c r="A85" s="2735" t="s">
        <v>2894</v>
      </c>
      <c r="B85" s="1136"/>
      <c r="C85" s="1006" t="s">
        <v>90</v>
      </c>
      <c r="D85" s="1137">
        <v>10000</v>
      </c>
      <c r="E85" s="2943" t="s">
        <v>2895</v>
      </c>
      <c r="F85" s="2944"/>
      <c r="G85" s="2975" t="s">
        <v>90</v>
      </c>
      <c r="H85" s="2976"/>
      <c r="I85" s="1009">
        <v>1000</v>
      </c>
      <c r="J85" s="2960" t="s">
        <v>91</v>
      </c>
      <c r="K85" s="2961"/>
      <c r="M85" s="2431" t="s">
        <v>2894</v>
      </c>
      <c r="N85" s="2431"/>
      <c r="O85" s="1011" t="s">
        <v>90</v>
      </c>
      <c r="P85" s="1141">
        <v>1000</v>
      </c>
      <c r="Q85" s="884" t="s">
        <v>91</v>
      </c>
      <c r="R85" s="1142" t="s">
        <v>90</v>
      </c>
      <c r="S85" s="942">
        <v>100</v>
      </c>
      <c r="T85" s="1000" t="s">
        <v>91</v>
      </c>
      <c r="V85" s="2749" t="s">
        <v>2894</v>
      </c>
      <c r="W85" s="2727"/>
      <c r="X85" s="1011" t="s">
        <v>90</v>
      </c>
      <c r="Y85" s="1141">
        <v>1000</v>
      </c>
      <c r="Z85" s="2386" t="s">
        <v>2895</v>
      </c>
      <c r="AA85" s="2379"/>
      <c r="AB85" s="1142" t="s">
        <v>90</v>
      </c>
      <c r="AC85" s="942">
        <v>100</v>
      </c>
      <c r="AD85" s="1000" t="s">
        <v>91</v>
      </c>
      <c r="AE85" s="2"/>
    </row>
    <row r="86" spans="1:31" ht="20.100000000000001" customHeight="1">
      <c r="A86" s="2736"/>
      <c r="B86" s="2975" t="s">
        <v>2896</v>
      </c>
      <c r="C86" s="2976"/>
      <c r="D86" s="957">
        <v>1E-4</v>
      </c>
      <c r="E86" s="2943" t="s">
        <v>2897</v>
      </c>
      <c r="F86" s="2944"/>
      <c r="G86" s="2975" t="s">
        <v>2896</v>
      </c>
      <c r="H86" s="2976"/>
      <c r="I86" s="957">
        <v>1E-3</v>
      </c>
      <c r="J86" s="2943" t="s">
        <v>2897</v>
      </c>
      <c r="K86" s="2944"/>
      <c r="M86" s="2431"/>
      <c r="N86" s="2431"/>
      <c r="O86" s="885" t="s">
        <v>2898</v>
      </c>
      <c r="P86" s="718">
        <v>1E-3</v>
      </c>
      <c r="Q86" s="884" t="s">
        <v>79</v>
      </c>
      <c r="R86" s="885" t="s">
        <v>2898</v>
      </c>
      <c r="S86" s="718">
        <v>0.01</v>
      </c>
      <c r="T86" s="884" t="s">
        <v>79</v>
      </c>
      <c r="V86" s="2953"/>
      <c r="W86" s="2954"/>
      <c r="X86" s="885" t="s">
        <v>2896</v>
      </c>
      <c r="Y86" s="718">
        <v>1E-3</v>
      </c>
      <c r="Z86" s="2386" t="s">
        <v>2897</v>
      </c>
      <c r="AA86" s="2379"/>
      <c r="AB86" s="885" t="s">
        <v>2896</v>
      </c>
      <c r="AC86" s="718">
        <v>0.01</v>
      </c>
      <c r="AD86" s="884" t="s">
        <v>2897</v>
      </c>
      <c r="AE86" s="2"/>
    </row>
    <row r="87" spans="1:31" ht="20.100000000000001" customHeight="1">
      <c r="A87" s="2737"/>
      <c r="B87" s="2693" t="s">
        <v>2899</v>
      </c>
      <c r="C87" s="2694"/>
      <c r="D87" s="2930" t="s">
        <v>2900</v>
      </c>
      <c r="E87" s="2932"/>
      <c r="F87" s="1146" t="s">
        <v>2901</v>
      </c>
      <c r="G87" s="2693" t="s">
        <v>2899</v>
      </c>
      <c r="H87" s="2694"/>
      <c r="I87" s="2930" t="s">
        <v>2900</v>
      </c>
      <c r="J87" s="2932"/>
      <c r="K87" s="1146" t="s">
        <v>2901</v>
      </c>
      <c r="M87" s="2431"/>
      <c r="N87" s="2431"/>
      <c r="O87" s="1001" t="s">
        <v>1471</v>
      </c>
      <c r="P87" s="698" t="s">
        <v>101</v>
      </c>
      <c r="Q87" s="698" t="s">
        <v>100</v>
      </c>
      <c r="R87" s="1001" t="s">
        <v>1471</v>
      </c>
      <c r="S87" s="698" t="s">
        <v>101</v>
      </c>
      <c r="T87" s="698" t="s">
        <v>100</v>
      </c>
      <c r="V87" s="2728"/>
      <c r="W87" s="2729"/>
      <c r="X87" s="1001" t="s">
        <v>2899</v>
      </c>
      <c r="Y87" s="698" t="s">
        <v>2900</v>
      </c>
      <c r="Z87" s="698" t="s">
        <v>2901</v>
      </c>
      <c r="AA87" s="720" t="s">
        <v>2902</v>
      </c>
      <c r="AB87" s="1001" t="s">
        <v>2899</v>
      </c>
      <c r="AC87" s="698" t="s">
        <v>2900</v>
      </c>
      <c r="AD87" s="698" t="s">
        <v>2901</v>
      </c>
      <c r="AE87" s="1153" t="s">
        <v>2902</v>
      </c>
    </row>
    <row r="88" spans="1:31">
      <c r="A88" s="785">
        <v>1</v>
      </c>
      <c r="B88" s="2993">
        <v>1.0000899999999999</v>
      </c>
      <c r="C88" s="2994"/>
      <c r="D88" s="2991" t="e">
        <f t="shared" ref="D88:D97" si="10">B88/$D$40-$G$8/1000</f>
        <v>#DIV/0!</v>
      </c>
      <c r="E88" s="2992"/>
      <c r="F88" s="979" t="e">
        <f>($A88*$D$39-D88)/D88*100</f>
        <v>#DIV/0!</v>
      </c>
      <c r="G88" s="2993">
        <v>1.00014</v>
      </c>
      <c r="H88" s="2994"/>
      <c r="I88" s="2935" t="e">
        <f t="shared" ref="I88:I97" si="11">G88/$I$40-$G$8/1000</f>
        <v>#DIV/0!</v>
      </c>
      <c r="J88" s="2937"/>
      <c r="K88" s="979" t="e">
        <f>($A88*$I$39-I88)/I88*100</f>
        <v>#DIV/0!</v>
      </c>
      <c r="M88" s="2431">
        <v>1</v>
      </c>
      <c r="N88" s="2431"/>
      <c r="O88" s="1021" t="e">
        <f>'[21]原始记录（电阻箱）'!O87</f>
        <v>#REF!</v>
      </c>
      <c r="P88" s="1155" t="e">
        <f>'[21]原始记录（电阻箱）'!P87</f>
        <v>#REF!</v>
      </c>
      <c r="Q88" s="976" t="e">
        <f>'[21]原始记录（电阻箱）'!Q87</f>
        <v>#REF!</v>
      </c>
      <c r="R88" s="1156" t="e">
        <f>'[21]原始记录（电阻箱）'!R87</f>
        <v>#REF!</v>
      </c>
      <c r="S88" s="1157" t="e">
        <f>'[21]原始记录（电阻箱）'!S87</f>
        <v>#REF!</v>
      </c>
      <c r="T88" s="976" t="e">
        <f>'[21]原始记录（电阻箱）'!T87</f>
        <v>#REF!</v>
      </c>
      <c r="V88" s="2952">
        <v>1</v>
      </c>
      <c r="W88" s="2952"/>
      <c r="X88" s="1021" t="e">
        <f>'[21]原始记录（电阻箱）'!X88</f>
        <v>#REF!</v>
      </c>
      <c r="Y88" s="1155" t="e">
        <f>'[21]原始记录（电阻箱）'!Y88</f>
        <v>#REF!</v>
      </c>
      <c r="Z88" s="976" t="e">
        <f>'[21]原始记录（电阻箱）'!Z88</f>
        <v>#REF!</v>
      </c>
      <c r="AA88" s="976"/>
      <c r="AB88" s="1156" t="e">
        <f>'[21]原始记录（电阻箱）'!AA88</f>
        <v>#REF!</v>
      </c>
      <c r="AC88" s="1157" t="e">
        <f>'[21]原始记录（电阻箱）'!AB88</f>
        <v>#REF!</v>
      </c>
      <c r="AD88" s="976" t="e">
        <f>'[21]原始记录（电阻箱）'!AC88</f>
        <v>#REF!</v>
      </c>
      <c r="AE88" s="674"/>
    </row>
    <row r="89" spans="1:31">
      <c r="A89" s="939">
        <v>2</v>
      </c>
      <c r="B89" s="2585">
        <v>2.0000599999999999</v>
      </c>
      <c r="C89" s="2652"/>
      <c r="D89" s="2991" t="e">
        <f t="shared" si="10"/>
        <v>#DIV/0!</v>
      </c>
      <c r="E89" s="2992"/>
      <c r="F89" s="979" t="e">
        <f t="shared" ref="F89:F97" si="12">($A89*$D$39-D89)/D89*100</f>
        <v>#DIV/0!</v>
      </c>
      <c r="G89" s="2993">
        <v>2.0001500000000001</v>
      </c>
      <c r="H89" s="2994"/>
      <c r="I89" s="2935" t="e">
        <f t="shared" si="11"/>
        <v>#DIV/0!</v>
      </c>
      <c r="J89" s="2937"/>
      <c r="K89" s="979" t="e">
        <f t="shared" ref="K89:K97" si="13">($A89*$I$39-I89)/I89*100</f>
        <v>#DIV/0!</v>
      </c>
      <c r="M89" s="2431">
        <v>2</v>
      </c>
      <c r="N89" s="2431"/>
      <c r="O89" s="1021" t="e">
        <f>'[21]原始记录（电阻箱）'!O88</f>
        <v>#REF!</v>
      </c>
      <c r="P89" s="1155" t="e">
        <f>'[21]原始记录（电阻箱）'!P88</f>
        <v>#REF!</v>
      </c>
      <c r="Q89" s="976" t="e">
        <f>'[21]原始记录（电阻箱）'!Q88</f>
        <v>#REF!</v>
      </c>
      <c r="R89" s="1156" t="e">
        <f>'[21]原始记录（电阻箱）'!R88</f>
        <v>#REF!</v>
      </c>
      <c r="S89" s="1157" t="e">
        <f>'[21]原始记录（电阻箱）'!S88</f>
        <v>#REF!</v>
      </c>
      <c r="T89" s="976" t="e">
        <f>'[21]原始记录（电阻箱）'!T88</f>
        <v>#REF!</v>
      </c>
      <c r="V89" s="2952">
        <v>2</v>
      </c>
      <c r="W89" s="2952"/>
      <c r="X89" s="1021" t="e">
        <f>'[21]原始记录（电阻箱）'!X89</f>
        <v>#REF!</v>
      </c>
      <c r="Y89" s="1155" t="e">
        <f>'[21]原始记录（电阻箱）'!Y89</f>
        <v>#REF!</v>
      </c>
      <c r="Z89" s="976" t="e">
        <f>'[21]原始记录（电阻箱）'!Z89</f>
        <v>#REF!</v>
      </c>
      <c r="AA89" s="976"/>
      <c r="AB89" s="1156" t="e">
        <f>'[21]原始记录（电阻箱）'!AA89</f>
        <v>#REF!</v>
      </c>
      <c r="AC89" s="1157" t="e">
        <f>'[21]原始记录（电阻箱）'!AB89</f>
        <v>#REF!</v>
      </c>
      <c r="AD89" s="976" t="e">
        <f>'[21]原始记录（电阻箱）'!AC89</f>
        <v>#REF!</v>
      </c>
      <c r="AE89" s="674"/>
    </row>
    <row r="90" spans="1:31">
      <c r="A90" s="939">
        <v>3</v>
      </c>
      <c r="B90" s="2585">
        <v>2.9999799999999999</v>
      </c>
      <c r="C90" s="2652"/>
      <c r="D90" s="2991" t="e">
        <f t="shared" si="10"/>
        <v>#DIV/0!</v>
      </c>
      <c r="E90" s="2992"/>
      <c r="F90" s="979" t="e">
        <f t="shared" si="12"/>
        <v>#DIV/0!</v>
      </c>
      <c r="G90" s="2993">
        <v>3.0001699999999998</v>
      </c>
      <c r="H90" s="2994"/>
      <c r="I90" s="2935" t="e">
        <f t="shared" si="11"/>
        <v>#DIV/0!</v>
      </c>
      <c r="J90" s="2937"/>
      <c r="K90" s="979" t="e">
        <f t="shared" si="13"/>
        <v>#DIV/0!</v>
      </c>
      <c r="M90" s="2431">
        <v>3</v>
      </c>
      <c r="N90" s="2431"/>
      <c r="O90" s="1021" t="e">
        <f>'[21]原始记录（电阻箱）'!O89</f>
        <v>#REF!</v>
      </c>
      <c r="P90" s="1155" t="e">
        <f>'[21]原始记录（电阻箱）'!P89</f>
        <v>#REF!</v>
      </c>
      <c r="Q90" s="976" t="e">
        <f>'[21]原始记录（电阻箱）'!Q89</f>
        <v>#REF!</v>
      </c>
      <c r="R90" s="1156" t="e">
        <f>'[21]原始记录（电阻箱）'!R89</f>
        <v>#REF!</v>
      </c>
      <c r="S90" s="1157" t="e">
        <f>'[21]原始记录（电阻箱）'!S89</f>
        <v>#REF!</v>
      </c>
      <c r="T90" s="976" t="e">
        <f>'[21]原始记录（电阻箱）'!T89</f>
        <v>#REF!</v>
      </c>
      <c r="V90" s="2952">
        <v>3</v>
      </c>
      <c r="W90" s="2952"/>
      <c r="X90" s="1021" t="e">
        <f>'[21]原始记录（电阻箱）'!X90</f>
        <v>#REF!</v>
      </c>
      <c r="Y90" s="1155" t="e">
        <f>'[21]原始记录（电阻箱）'!Y90</f>
        <v>#REF!</v>
      </c>
      <c r="Z90" s="976" t="e">
        <f>'[21]原始记录（电阻箱）'!Z90</f>
        <v>#REF!</v>
      </c>
      <c r="AA90" s="976"/>
      <c r="AB90" s="1156" t="e">
        <f>'[21]原始记录（电阻箱）'!AA90</f>
        <v>#REF!</v>
      </c>
      <c r="AC90" s="1157" t="e">
        <f>'[21]原始记录（电阻箱）'!AB90</f>
        <v>#REF!</v>
      </c>
      <c r="AD90" s="976" t="e">
        <f>'[21]原始记录（电阻箱）'!AC90</f>
        <v>#REF!</v>
      </c>
      <c r="AE90" s="674"/>
    </row>
    <row r="91" spans="1:31">
      <c r="A91" s="939">
        <v>4</v>
      </c>
      <c r="B91" s="2585">
        <v>3.9999600000000002</v>
      </c>
      <c r="C91" s="2652"/>
      <c r="D91" s="2991" t="e">
        <f t="shared" si="10"/>
        <v>#DIV/0!</v>
      </c>
      <c r="E91" s="2992"/>
      <c r="F91" s="979" t="e">
        <f t="shared" si="12"/>
        <v>#DIV/0!</v>
      </c>
      <c r="G91" s="2993">
        <v>4.0002300000000002</v>
      </c>
      <c r="H91" s="2994"/>
      <c r="I91" s="2935" t="e">
        <f t="shared" si="11"/>
        <v>#DIV/0!</v>
      </c>
      <c r="J91" s="2937"/>
      <c r="K91" s="979" t="e">
        <f t="shared" si="13"/>
        <v>#DIV/0!</v>
      </c>
      <c r="M91" s="2431">
        <v>4</v>
      </c>
      <c r="N91" s="2431"/>
      <c r="O91" s="1021" t="e">
        <f>'[21]原始记录（电阻箱）'!O90</f>
        <v>#REF!</v>
      </c>
      <c r="P91" s="1155" t="e">
        <f>'[21]原始记录（电阻箱）'!P90</f>
        <v>#REF!</v>
      </c>
      <c r="Q91" s="976" t="e">
        <f>'[21]原始记录（电阻箱）'!Q90</f>
        <v>#REF!</v>
      </c>
      <c r="R91" s="1156" t="e">
        <f>'[21]原始记录（电阻箱）'!R90</f>
        <v>#REF!</v>
      </c>
      <c r="S91" s="1157" t="e">
        <f>'[21]原始记录（电阻箱）'!S90</f>
        <v>#REF!</v>
      </c>
      <c r="T91" s="976" t="e">
        <f>'[21]原始记录（电阻箱）'!T90</f>
        <v>#REF!</v>
      </c>
      <c r="V91" s="2952">
        <v>4</v>
      </c>
      <c r="W91" s="2952"/>
      <c r="X91" s="1021" t="e">
        <f>'[21]原始记录（电阻箱）'!X91</f>
        <v>#REF!</v>
      </c>
      <c r="Y91" s="1155" t="e">
        <f>'[21]原始记录（电阻箱）'!Y91</f>
        <v>#REF!</v>
      </c>
      <c r="Z91" s="976" t="e">
        <f>'[21]原始记录（电阻箱）'!Z91</f>
        <v>#REF!</v>
      </c>
      <c r="AA91" s="976"/>
      <c r="AB91" s="1156" t="e">
        <f>'[21]原始记录（电阻箱）'!AA91</f>
        <v>#REF!</v>
      </c>
      <c r="AC91" s="1157" t="e">
        <f>'[21]原始记录（电阻箱）'!AB91</f>
        <v>#REF!</v>
      </c>
      <c r="AD91" s="976" t="e">
        <f>'[21]原始记录（电阻箱）'!AC91</f>
        <v>#REF!</v>
      </c>
      <c r="AE91" s="674"/>
    </row>
    <row r="92" spans="1:31">
      <c r="A92" s="939">
        <v>5</v>
      </c>
      <c r="B92" s="2585">
        <v>4.9999500000000001</v>
      </c>
      <c r="C92" s="2652"/>
      <c r="D92" s="2991" t="e">
        <f t="shared" si="10"/>
        <v>#DIV/0!</v>
      </c>
      <c r="E92" s="2992"/>
      <c r="F92" s="979" t="e">
        <f t="shared" si="12"/>
        <v>#DIV/0!</v>
      </c>
      <c r="G92" s="2993">
        <v>5.0002599999999999</v>
      </c>
      <c r="H92" s="2994"/>
      <c r="I92" s="2935" t="e">
        <f t="shared" si="11"/>
        <v>#DIV/0!</v>
      </c>
      <c r="J92" s="2937"/>
      <c r="K92" s="979" t="e">
        <f t="shared" si="13"/>
        <v>#DIV/0!</v>
      </c>
      <c r="M92" s="2431">
        <v>5</v>
      </c>
      <c r="N92" s="2431"/>
      <c r="O92" s="1021" t="e">
        <f>'[21]原始记录（电阻箱）'!O91</f>
        <v>#REF!</v>
      </c>
      <c r="P92" s="1155" t="e">
        <f>'[21]原始记录（电阻箱）'!P91</f>
        <v>#REF!</v>
      </c>
      <c r="Q92" s="976" t="e">
        <f>'[21]原始记录（电阻箱）'!Q91</f>
        <v>#REF!</v>
      </c>
      <c r="R92" s="1156" t="e">
        <f>'[21]原始记录（电阻箱）'!R91</f>
        <v>#REF!</v>
      </c>
      <c r="S92" s="1157" t="e">
        <f>'[21]原始记录（电阻箱）'!S91</f>
        <v>#REF!</v>
      </c>
      <c r="T92" s="976" t="e">
        <f>'[21]原始记录（电阻箱）'!T91</f>
        <v>#REF!</v>
      </c>
      <c r="V92" s="2952">
        <v>5</v>
      </c>
      <c r="W92" s="2952"/>
      <c r="X92" s="1021" t="e">
        <f>'[21]原始记录（电阻箱）'!X92</f>
        <v>#REF!</v>
      </c>
      <c r="Y92" s="1155" t="e">
        <f>'[21]原始记录（电阻箱）'!Y92</f>
        <v>#REF!</v>
      </c>
      <c r="Z92" s="976" t="e">
        <f>'[21]原始记录（电阻箱）'!Z92</f>
        <v>#REF!</v>
      </c>
      <c r="AA92" s="976"/>
      <c r="AB92" s="1156" t="e">
        <f>'[21]原始记录（电阻箱）'!AA92</f>
        <v>#REF!</v>
      </c>
      <c r="AC92" s="1157" t="e">
        <f>'[21]原始记录（电阻箱）'!AB92</f>
        <v>#REF!</v>
      </c>
      <c r="AD92" s="976" t="e">
        <f>'[21]原始记录（电阻箱）'!AC92</f>
        <v>#REF!</v>
      </c>
      <c r="AE92" s="674"/>
    </row>
    <row r="93" spans="1:31">
      <c r="A93" s="939">
        <v>6</v>
      </c>
      <c r="B93" s="2585">
        <v>5.99993</v>
      </c>
      <c r="C93" s="2652"/>
      <c r="D93" s="2991" t="e">
        <f t="shared" si="10"/>
        <v>#DIV/0!</v>
      </c>
      <c r="E93" s="2992"/>
      <c r="F93" s="979" t="e">
        <f t="shared" si="12"/>
        <v>#DIV/0!</v>
      </c>
      <c r="G93" s="2993">
        <v>6.00021</v>
      </c>
      <c r="H93" s="2994"/>
      <c r="I93" s="2935" t="e">
        <f t="shared" si="11"/>
        <v>#DIV/0!</v>
      </c>
      <c r="J93" s="2937"/>
      <c r="K93" s="979" t="e">
        <f t="shared" si="13"/>
        <v>#DIV/0!</v>
      </c>
      <c r="M93" s="2431">
        <v>6</v>
      </c>
      <c r="N93" s="2431"/>
      <c r="O93" s="1021" t="e">
        <f>'[21]原始记录（电阻箱）'!O92</f>
        <v>#REF!</v>
      </c>
      <c r="P93" s="1155" t="e">
        <f>'[21]原始记录（电阻箱）'!P92</f>
        <v>#REF!</v>
      </c>
      <c r="Q93" s="976" t="e">
        <f>'[21]原始记录（电阻箱）'!Q92</f>
        <v>#REF!</v>
      </c>
      <c r="R93" s="1156" t="e">
        <f>'[21]原始记录（电阻箱）'!R92</f>
        <v>#REF!</v>
      </c>
      <c r="S93" s="1157" t="e">
        <f>'[21]原始记录（电阻箱）'!S92</f>
        <v>#REF!</v>
      </c>
      <c r="T93" s="976" t="e">
        <f>'[21]原始记录（电阻箱）'!T92</f>
        <v>#REF!</v>
      </c>
      <c r="V93" s="2952">
        <v>6</v>
      </c>
      <c r="W93" s="2952"/>
      <c r="X93" s="1021" t="e">
        <f>'[21]原始记录（电阻箱）'!X93</f>
        <v>#REF!</v>
      </c>
      <c r="Y93" s="1155" t="e">
        <f>'[21]原始记录（电阻箱）'!Y93</f>
        <v>#REF!</v>
      </c>
      <c r="Z93" s="976" t="e">
        <f>'[21]原始记录（电阻箱）'!Z93</f>
        <v>#REF!</v>
      </c>
      <c r="AA93" s="976"/>
      <c r="AB93" s="1156" t="e">
        <f>'[21]原始记录（电阻箱）'!AA93</f>
        <v>#REF!</v>
      </c>
      <c r="AC93" s="1157" t="e">
        <f>'[21]原始记录（电阻箱）'!AB93</f>
        <v>#REF!</v>
      </c>
      <c r="AD93" s="976" t="e">
        <f>'[21]原始记录（电阻箱）'!AC93</f>
        <v>#REF!</v>
      </c>
      <c r="AE93" s="674"/>
    </row>
    <row r="94" spans="1:31">
      <c r="A94" s="939">
        <v>7</v>
      </c>
      <c r="B94" s="2993">
        <v>6.9999700000000002</v>
      </c>
      <c r="C94" s="2994"/>
      <c r="D94" s="2991" t="e">
        <f t="shared" si="10"/>
        <v>#DIV/0!</v>
      </c>
      <c r="E94" s="2992"/>
      <c r="F94" s="979" t="e">
        <f t="shared" si="12"/>
        <v>#DIV/0!</v>
      </c>
      <c r="G94" s="2993">
        <v>7.0002700000000004</v>
      </c>
      <c r="H94" s="2994"/>
      <c r="I94" s="2935" t="e">
        <f t="shared" si="11"/>
        <v>#DIV/0!</v>
      </c>
      <c r="J94" s="2937"/>
      <c r="K94" s="979" t="e">
        <f t="shared" si="13"/>
        <v>#DIV/0!</v>
      </c>
      <c r="M94" s="2431">
        <v>7</v>
      </c>
      <c r="N94" s="2431"/>
      <c r="O94" s="1021" t="e">
        <f>'[21]原始记录（电阻箱）'!O93</f>
        <v>#REF!</v>
      </c>
      <c r="P94" s="1155" t="e">
        <f>'[21]原始记录（电阻箱）'!P93</f>
        <v>#REF!</v>
      </c>
      <c r="Q94" s="976" t="e">
        <f>'[21]原始记录（电阻箱）'!Q93</f>
        <v>#REF!</v>
      </c>
      <c r="R94" s="1156" t="e">
        <f>'[21]原始记录（电阻箱）'!R93</f>
        <v>#REF!</v>
      </c>
      <c r="S94" s="1157" t="e">
        <f>'[21]原始记录（电阻箱）'!S93</f>
        <v>#REF!</v>
      </c>
      <c r="T94" s="976" t="e">
        <f>'[21]原始记录（电阻箱）'!T93</f>
        <v>#REF!</v>
      </c>
      <c r="V94" s="2952">
        <v>7</v>
      </c>
      <c r="W94" s="2952"/>
      <c r="X94" s="1021" t="e">
        <f>'[21]原始记录（电阻箱）'!X94</f>
        <v>#REF!</v>
      </c>
      <c r="Y94" s="1155" t="e">
        <f>'[21]原始记录（电阻箱）'!Y94</f>
        <v>#REF!</v>
      </c>
      <c r="Z94" s="976" t="e">
        <f>'[21]原始记录（电阻箱）'!Z94</f>
        <v>#REF!</v>
      </c>
      <c r="AA94" s="976"/>
      <c r="AB94" s="1156" t="e">
        <f>'[21]原始记录（电阻箱）'!AA94</f>
        <v>#REF!</v>
      </c>
      <c r="AC94" s="1157" t="e">
        <f>'[21]原始记录（电阻箱）'!AB94</f>
        <v>#REF!</v>
      </c>
      <c r="AD94" s="976" t="e">
        <f>'[21]原始记录（电阻箱）'!AC94</f>
        <v>#REF!</v>
      </c>
      <c r="AE94" s="674"/>
    </row>
    <row r="95" spans="1:31">
      <c r="A95" s="939">
        <v>8</v>
      </c>
      <c r="B95" s="2585">
        <v>7.9999399999999996</v>
      </c>
      <c r="C95" s="2652"/>
      <c r="D95" s="2991" t="e">
        <f t="shared" si="10"/>
        <v>#DIV/0!</v>
      </c>
      <c r="E95" s="2992"/>
      <c r="F95" s="979" t="e">
        <f t="shared" si="12"/>
        <v>#DIV/0!</v>
      </c>
      <c r="G95" s="2993">
        <v>8.0003399999999996</v>
      </c>
      <c r="H95" s="2994"/>
      <c r="I95" s="2935" t="e">
        <f t="shared" si="11"/>
        <v>#DIV/0!</v>
      </c>
      <c r="J95" s="2937"/>
      <c r="K95" s="979" t="e">
        <f t="shared" si="13"/>
        <v>#DIV/0!</v>
      </c>
      <c r="M95" s="2431">
        <v>8</v>
      </c>
      <c r="N95" s="2431"/>
      <c r="O95" s="1021" t="e">
        <f>'[21]原始记录（电阻箱）'!O94</f>
        <v>#REF!</v>
      </c>
      <c r="P95" s="1155" t="e">
        <f>'[21]原始记录（电阻箱）'!P94</f>
        <v>#REF!</v>
      </c>
      <c r="Q95" s="976" t="e">
        <f>'[21]原始记录（电阻箱）'!Q94</f>
        <v>#REF!</v>
      </c>
      <c r="R95" s="1156" t="e">
        <f>'[21]原始记录（电阻箱）'!R94</f>
        <v>#REF!</v>
      </c>
      <c r="S95" s="1157" t="e">
        <f>'[21]原始记录（电阻箱）'!S94</f>
        <v>#REF!</v>
      </c>
      <c r="T95" s="976" t="e">
        <f>'[21]原始记录（电阻箱）'!T94</f>
        <v>#REF!</v>
      </c>
      <c r="V95" s="2952">
        <v>8</v>
      </c>
      <c r="W95" s="2952"/>
      <c r="X95" s="1021" t="e">
        <f>'[21]原始记录（电阻箱）'!X95</f>
        <v>#REF!</v>
      </c>
      <c r="Y95" s="1155" t="e">
        <f>'[21]原始记录（电阻箱）'!Y95</f>
        <v>#REF!</v>
      </c>
      <c r="Z95" s="976" t="e">
        <f>'[21]原始记录（电阻箱）'!Z95</f>
        <v>#REF!</v>
      </c>
      <c r="AA95" s="976"/>
      <c r="AB95" s="1156" t="e">
        <f>'[21]原始记录（电阻箱）'!AA95</f>
        <v>#REF!</v>
      </c>
      <c r="AC95" s="1157" t="e">
        <f>'[21]原始记录（电阻箱）'!AB95</f>
        <v>#REF!</v>
      </c>
      <c r="AD95" s="976" t="e">
        <f>'[21]原始记录（电阻箱）'!AC95</f>
        <v>#REF!</v>
      </c>
      <c r="AE95" s="674"/>
    </row>
    <row r="96" spans="1:31">
      <c r="A96" s="939">
        <v>9</v>
      </c>
      <c r="B96" s="2585">
        <v>8.9999500000000001</v>
      </c>
      <c r="C96" s="2652"/>
      <c r="D96" s="2991" t="e">
        <f t="shared" si="10"/>
        <v>#DIV/0!</v>
      </c>
      <c r="E96" s="2992"/>
      <c r="F96" s="979" t="e">
        <f t="shared" si="12"/>
        <v>#DIV/0!</v>
      </c>
      <c r="G96" s="2993">
        <v>9.0003700000000002</v>
      </c>
      <c r="H96" s="2994"/>
      <c r="I96" s="2935" t="e">
        <f t="shared" si="11"/>
        <v>#DIV/0!</v>
      </c>
      <c r="J96" s="2937"/>
      <c r="K96" s="979" t="e">
        <f t="shared" si="13"/>
        <v>#DIV/0!</v>
      </c>
      <c r="M96" s="2431">
        <v>9</v>
      </c>
      <c r="N96" s="2431"/>
      <c r="O96" s="1021" t="e">
        <f>'[21]原始记录（电阻箱）'!O95</f>
        <v>#REF!</v>
      </c>
      <c r="P96" s="1155" t="e">
        <f>'[21]原始记录（电阻箱）'!P95</f>
        <v>#REF!</v>
      </c>
      <c r="Q96" s="976" t="e">
        <f>'[21]原始记录（电阻箱）'!Q95</f>
        <v>#REF!</v>
      </c>
      <c r="R96" s="1156" t="e">
        <f>'[21]原始记录（电阻箱）'!R95</f>
        <v>#REF!</v>
      </c>
      <c r="S96" s="1157" t="e">
        <f>'[21]原始记录（电阻箱）'!S95</f>
        <v>#REF!</v>
      </c>
      <c r="T96" s="976" t="e">
        <f>'[21]原始记录（电阻箱）'!T95</f>
        <v>#REF!</v>
      </c>
      <c r="V96" s="2952">
        <v>9</v>
      </c>
      <c r="W96" s="2952"/>
      <c r="X96" s="1021" t="e">
        <f>'[21]原始记录（电阻箱）'!X96</f>
        <v>#REF!</v>
      </c>
      <c r="Y96" s="1155" t="e">
        <f>'[21]原始记录（电阻箱）'!Y96</f>
        <v>#REF!</v>
      </c>
      <c r="Z96" s="976" t="e">
        <f>'[21]原始记录（电阻箱）'!Z96</f>
        <v>#REF!</v>
      </c>
      <c r="AA96" s="976"/>
      <c r="AB96" s="1156" t="e">
        <f>'[21]原始记录（电阻箱）'!AA96</f>
        <v>#REF!</v>
      </c>
      <c r="AC96" s="1157" t="e">
        <f>'[21]原始记录（电阻箱）'!AB96</f>
        <v>#REF!</v>
      </c>
      <c r="AD96" s="976" t="e">
        <f>'[21]原始记录（电阻箱）'!AC96</f>
        <v>#REF!</v>
      </c>
      <c r="AE96" s="674"/>
    </row>
    <row r="97" spans="1:31">
      <c r="A97" s="939">
        <v>10</v>
      </c>
      <c r="B97" s="2585">
        <v>9.9999699999999994</v>
      </c>
      <c r="C97" s="2652"/>
      <c r="D97" s="2991" t="e">
        <f t="shared" si="10"/>
        <v>#DIV/0!</v>
      </c>
      <c r="E97" s="2992"/>
      <c r="F97" s="979" t="e">
        <f t="shared" si="12"/>
        <v>#DIV/0!</v>
      </c>
      <c r="G97" s="2993">
        <v>10.000439999999999</v>
      </c>
      <c r="H97" s="2994"/>
      <c r="I97" s="2935" t="e">
        <f t="shared" si="11"/>
        <v>#DIV/0!</v>
      </c>
      <c r="J97" s="2937"/>
      <c r="K97" s="979" t="e">
        <f t="shared" si="13"/>
        <v>#DIV/0!</v>
      </c>
      <c r="M97" s="2431">
        <v>10</v>
      </c>
      <c r="N97" s="2431"/>
      <c r="O97" s="1021" t="e">
        <f>'[21]原始记录（电阻箱）'!O96</f>
        <v>#REF!</v>
      </c>
      <c r="P97" s="1155" t="e">
        <f>'[21]原始记录（电阻箱）'!P96</f>
        <v>#REF!</v>
      </c>
      <c r="Q97" s="976" t="e">
        <f>'[21]原始记录（电阻箱）'!Q96</f>
        <v>#REF!</v>
      </c>
      <c r="R97" s="1156" t="e">
        <f>'[21]原始记录（电阻箱）'!R96</f>
        <v>#REF!</v>
      </c>
      <c r="S97" s="1157" t="e">
        <f>'[21]原始记录（电阻箱）'!S96</f>
        <v>#REF!</v>
      </c>
      <c r="T97" s="976" t="e">
        <f>'[21]原始记录（电阻箱）'!T96</f>
        <v>#REF!</v>
      </c>
      <c r="V97" s="2952">
        <v>10</v>
      </c>
      <c r="W97" s="2952"/>
      <c r="X97" s="1021" t="e">
        <f>'[21]原始记录（电阻箱）'!X97</f>
        <v>#REF!</v>
      </c>
      <c r="Y97" s="1155" t="e">
        <f>'[21]原始记录（电阻箱）'!Y97</f>
        <v>#REF!</v>
      </c>
      <c r="Z97" s="976" t="e">
        <f>'[21]原始记录（电阻箱）'!Z97</f>
        <v>#REF!</v>
      </c>
      <c r="AA97" s="976"/>
      <c r="AB97" s="1156" t="e">
        <f>'[21]原始记录（电阻箱）'!AA97</f>
        <v>#REF!</v>
      </c>
      <c r="AC97" s="1157" t="e">
        <f>'[21]原始记录（电阻箱）'!AB97</f>
        <v>#REF!</v>
      </c>
      <c r="AD97" s="976" t="e">
        <f>'[21]原始记录（电阻箱）'!AC97</f>
        <v>#REF!</v>
      </c>
      <c r="AE97" s="674"/>
    </row>
    <row r="98" spans="1:31">
      <c r="A98" s="939" t="s">
        <v>2844</v>
      </c>
      <c r="B98" s="1136"/>
      <c r="C98" s="1138" t="s">
        <v>2845</v>
      </c>
      <c r="D98" s="1139">
        <v>0.01</v>
      </c>
      <c r="E98" s="1150"/>
      <c r="F98" s="1010"/>
      <c r="G98" s="1136"/>
      <c r="H98" s="1138" t="s">
        <v>2845</v>
      </c>
      <c r="I98" s="1139">
        <v>0.01</v>
      </c>
      <c r="J98" s="1139"/>
      <c r="K98" s="1010"/>
      <c r="M98" s="2431" t="s">
        <v>2844</v>
      </c>
      <c r="N98" s="2431"/>
      <c r="O98" s="1011" t="s">
        <v>2903</v>
      </c>
      <c r="P98" s="883" t="e">
        <f>'[21]原始记录（电阻箱）'!P97</f>
        <v>#REF!</v>
      </c>
      <c r="Q98" s="1124"/>
      <c r="R98" s="1142" t="s">
        <v>2903</v>
      </c>
      <c r="S98" s="956" t="e">
        <f>'[21]原始记录（电阻箱）'!S97</f>
        <v>#REF!</v>
      </c>
      <c r="T98" s="1000"/>
      <c r="V98" s="2431" t="s">
        <v>2904</v>
      </c>
      <c r="W98" s="2431"/>
      <c r="X98" s="1011" t="s">
        <v>2905</v>
      </c>
      <c r="Y98" s="883" t="e">
        <f>'[21]原始记录（电阻箱）'!Y98</f>
        <v>#REF!</v>
      </c>
      <c r="Z98" s="2386"/>
      <c r="AA98" s="2379"/>
      <c r="AB98" s="1142" t="s">
        <v>2889</v>
      </c>
      <c r="AC98" s="956" t="e">
        <f>'[21]原始记录（电阻箱）'!AB98</f>
        <v>#REF!</v>
      </c>
      <c r="AD98" s="2612"/>
      <c r="AE98" s="2611"/>
    </row>
    <row r="99" spans="1:31">
      <c r="A99" s="702"/>
      <c r="B99" s="702"/>
    </row>
    <row r="101" spans="1:31">
      <c r="A101" s="1140" t="s">
        <v>108</v>
      </c>
      <c r="B101" s="881"/>
      <c r="C101" s="881"/>
      <c r="D101" s="881"/>
      <c r="E101" s="881"/>
      <c r="F101" s="881"/>
      <c r="G101" s="881"/>
      <c r="H101" s="882"/>
      <c r="M101" s="702" t="s">
        <v>2906</v>
      </c>
      <c r="V101" s="702" t="s">
        <v>2907</v>
      </c>
    </row>
    <row r="102" spans="1:31">
      <c r="A102" s="3016" t="s">
        <v>2908</v>
      </c>
      <c r="B102" s="3016"/>
      <c r="C102" s="1059" t="s">
        <v>2909</v>
      </c>
      <c r="D102" s="1160" t="s">
        <v>2910</v>
      </c>
      <c r="E102" s="3017" t="s">
        <v>2911</v>
      </c>
      <c r="F102" s="3017"/>
      <c r="G102" s="3016" t="s">
        <v>2912</v>
      </c>
      <c r="H102" s="3016"/>
      <c r="I102" s="700" t="s">
        <v>2520</v>
      </c>
      <c r="M102" s="2434" t="s">
        <v>2908</v>
      </c>
      <c r="N102" s="2434"/>
      <c r="O102" s="717" t="s">
        <v>2909</v>
      </c>
      <c r="P102" s="713" t="s">
        <v>2910</v>
      </c>
      <c r="Q102" s="2434" t="s">
        <v>2911</v>
      </c>
      <c r="R102" s="2434"/>
      <c r="S102" s="2434" t="s">
        <v>2912</v>
      </c>
      <c r="T102" s="2434"/>
      <c r="V102" s="2434" t="s">
        <v>2908</v>
      </c>
      <c r="W102" s="2434"/>
      <c r="X102" s="717" t="s">
        <v>2909</v>
      </c>
      <c r="Y102" s="713" t="s">
        <v>2910</v>
      </c>
      <c r="Z102" s="2434" t="s">
        <v>2911</v>
      </c>
      <c r="AA102" s="2434"/>
      <c r="AB102" s="2434" t="s">
        <v>2912</v>
      </c>
      <c r="AC102" s="2434"/>
      <c r="AD102" s="700" t="s">
        <v>2913</v>
      </c>
    </row>
    <row r="103" spans="1:31" ht="14.25" customHeight="1">
      <c r="A103" s="2500" t="s">
        <v>2914</v>
      </c>
      <c r="B103" s="2500"/>
      <c r="C103" s="1161">
        <v>10</v>
      </c>
      <c r="D103" s="1144">
        <v>9.9988100000000006</v>
      </c>
      <c r="E103" s="3018">
        <f t="shared" ref="E103:E110" si="14">(D103-C103)/D103*100</f>
        <v>-1.1901416268529537E-2</v>
      </c>
      <c r="F103" s="3018"/>
      <c r="G103" s="2500" t="s">
        <v>2915</v>
      </c>
      <c r="H103" s="2500"/>
      <c r="I103" s="2745"/>
      <c r="M103" s="2434" t="s">
        <v>2914</v>
      </c>
      <c r="N103" s="2434"/>
      <c r="O103" s="1162">
        <v>10</v>
      </c>
      <c r="P103" s="1163" t="e">
        <f>'[21]原始记录（电阻箱）'!P103</f>
        <v>#REF!</v>
      </c>
      <c r="Q103" s="2485" t="e">
        <f>'[21]原始记录（电阻箱）'!Q103:R103</f>
        <v>#REF!</v>
      </c>
      <c r="R103" s="2485"/>
      <c r="S103" s="2434" t="s">
        <v>2916</v>
      </c>
      <c r="T103" s="2434"/>
      <c r="V103" s="2434" t="s">
        <v>2917</v>
      </c>
      <c r="W103" s="2434"/>
      <c r="X103" s="1162">
        <v>10</v>
      </c>
      <c r="Y103" s="1163" t="e">
        <f>'[21]原始记录（电阻箱）'!Y103</f>
        <v>#REF!</v>
      </c>
      <c r="Z103" s="2485" t="e">
        <f>'[21]原始记录（电阻箱）'!Z103:AA103</f>
        <v>#REF!</v>
      </c>
      <c r="AA103" s="2485"/>
      <c r="AB103" s="2434" t="s">
        <v>2918</v>
      </c>
      <c r="AC103" s="2434"/>
      <c r="AD103" s="2745"/>
    </row>
    <row r="104" spans="1:31">
      <c r="A104" s="2500"/>
      <c r="B104" s="2500"/>
      <c r="C104" s="1164">
        <v>100</v>
      </c>
      <c r="D104" s="1165">
        <v>99.987499999999997</v>
      </c>
      <c r="E104" s="3018">
        <f t="shared" si="14"/>
        <v>-1.2501562695339761E-2</v>
      </c>
      <c r="F104" s="3018"/>
      <c r="G104" s="2500" t="s">
        <v>2918</v>
      </c>
      <c r="H104" s="2500"/>
      <c r="I104" s="2339"/>
      <c r="M104" s="2434"/>
      <c r="N104" s="2434"/>
      <c r="O104" s="1149">
        <v>100</v>
      </c>
      <c r="P104" s="1106" t="e">
        <f>'[21]原始记录（电阻箱）'!P104</f>
        <v>#REF!</v>
      </c>
      <c r="Q104" s="2485" t="e">
        <f>'[21]原始记录（电阻箱）'!Q104:R104</f>
        <v>#REF!</v>
      </c>
      <c r="R104" s="2485"/>
      <c r="S104" s="2434" t="s">
        <v>2918</v>
      </c>
      <c r="T104" s="2434"/>
      <c r="V104" s="2434"/>
      <c r="W104" s="2434"/>
      <c r="X104" s="1149">
        <v>100</v>
      </c>
      <c r="Y104" s="1106" t="e">
        <f>'[21]原始记录（电阻箱）'!Y104</f>
        <v>#REF!</v>
      </c>
      <c r="Z104" s="2485" t="e">
        <f>'[21]原始记录（电阻箱）'!Z104:AA104</f>
        <v>#REF!</v>
      </c>
      <c r="AA104" s="2485"/>
      <c r="AB104" s="2434" t="s">
        <v>2919</v>
      </c>
      <c r="AC104" s="2434"/>
      <c r="AD104" s="2339"/>
    </row>
    <row r="105" spans="1:31">
      <c r="A105" s="2500"/>
      <c r="B105" s="2500"/>
      <c r="C105" s="1166">
        <v>1000</v>
      </c>
      <c r="D105" s="1167">
        <v>999.96100000000001</v>
      </c>
      <c r="E105" s="3018">
        <f t="shared" si="14"/>
        <v>-3.9001521059308583E-3</v>
      </c>
      <c r="F105" s="3018"/>
      <c r="G105" s="2500" t="s">
        <v>2919</v>
      </c>
      <c r="H105" s="2500"/>
      <c r="I105" s="2339"/>
      <c r="M105" s="2434"/>
      <c r="N105" s="2434"/>
      <c r="O105" s="1107">
        <v>1000</v>
      </c>
      <c r="P105" s="1149" t="e">
        <f>'[21]原始记录（电阻箱）'!P105</f>
        <v>#REF!</v>
      </c>
      <c r="Q105" s="2485" t="e">
        <f>'[21]原始记录（电阻箱）'!Q105:R105</f>
        <v>#REF!</v>
      </c>
      <c r="R105" s="2485"/>
      <c r="S105" s="2434" t="s">
        <v>2916</v>
      </c>
      <c r="T105" s="2434"/>
      <c r="V105" s="2434"/>
      <c r="W105" s="2434"/>
      <c r="X105" s="1107">
        <v>1000</v>
      </c>
      <c r="Y105" s="1149" t="e">
        <f>'[21]原始记录（电阻箱）'!Y105</f>
        <v>#REF!</v>
      </c>
      <c r="Z105" s="2485" t="e">
        <f>'[21]原始记录（电阻箱）'!Z105:AA105</f>
        <v>#REF!</v>
      </c>
      <c r="AA105" s="2485"/>
      <c r="AB105" s="2434" t="s">
        <v>2915</v>
      </c>
      <c r="AC105" s="2434"/>
      <c r="AD105" s="2339"/>
    </row>
    <row r="106" spans="1:31">
      <c r="A106" s="2500"/>
      <c r="B106" s="2500"/>
      <c r="C106" s="1168">
        <v>10000</v>
      </c>
      <c r="D106" s="1169">
        <v>9999.49</v>
      </c>
      <c r="E106" s="3018">
        <f t="shared" si="14"/>
        <v>-5.1002601132679598E-3</v>
      </c>
      <c r="F106" s="3018"/>
      <c r="G106" s="2500" t="s">
        <v>2915</v>
      </c>
      <c r="H106" s="2500"/>
      <c r="I106" s="2746"/>
      <c r="M106" s="2434"/>
      <c r="N106" s="2434"/>
      <c r="O106" s="1147">
        <v>10000</v>
      </c>
      <c r="P106" s="887" t="e">
        <f>'[21]原始记录（电阻箱）'!P106</f>
        <v>#REF!</v>
      </c>
      <c r="Q106" s="2485" t="e">
        <f>'[21]原始记录（电阻箱）'!Q106:R106</f>
        <v>#REF!</v>
      </c>
      <c r="R106" s="2485"/>
      <c r="S106" s="2434" t="s">
        <v>2916</v>
      </c>
      <c r="T106" s="2434"/>
      <c r="V106" s="2434"/>
      <c r="W106" s="2434"/>
      <c r="X106" s="1147">
        <v>10000</v>
      </c>
      <c r="Y106" s="887" t="e">
        <f>'[21]原始记录（电阻箱）'!Y106</f>
        <v>#REF!</v>
      </c>
      <c r="Z106" s="2485" t="e">
        <f>'[21]原始记录（电阻箱）'!Z106:AA106</f>
        <v>#REF!</v>
      </c>
      <c r="AA106" s="2485"/>
      <c r="AB106" s="2434" t="s">
        <v>2916</v>
      </c>
      <c r="AC106" s="2434"/>
      <c r="AD106" s="2746"/>
    </row>
    <row r="107" spans="1:31" ht="14.25" customHeight="1">
      <c r="A107" s="2500" t="s">
        <v>2920</v>
      </c>
      <c r="B107" s="2500"/>
      <c r="C107" s="1161">
        <v>10</v>
      </c>
      <c r="D107" s="1170">
        <v>9.9992599999999996</v>
      </c>
      <c r="E107" s="3018">
        <f t="shared" si="14"/>
        <v>-7.4005476405294701E-3</v>
      </c>
      <c r="F107" s="3018"/>
      <c r="G107" s="2500" t="s">
        <v>2916</v>
      </c>
      <c r="H107" s="2500"/>
      <c r="I107" s="2745"/>
      <c r="M107" s="2434" t="s">
        <v>2920</v>
      </c>
      <c r="N107" s="2434"/>
      <c r="O107" s="1162">
        <v>10</v>
      </c>
      <c r="P107" s="1163" t="e">
        <f>'[21]原始记录（电阻箱）'!P107</f>
        <v>#REF!</v>
      </c>
      <c r="Q107" s="2485" t="e">
        <f>'[21]原始记录（电阻箱）'!Q107:R107</f>
        <v>#REF!</v>
      </c>
      <c r="R107" s="2485"/>
      <c r="S107" s="2434" t="s">
        <v>2915</v>
      </c>
      <c r="T107" s="2434"/>
      <c r="V107" s="2434" t="s">
        <v>2921</v>
      </c>
      <c r="W107" s="2434"/>
      <c r="X107" s="1162">
        <v>10</v>
      </c>
      <c r="Y107" s="1163" t="e">
        <f>'[21]原始记录（电阻箱）'!Y107</f>
        <v>#REF!</v>
      </c>
      <c r="Z107" s="2485" t="e">
        <f>'[21]原始记录（电阻箱）'!Z107:AA107</f>
        <v>#REF!</v>
      </c>
      <c r="AA107" s="2485"/>
      <c r="AB107" s="2434" t="s">
        <v>2916</v>
      </c>
      <c r="AC107" s="2434"/>
      <c r="AD107" s="2745"/>
    </row>
    <row r="108" spans="1:31">
      <c r="A108" s="2500"/>
      <c r="B108" s="2500"/>
      <c r="C108" s="1164">
        <v>100</v>
      </c>
      <c r="D108" s="1171">
        <v>99.997200000000007</v>
      </c>
      <c r="E108" s="3018">
        <f t="shared" si="14"/>
        <v>-2.8000784021887356E-3</v>
      </c>
      <c r="F108" s="3018"/>
      <c r="G108" s="2500" t="s">
        <v>2916</v>
      </c>
      <c r="H108" s="2500"/>
      <c r="I108" s="2339"/>
      <c r="M108" s="2434"/>
      <c r="N108" s="2434"/>
      <c r="O108" s="1149">
        <v>100</v>
      </c>
      <c r="P108" s="1106" t="e">
        <f>'[21]原始记录（电阻箱）'!P108</f>
        <v>#REF!</v>
      </c>
      <c r="Q108" s="2485" t="e">
        <f>'[21]原始记录（电阻箱）'!Q108:R108</f>
        <v>#REF!</v>
      </c>
      <c r="R108" s="2485"/>
      <c r="S108" s="2434" t="s">
        <v>2922</v>
      </c>
      <c r="T108" s="2434"/>
      <c r="V108" s="2434"/>
      <c r="W108" s="2434"/>
      <c r="X108" s="1149">
        <v>100</v>
      </c>
      <c r="Y108" s="1106" t="e">
        <f>'[21]原始记录（电阻箱）'!Y108</f>
        <v>#REF!</v>
      </c>
      <c r="Z108" s="2485" t="e">
        <f>'[21]原始记录（电阻箱）'!Z108:AA108</f>
        <v>#REF!</v>
      </c>
      <c r="AA108" s="2485"/>
      <c r="AB108" s="2434" t="s">
        <v>2915</v>
      </c>
      <c r="AC108" s="2434"/>
      <c r="AD108" s="2339"/>
    </row>
    <row r="109" spans="1:31">
      <c r="A109" s="2500"/>
      <c r="B109" s="2500"/>
      <c r="C109" s="1166">
        <v>1000</v>
      </c>
      <c r="D109" s="1167">
        <v>999.99099999999999</v>
      </c>
      <c r="E109" s="3018">
        <f t="shared" si="14"/>
        <v>-9.0000810007435591E-4</v>
      </c>
      <c r="F109" s="3018"/>
      <c r="G109" s="2500" t="s">
        <v>2916</v>
      </c>
      <c r="H109" s="2500"/>
      <c r="I109" s="2339"/>
      <c r="M109" s="2434"/>
      <c r="N109" s="2434"/>
      <c r="O109" s="1107">
        <v>1000</v>
      </c>
      <c r="P109" s="1149" t="e">
        <f>'[21]原始记录（电阻箱）'!P109</f>
        <v>#REF!</v>
      </c>
      <c r="Q109" s="2485" t="e">
        <f>'[21]原始记录（电阻箱）'!Q109:R109</f>
        <v>#REF!</v>
      </c>
      <c r="R109" s="2485"/>
      <c r="S109" s="2434" t="s">
        <v>2923</v>
      </c>
      <c r="T109" s="2434"/>
      <c r="V109" s="2434"/>
      <c r="W109" s="2434"/>
      <c r="X109" s="1107">
        <v>1000</v>
      </c>
      <c r="Y109" s="1149" t="e">
        <f>'[21]原始记录（电阻箱）'!Y109</f>
        <v>#REF!</v>
      </c>
      <c r="Z109" s="2485" t="e">
        <f>'[21]原始记录（电阻箱）'!Z109:AA109</f>
        <v>#REF!</v>
      </c>
      <c r="AA109" s="2485"/>
      <c r="AB109" s="2434" t="s">
        <v>2922</v>
      </c>
      <c r="AC109" s="2434"/>
      <c r="AD109" s="2339"/>
    </row>
    <row r="110" spans="1:31">
      <c r="A110" s="2500"/>
      <c r="B110" s="2500"/>
      <c r="C110" s="1168">
        <v>10000</v>
      </c>
      <c r="D110" s="1169">
        <v>9999.36</v>
      </c>
      <c r="E110" s="3018">
        <f t="shared" si="14"/>
        <v>-6.4004096262102557E-3</v>
      </c>
      <c r="F110" s="3018"/>
      <c r="G110" s="2500" t="s">
        <v>2922</v>
      </c>
      <c r="H110" s="2500"/>
      <c r="I110" s="2746"/>
      <c r="M110" s="2434"/>
      <c r="N110" s="2434"/>
      <c r="O110" s="1172">
        <v>10000</v>
      </c>
      <c r="P110" s="887" t="e">
        <f>'[21]原始记录（电阻箱）'!P110</f>
        <v>#REF!</v>
      </c>
      <c r="Q110" s="2485" t="e">
        <f>'[21]原始记录（电阻箱）'!Q110:R110</f>
        <v>#REF!</v>
      </c>
      <c r="R110" s="2485"/>
      <c r="S110" s="2434" t="s">
        <v>2915</v>
      </c>
      <c r="T110" s="2434"/>
      <c r="V110" s="2434"/>
      <c r="W110" s="2434"/>
      <c r="X110" s="1172">
        <v>10000</v>
      </c>
      <c r="Y110" s="887" t="e">
        <f>'[21]原始记录（电阻箱）'!Y110</f>
        <v>#REF!</v>
      </c>
      <c r="Z110" s="2485" t="e">
        <f>'[21]原始记录（电阻箱）'!Z110:AA110</f>
        <v>#REF!</v>
      </c>
      <c r="AA110" s="2485"/>
      <c r="AB110" s="2434" t="s">
        <v>2916</v>
      </c>
      <c r="AC110" s="2434"/>
      <c r="AD110" s="2746"/>
    </row>
    <row r="111" spans="1:31" ht="18.75">
      <c r="A111" s="2788" t="s">
        <v>2924</v>
      </c>
      <c r="B111" s="2814"/>
      <c r="C111" s="2814"/>
      <c r="D111" s="2789"/>
      <c r="E111" s="2788" t="s">
        <v>2925</v>
      </c>
      <c r="F111" s="2814"/>
      <c r="G111" s="2814"/>
      <c r="H111" s="2789"/>
      <c r="M111" s="2385" t="s">
        <v>2924</v>
      </c>
      <c r="N111" s="2386"/>
      <c r="O111" s="2386"/>
      <c r="P111" s="2379"/>
      <c r="Q111" s="2385" t="s">
        <v>2925</v>
      </c>
      <c r="R111" s="2386"/>
      <c r="S111" s="2386"/>
      <c r="T111" s="2379"/>
      <c r="V111" s="2385" t="s">
        <v>2924</v>
      </c>
      <c r="W111" s="2386"/>
      <c r="X111" s="2386"/>
      <c r="Y111" s="2379"/>
      <c r="Z111" s="2385" t="s">
        <v>2925</v>
      </c>
      <c r="AA111" s="2386"/>
      <c r="AB111" s="2386"/>
      <c r="AC111" s="2386"/>
      <c r="AD111" s="2379"/>
    </row>
    <row r="112" spans="1:31">
      <c r="A112" s="2950" t="s">
        <v>2926</v>
      </c>
      <c r="B112" s="2951"/>
      <c r="C112" s="2951"/>
      <c r="D112" s="1151">
        <v>10.09</v>
      </c>
      <c r="E112" s="768"/>
      <c r="F112" s="1006" t="s">
        <v>2926</v>
      </c>
      <c r="G112" s="1151">
        <v>10.031000000000001</v>
      </c>
      <c r="H112" s="884"/>
      <c r="M112" s="2853" t="s">
        <v>2926</v>
      </c>
      <c r="N112" s="2854"/>
      <c r="O112" s="2854"/>
      <c r="P112" s="1173" t="e">
        <f>'[21]原始记录（电阻箱）'!P112</f>
        <v>#REF!</v>
      </c>
      <c r="Q112" s="768"/>
      <c r="R112" s="1174" t="s">
        <v>2927</v>
      </c>
      <c r="S112" s="1173" t="e">
        <f>'[21]原始记录（电阻箱）'!S112</f>
        <v>#REF!</v>
      </c>
      <c r="T112" s="638"/>
      <c r="V112" s="2853" t="s">
        <v>2928</v>
      </c>
      <c r="W112" s="2854"/>
      <c r="X112" s="2854"/>
      <c r="Y112" s="1173" t="e">
        <f>'[21]原始记录（电阻箱）'!Y112</f>
        <v>#REF!</v>
      </c>
      <c r="Z112" s="768"/>
      <c r="AA112" s="1174" t="s">
        <v>2928</v>
      </c>
      <c r="AB112" s="1173" t="e">
        <f>'[21]原始记录（电阻箱）'!AB112</f>
        <v>#REF!</v>
      </c>
      <c r="AC112" s="1713"/>
      <c r="AD112" s="1714"/>
    </row>
    <row r="113" spans="1:30">
      <c r="A113" s="2950" t="s">
        <v>2929</v>
      </c>
      <c r="B113" s="2951"/>
      <c r="C113" s="2951"/>
      <c r="D113" s="1151">
        <v>10.092000000000001</v>
      </c>
      <c r="E113" s="768"/>
      <c r="F113" s="1006" t="s">
        <v>2929</v>
      </c>
      <c r="G113" s="1151">
        <v>10.026</v>
      </c>
      <c r="H113" s="884"/>
      <c r="M113" s="2853" t="s">
        <v>2929</v>
      </c>
      <c r="N113" s="2854"/>
      <c r="O113" s="2854"/>
      <c r="P113" s="1173" t="e">
        <f>'[21]原始记录（电阻箱）'!P113</f>
        <v>#REF!</v>
      </c>
      <c r="Q113" s="768"/>
      <c r="R113" s="1012" t="s">
        <v>2930</v>
      </c>
      <c r="S113" s="1173" t="e">
        <f>'[21]原始记录（电阻箱）'!S113</f>
        <v>#REF!</v>
      </c>
      <c r="T113" s="638"/>
      <c r="V113" s="2853" t="s">
        <v>2931</v>
      </c>
      <c r="W113" s="2854"/>
      <c r="X113" s="2854"/>
      <c r="Y113" s="1173" t="e">
        <f>'[21]原始记录（电阻箱）'!Y113</f>
        <v>#REF!</v>
      </c>
      <c r="Z113" s="768"/>
      <c r="AA113" s="1012" t="s">
        <v>2932</v>
      </c>
      <c r="AB113" s="1173" t="e">
        <f>'[21]原始记录（电阻箱）'!AB113</f>
        <v>#REF!</v>
      </c>
      <c r="AC113" s="1713"/>
      <c r="AD113" s="1714"/>
    </row>
    <row r="114" spans="1:30">
      <c r="A114" s="2950" t="s">
        <v>2933</v>
      </c>
      <c r="B114" s="2951"/>
      <c r="C114" s="2951"/>
      <c r="D114" s="1151">
        <v>10.092000000000001</v>
      </c>
      <c r="E114" s="768"/>
      <c r="F114" s="1006" t="s">
        <v>2933</v>
      </c>
      <c r="G114" s="1151">
        <v>10.021000000000001</v>
      </c>
      <c r="H114" s="884"/>
      <c r="M114" s="2853" t="s">
        <v>2933</v>
      </c>
      <c r="N114" s="2854"/>
      <c r="O114" s="2854"/>
      <c r="P114" s="1173" t="e">
        <f>'[21]原始记录（电阻箱）'!P114</f>
        <v>#REF!</v>
      </c>
      <c r="Q114" s="768"/>
      <c r="R114" s="1012" t="s">
        <v>2934</v>
      </c>
      <c r="S114" s="1173" t="e">
        <f>'[21]原始记录（电阻箱）'!S114</f>
        <v>#REF!</v>
      </c>
      <c r="T114" s="638"/>
      <c r="V114" s="2853" t="s">
        <v>2935</v>
      </c>
      <c r="W114" s="2854"/>
      <c r="X114" s="2854"/>
      <c r="Y114" s="1173" t="e">
        <f>'[21]原始记录（电阻箱）'!Y114</f>
        <v>#REF!</v>
      </c>
      <c r="Z114" s="768"/>
      <c r="AA114" s="1012" t="s">
        <v>2936</v>
      </c>
      <c r="AB114" s="1173" t="e">
        <f>'[21]原始记录（电阻箱）'!AB114</f>
        <v>#REF!</v>
      </c>
      <c r="AC114" s="1713"/>
      <c r="AD114" s="1714"/>
    </row>
    <row r="115" spans="1:30">
      <c r="A115" s="2950" t="s">
        <v>2937</v>
      </c>
      <c r="B115" s="2951"/>
      <c r="C115" s="2951"/>
      <c r="D115" s="1152">
        <f>AVERAGE(D112:D114)</f>
        <v>10.091333333333333</v>
      </c>
      <c r="E115" s="1140"/>
      <c r="F115" s="1006" t="s">
        <v>2937</v>
      </c>
      <c r="G115" s="1152">
        <f>AVERAGE(G112:G114)</f>
        <v>10.026000000000002</v>
      </c>
      <c r="H115" s="882"/>
      <c r="M115" s="2853" t="s">
        <v>2937</v>
      </c>
      <c r="N115" s="2854"/>
      <c r="O115" s="2854"/>
      <c r="P115" s="1173" t="e">
        <f>'[21]原始记录（电阻箱）'!P115</f>
        <v>#REF!</v>
      </c>
      <c r="Q115" s="1140"/>
      <c r="R115" s="1012" t="s">
        <v>2938</v>
      </c>
      <c r="S115" s="1173" t="e">
        <f>'[21]原始记录（电阻箱）'!S115</f>
        <v>#REF!</v>
      </c>
      <c r="T115" s="638"/>
      <c r="V115" s="2853" t="s">
        <v>2939</v>
      </c>
      <c r="W115" s="2854"/>
      <c r="X115" s="2854"/>
      <c r="Y115" s="1173" t="e">
        <f>'[21]原始记录（电阻箱）'!Y115</f>
        <v>#REF!</v>
      </c>
      <c r="Z115" s="1140"/>
      <c r="AA115" s="1012" t="s">
        <v>2938</v>
      </c>
      <c r="AB115" s="1173" t="e">
        <f>'[21]原始记录（电阻箱）'!AB115</f>
        <v>#REF!</v>
      </c>
      <c r="AC115" s="1713"/>
      <c r="AD115" s="1714"/>
    </row>
  </sheetData>
  <mergeCells count="661">
    <mergeCell ref="G109:H109"/>
    <mergeCell ref="A103:B106"/>
    <mergeCell ref="E103:F103"/>
    <mergeCell ref="G103:H103"/>
    <mergeCell ref="E104:F104"/>
    <mergeCell ref="G104:H104"/>
    <mergeCell ref="E105:F105"/>
    <mergeCell ref="G105:H105"/>
    <mergeCell ref="E110:F110"/>
    <mergeCell ref="G110:H110"/>
    <mergeCell ref="E106:F106"/>
    <mergeCell ref="G106:H106"/>
    <mergeCell ref="A107:B110"/>
    <mergeCell ref="E107:F107"/>
    <mergeCell ref="G107:H107"/>
    <mergeCell ref="E108:F108"/>
    <mergeCell ref="G108:H108"/>
    <mergeCell ref="E109:F109"/>
    <mergeCell ref="B58:C58"/>
    <mergeCell ref="D58:E58"/>
    <mergeCell ref="G58:H58"/>
    <mergeCell ref="I58:J58"/>
    <mergeCell ref="A102:B102"/>
    <mergeCell ref="E102:F102"/>
    <mergeCell ref="G102:H102"/>
    <mergeCell ref="A62:D62"/>
    <mergeCell ref="E62:H62"/>
    <mergeCell ref="A63:C63"/>
    <mergeCell ref="A64:C64"/>
    <mergeCell ref="A65:C65"/>
    <mergeCell ref="A66:C66"/>
    <mergeCell ref="A69:A71"/>
    <mergeCell ref="E69:F69"/>
    <mergeCell ref="G69:H69"/>
    <mergeCell ref="B70:C70"/>
    <mergeCell ref="E70:F70"/>
    <mergeCell ref="G70:H70"/>
    <mergeCell ref="B71:C71"/>
    <mergeCell ref="B73:C73"/>
    <mergeCell ref="D73:E73"/>
    <mergeCell ref="G73:H73"/>
    <mergeCell ref="I73:J73"/>
    <mergeCell ref="B55:C55"/>
    <mergeCell ref="D55:E55"/>
    <mergeCell ref="G55:H55"/>
    <mergeCell ref="I55:J55"/>
    <mergeCell ref="B56:C56"/>
    <mergeCell ref="D56:E56"/>
    <mergeCell ref="G56:H56"/>
    <mergeCell ref="I56:J56"/>
    <mergeCell ref="B57:C57"/>
    <mergeCell ref="D57:E57"/>
    <mergeCell ref="G57:H57"/>
    <mergeCell ref="I57:J57"/>
    <mergeCell ref="B52:C52"/>
    <mergeCell ref="D52:E52"/>
    <mergeCell ref="G52:H52"/>
    <mergeCell ref="I52:J52"/>
    <mergeCell ref="B53:C53"/>
    <mergeCell ref="D53:E53"/>
    <mergeCell ref="G53:H53"/>
    <mergeCell ref="I53:J53"/>
    <mergeCell ref="B54:C54"/>
    <mergeCell ref="D54:E54"/>
    <mergeCell ref="G54:H54"/>
    <mergeCell ref="I54:J54"/>
    <mergeCell ref="B49:C49"/>
    <mergeCell ref="D49:E49"/>
    <mergeCell ref="G49:H49"/>
    <mergeCell ref="I49:J49"/>
    <mergeCell ref="B50:C50"/>
    <mergeCell ref="D50:E50"/>
    <mergeCell ref="G50:H50"/>
    <mergeCell ref="I50:J50"/>
    <mergeCell ref="B51:C51"/>
    <mergeCell ref="D51:E51"/>
    <mergeCell ref="G51:H51"/>
    <mergeCell ref="I51:J51"/>
    <mergeCell ref="A46:A48"/>
    <mergeCell ref="E46:F46"/>
    <mergeCell ref="G46:H46"/>
    <mergeCell ref="J46:K46"/>
    <mergeCell ref="B47:C47"/>
    <mergeCell ref="E47:F47"/>
    <mergeCell ref="G47:H47"/>
    <mergeCell ref="J47:K47"/>
    <mergeCell ref="B48:C48"/>
    <mergeCell ref="D48:E48"/>
    <mergeCell ref="G48:H48"/>
    <mergeCell ref="I48:J48"/>
    <mergeCell ref="C42:D42"/>
    <mergeCell ref="C43:D43"/>
    <mergeCell ref="E40:F40"/>
    <mergeCell ref="G40:I40"/>
    <mergeCell ref="J40:K40"/>
    <mergeCell ref="E41:F41"/>
    <mergeCell ref="G41:I41"/>
    <mergeCell ref="C40:D40"/>
    <mergeCell ref="C41:D41"/>
    <mergeCell ref="E42:F42"/>
    <mergeCell ref="G42:I42"/>
    <mergeCell ref="J42:K42"/>
    <mergeCell ref="E43:F43"/>
    <mergeCell ref="G43:I43"/>
    <mergeCell ref="J43:K43"/>
    <mergeCell ref="J41:K41"/>
    <mergeCell ref="E34:F34"/>
    <mergeCell ref="G34:I34"/>
    <mergeCell ref="J34:K34"/>
    <mergeCell ref="E35:F35"/>
    <mergeCell ref="G35:I35"/>
    <mergeCell ref="J35:K35"/>
    <mergeCell ref="C39:D39"/>
    <mergeCell ref="E36:F36"/>
    <mergeCell ref="G36:I36"/>
    <mergeCell ref="J36:K36"/>
    <mergeCell ref="E37:F37"/>
    <mergeCell ref="G37:I37"/>
    <mergeCell ref="J37:K37"/>
    <mergeCell ref="E38:F38"/>
    <mergeCell ref="G38:I38"/>
    <mergeCell ref="J38:K38"/>
    <mergeCell ref="E39:F39"/>
    <mergeCell ref="G39:I39"/>
    <mergeCell ref="J39:K39"/>
    <mergeCell ref="C34:D34"/>
    <mergeCell ref="C35:D35"/>
    <mergeCell ref="C36:D36"/>
    <mergeCell ref="C37:D37"/>
    <mergeCell ref="C38:D38"/>
    <mergeCell ref="D26:E26"/>
    <mergeCell ref="D28:E28"/>
    <mergeCell ref="F21:G21"/>
    <mergeCell ref="A31:A33"/>
    <mergeCell ref="G31:H31"/>
    <mergeCell ref="J31:K31"/>
    <mergeCell ref="B32:C32"/>
    <mergeCell ref="G32:H32"/>
    <mergeCell ref="J32:K32"/>
    <mergeCell ref="E33:F33"/>
    <mergeCell ref="G33:I33"/>
    <mergeCell ref="J33:K33"/>
    <mergeCell ref="E32:F32"/>
    <mergeCell ref="C33:D33"/>
    <mergeCell ref="G20:I20"/>
    <mergeCell ref="E31:F31"/>
    <mergeCell ref="D27:E27"/>
    <mergeCell ref="A3:C3"/>
    <mergeCell ref="C17:D17"/>
    <mergeCell ref="E17:F17"/>
    <mergeCell ref="D20:E20"/>
    <mergeCell ref="D21:E21"/>
    <mergeCell ref="H21:K21"/>
    <mergeCell ref="C14:D14"/>
    <mergeCell ref="E14:F14"/>
    <mergeCell ref="G14:H14"/>
    <mergeCell ref="I14:K14"/>
    <mergeCell ref="C15:D15"/>
    <mergeCell ref="E15:F15"/>
    <mergeCell ref="G15:H17"/>
    <mergeCell ref="C16:D16"/>
    <mergeCell ref="E16:F16"/>
    <mergeCell ref="D22:E22"/>
    <mergeCell ref="F22:G28"/>
    <mergeCell ref="H22:K28"/>
    <mergeCell ref="D23:E23"/>
    <mergeCell ref="D24:E24"/>
    <mergeCell ref="D25:E25"/>
    <mergeCell ref="O42:Q42"/>
    <mergeCell ref="R42:S42"/>
    <mergeCell ref="T42:V42"/>
    <mergeCell ref="O43:Q43"/>
    <mergeCell ref="R43:S43"/>
    <mergeCell ref="T43:V43"/>
    <mergeCell ref="R47:S47"/>
    <mergeCell ref="O40:Q40"/>
    <mergeCell ref="R40:S40"/>
    <mergeCell ref="T47:U47"/>
    <mergeCell ref="B74:C74"/>
    <mergeCell ref="D74:E74"/>
    <mergeCell ref="G74:H74"/>
    <mergeCell ref="I74:J74"/>
    <mergeCell ref="D71:E71"/>
    <mergeCell ref="G71:H71"/>
    <mergeCell ref="I71:J71"/>
    <mergeCell ref="B72:C72"/>
    <mergeCell ref="D72:E72"/>
    <mergeCell ref="G72:H72"/>
    <mergeCell ref="I72:J72"/>
    <mergeCell ref="B77:C77"/>
    <mergeCell ref="D77:E77"/>
    <mergeCell ref="G77:H77"/>
    <mergeCell ref="I77:J77"/>
    <mergeCell ref="B78:C78"/>
    <mergeCell ref="D78:E78"/>
    <mergeCell ref="G78:H78"/>
    <mergeCell ref="I78:J78"/>
    <mergeCell ref="B75:C75"/>
    <mergeCell ref="D75:E75"/>
    <mergeCell ref="G75:H75"/>
    <mergeCell ref="I75:J75"/>
    <mergeCell ref="B76:C76"/>
    <mergeCell ref="D76:E76"/>
    <mergeCell ref="G76:H76"/>
    <mergeCell ref="I76:J76"/>
    <mergeCell ref="A85:A87"/>
    <mergeCell ref="E85:F85"/>
    <mergeCell ref="G85:H85"/>
    <mergeCell ref="J85:K85"/>
    <mergeCell ref="B86:C86"/>
    <mergeCell ref="E86:F86"/>
    <mergeCell ref="B79:C79"/>
    <mergeCell ref="D79:E79"/>
    <mergeCell ref="G79:H79"/>
    <mergeCell ref="I79:J79"/>
    <mergeCell ref="B80:C80"/>
    <mergeCell ref="D80:E80"/>
    <mergeCell ref="G80:H80"/>
    <mergeCell ref="I80:J80"/>
    <mergeCell ref="G86:H86"/>
    <mergeCell ref="J86:K86"/>
    <mergeCell ref="B87:C87"/>
    <mergeCell ref="D87:E87"/>
    <mergeCell ref="G87:H87"/>
    <mergeCell ref="I87:J87"/>
    <mergeCell ref="B81:C81"/>
    <mergeCell ref="D81:E81"/>
    <mergeCell ref="G81:H81"/>
    <mergeCell ref="I81:J81"/>
    <mergeCell ref="D91:E91"/>
    <mergeCell ref="G91:H91"/>
    <mergeCell ref="I91:J91"/>
    <mergeCell ref="B88:C88"/>
    <mergeCell ref="D88:E88"/>
    <mergeCell ref="G88:H88"/>
    <mergeCell ref="I88:J88"/>
    <mergeCell ref="B89:C89"/>
    <mergeCell ref="D89:E89"/>
    <mergeCell ref="G89:H89"/>
    <mergeCell ref="I89:J89"/>
    <mergeCell ref="B97:C97"/>
    <mergeCell ref="D97:E97"/>
    <mergeCell ref="G97:H97"/>
    <mergeCell ref="I97:J97"/>
    <mergeCell ref="B94:C94"/>
    <mergeCell ref="D94:E94"/>
    <mergeCell ref="G94:H94"/>
    <mergeCell ref="I94:J94"/>
    <mergeCell ref="B95:C95"/>
    <mergeCell ref="D95:E95"/>
    <mergeCell ref="G95:H95"/>
    <mergeCell ref="I95:J95"/>
    <mergeCell ref="Z12:AD12"/>
    <mergeCell ref="P14:Q14"/>
    <mergeCell ref="R14:S14"/>
    <mergeCell ref="T14:U14"/>
    <mergeCell ref="V14:X14"/>
    <mergeCell ref="AB14:AC14"/>
    <mergeCell ref="AD14:AE14"/>
    <mergeCell ref="B96:C96"/>
    <mergeCell ref="D96:E96"/>
    <mergeCell ref="G96:H96"/>
    <mergeCell ref="I96:J96"/>
    <mergeCell ref="B92:C92"/>
    <mergeCell ref="D92:E92"/>
    <mergeCell ref="G92:H92"/>
    <mergeCell ref="I92:J92"/>
    <mergeCell ref="B93:C93"/>
    <mergeCell ref="D93:E93"/>
    <mergeCell ref="G93:H93"/>
    <mergeCell ref="I93:J93"/>
    <mergeCell ref="B90:C90"/>
    <mergeCell ref="D90:E90"/>
    <mergeCell ref="G90:H90"/>
    <mergeCell ref="I90:J90"/>
    <mergeCell ref="B91:C91"/>
    <mergeCell ref="AB16:AC16"/>
    <mergeCell ref="AD16:AE16"/>
    <mergeCell ref="P17:Q17"/>
    <mergeCell ref="R17:S17"/>
    <mergeCell ref="AB17:AC17"/>
    <mergeCell ref="AD17:AE17"/>
    <mergeCell ref="AF14:AG14"/>
    <mergeCell ref="AH14:AJ14"/>
    <mergeCell ref="P15:Q15"/>
    <mergeCell ref="R15:S15"/>
    <mergeCell ref="T15:U17"/>
    <mergeCell ref="AB15:AC15"/>
    <mergeCell ref="AD15:AE15"/>
    <mergeCell ref="AF15:AG17"/>
    <mergeCell ref="P16:Q16"/>
    <mergeCell ref="R16:S16"/>
    <mergeCell ref="Z19:AD19"/>
    <mergeCell ref="Q20:R20"/>
    <mergeCell ref="T20:V20"/>
    <mergeCell ref="AC20:AD20"/>
    <mergeCell ref="AF20:AH20"/>
    <mergeCell ref="Q21:R21"/>
    <mergeCell ref="S21:T21"/>
    <mergeCell ref="U21:X21"/>
    <mergeCell ref="AC21:AD21"/>
    <mergeCell ref="AE21:AF21"/>
    <mergeCell ref="AC24:AD24"/>
    <mergeCell ref="Q25:R25"/>
    <mergeCell ref="AC25:AD25"/>
    <mergeCell ref="Q26:R26"/>
    <mergeCell ref="AC26:AD26"/>
    <mergeCell ref="Q27:R27"/>
    <mergeCell ref="AC27:AD27"/>
    <mergeCell ref="AG21:AJ21"/>
    <mergeCell ref="Q22:R22"/>
    <mergeCell ref="S22:T28"/>
    <mergeCell ref="U22:X28"/>
    <mergeCell ref="AC22:AD22"/>
    <mergeCell ref="AE22:AF28"/>
    <mergeCell ref="AG22:AJ28"/>
    <mergeCell ref="Q23:R23"/>
    <mergeCell ref="AC23:AD23"/>
    <mergeCell ref="Q24:R24"/>
    <mergeCell ref="Q28:R28"/>
    <mergeCell ref="AC28:AD28"/>
    <mergeCell ref="N31:N33"/>
    <mergeCell ref="R31:S31"/>
    <mergeCell ref="T31:U31"/>
    <mergeCell ref="W31:X31"/>
    <mergeCell ref="Z31:Z33"/>
    <mergeCell ref="AD31:AE31"/>
    <mergeCell ref="O33:Q33"/>
    <mergeCell ref="R33:S33"/>
    <mergeCell ref="AF31:AG31"/>
    <mergeCell ref="AI31:AL31"/>
    <mergeCell ref="O32:P32"/>
    <mergeCell ref="R32:S32"/>
    <mergeCell ref="T32:U32"/>
    <mergeCell ref="W32:X32"/>
    <mergeCell ref="AA32:AB32"/>
    <mergeCell ref="AD32:AE32"/>
    <mergeCell ref="AF32:AG32"/>
    <mergeCell ref="AI32:AL32"/>
    <mergeCell ref="AK33:AL33"/>
    <mergeCell ref="O34:Q34"/>
    <mergeCell ref="R34:S34"/>
    <mergeCell ref="T34:V34"/>
    <mergeCell ref="W34:X34"/>
    <mergeCell ref="AB34:AC34"/>
    <mergeCell ref="AD34:AE34"/>
    <mergeCell ref="AF34:AH34"/>
    <mergeCell ref="AI34:AJ34"/>
    <mergeCell ref="AK34:AL34"/>
    <mergeCell ref="T33:V33"/>
    <mergeCell ref="W33:X33"/>
    <mergeCell ref="AB33:AC33"/>
    <mergeCell ref="AD33:AE33"/>
    <mergeCell ref="AF33:AH33"/>
    <mergeCell ref="AI33:AJ33"/>
    <mergeCell ref="AF35:AH35"/>
    <mergeCell ref="AI35:AJ35"/>
    <mergeCell ref="AK35:AL35"/>
    <mergeCell ref="M36:M38"/>
    <mergeCell ref="O36:Q36"/>
    <mergeCell ref="R36:S36"/>
    <mergeCell ref="T36:V36"/>
    <mergeCell ref="W36:X36"/>
    <mergeCell ref="AB36:AC36"/>
    <mergeCell ref="AD36:AE36"/>
    <mergeCell ref="O35:Q35"/>
    <mergeCell ref="R35:S35"/>
    <mergeCell ref="T35:V35"/>
    <mergeCell ref="W35:X35"/>
    <mergeCell ref="AB35:AC35"/>
    <mergeCell ref="AD35:AE35"/>
    <mergeCell ref="AF36:AH36"/>
    <mergeCell ref="AI36:AJ36"/>
    <mergeCell ref="AK36:AL36"/>
    <mergeCell ref="O37:Q37"/>
    <mergeCell ref="R37:S37"/>
    <mergeCell ref="T37:V37"/>
    <mergeCell ref="W37:X37"/>
    <mergeCell ref="AB37:AC37"/>
    <mergeCell ref="AD37:AE37"/>
    <mergeCell ref="AF37:AH37"/>
    <mergeCell ref="AI37:AJ37"/>
    <mergeCell ref="AK37:AL37"/>
    <mergeCell ref="O38:Q38"/>
    <mergeCell ref="R38:S38"/>
    <mergeCell ref="T38:V38"/>
    <mergeCell ref="W38:X38"/>
    <mergeCell ref="AB38:AC38"/>
    <mergeCell ref="AD38:AE38"/>
    <mergeCell ref="AF38:AH38"/>
    <mergeCell ref="AI38:AJ38"/>
    <mergeCell ref="AK38:AL38"/>
    <mergeCell ref="O39:Q39"/>
    <mergeCell ref="R39:S39"/>
    <mergeCell ref="T39:V39"/>
    <mergeCell ref="W39:X39"/>
    <mergeCell ref="AB39:AC39"/>
    <mergeCell ref="AD39:AE39"/>
    <mergeCell ref="AF39:AH39"/>
    <mergeCell ref="AI39:AJ39"/>
    <mergeCell ref="AK39:AL39"/>
    <mergeCell ref="AK40:AL40"/>
    <mergeCell ref="O41:Q41"/>
    <mergeCell ref="R41:S41"/>
    <mergeCell ref="T41:V41"/>
    <mergeCell ref="W41:X41"/>
    <mergeCell ref="AB41:AC41"/>
    <mergeCell ref="AD41:AE41"/>
    <mergeCell ref="AF41:AH41"/>
    <mergeCell ref="AI41:AJ41"/>
    <mergeCell ref="AK41:AL41"/>
    <mergeCell ref="T40:V40"/>
    <mergeCell ref="W40:X40"/>
    <mergeCell ref="AB40:AC40"/>
    <mergeCell ref="AD40:AE40"/>
    <mergeCell ref="AF40:AH40"/>
    <mergeCell ref="AI40:AJ40"/>
    <mergeCell ref="W43:X43"/>
    <mergeCell ref="AB43:AC43"/>
    <mergeCell ref="AD43:AE43"/>
    <mergeCell ref="AF43:AH43"/>
    <mergeCell ref="AI43:AJ43"/>
    <mergeCell ref="AK43:AL43"/>
    <mergeCell ref="W42:X42"/>
    <mergeCell ref="AB42:AC42"/>
    <mergeCell ref="AD42:AE42"/>
    <mergeCell ref="AF42:AH42"/>
    <mergeCell ref="AI42:AJ42"/>
    <mergeCell ref="AK42:AL42"/>
    <mergeCell ref="W47:X47"/>
    <mergeCell ref="AA47:AB47"/>
    <mergeCell ref="AD47:AF47"/>
    <mergeCell ref="AG47:AH47"/>
    <mergeCell ref="AJ47:AK47"/>
    <mergeCell ref="AG44:AL44"/>
    <mergeCell ref="N46:N48"/>
    <mergeCell ref="R46:S46"/>
    <mergeCell ref="T46:U46"/>
    <mergeCell ref="W46:X46"/>
    <mergeCell ref="Z46:Z48"/>
    <mergeCell ref="AD46:AF46"/>
    <mergeCell ref="AG46:AH46"/>
    <mergeCell ref="AJ46:AK46"/>
    <mergeCell ref="O47:P47"/>
    <mergeCell ref="AG48:AH48"/>
    <mergeCell ref="AI48:AJ48"/>
    <mergeCell ref="L49:M52"/>
    <mergeCell ref="O49:P49"/>
    <mergeCell ref="Q49:R49"/>
    <mergeCell ref="T49:U49"/>
    <mergeCell ref="V49:W49"/>
    <mergeCell ref="AA49:AB49"/>
    <mergeCell ref="AC49:AD49"/>
    <mergeCell ref="AG49:AH49"/>
    <mergeCell ref="O48:P48"/>
    <mergeCell ref="Q48:R48"/>
    <mergeCell ref="T48:U48"/>
    <mergeCell ref="V48:W48"/>
    <mergeCell ref="AA48:AB48"/>
    <mergeCell ref="AC48:AD48"/>
    <mergeCell ref="AI49:AJ49"/>
    <mergeCell ref="O50:P50"/>
    <mergeCell ref="Q50:R50"/>
    <mergeCell ref="T50:U50"/>
    <mergeCell ref="V50:W50"/>
    <mergeCell ref="AA50:AB50"/>
    <mergeCell ref="AC50:AD50"/>
    <mergeCell ref="AG50:AH50"/>
    <mergeCell ref="AI50:AJ50"/>
    <mergeCell ref="L53:M55"/>
    <mergeCell ref="O53:P53"/>
    <mergeCell ref="Q53:R53"/>
    <mergeCell ref="T53:U53"/>
    <mergeCell ref="V53:W53"/>
    <mergeCell ref="AA53:AB53"/>
    <mergeCell ref="AG51:AH51"/>
    <mergeCell ref="AI51:AJ51"/>
    <mergeCell ref="O52:P52"/>
    <mergeCell ref="Q52:R52"/>
    <mergeCell ref="T52:U52"/>
    <mergeCell ref="V52:W52"/>
    <mergeCell ref="AA52:AB52"/>
    <mergeCell ref="AC52:AD52"/>
    <mergeCell ref="AG52:AH52"/>
    <mergeCell ref="AI52:AJ52"/>
    <mergeCell ref="O51:P51"/>
    <mergeCell ref="Q51:R51"/>
    <mergeCell ref="T51:U51"/>
    <mergeCell ref="V51:W51"/>
    <mergeCell ref="AA51:AB51"/>
    <mergeCell ref="AC51:AD51"/>
    <mergeCell ref="AC53:AD53"/>
    <mergeCell ref="AG53:AH53"/>
    <mergeCell ref="AI53:AJ53"/>
    <mergeCell ref="O54:P54"/>
    <mergeCell ref="Q54:R54"/>
    <mergeCell ref="T54:U54"/>
    <mergeCell ref="V54:W54"/>
    <mergeCell ref="AA54:AB54"/>
    <mergeCell ref="AC54:AD54"/>
    <mergeCell ref="AG54:AH54"/>
    <mergeCell ref="AI54:AJ54"/>
    <mergeCell ref="O55:P55"/>
    <mergeCell ref="Q55:R55"/>
    <mergeCell ref="T55:U55"/>
    <mergeCell ref="V55:W55"/>
    <mergeCell ref="AA55:AB55"/>
    <mergeCell ref="AC55:AD55"/>
    <mergeCell ref="AG55:AH55"/>
    <mergeCell ref="AI55:AJ55"/>
    <mergeCell ref="AG56:AH56"/>
    <mergeCell ref="AI56:AJ56"/>
    <mergeCell ref="O57:P57"/>
    <mergeCell ref="Q57:R57"/>
    <mergeCell ref="T57:U57"/>
    <mergeCell ref="V57:W57"/>
    <mergeCell ref="AA57:AB57"/>
    <mergeCell ref="AC57:AD57"/>
    <mergeCell ref="AG57:AH57"/>
    <mergeCell ref="AI57:AJ57"/>
    <mergeCell ref="O56:P56"/>
    <mergeCell ref="Q56:R56"/>
    <mergeCell ref="T56:U56"/>
    <mergeCell ref="V56:W56"/>
    <mergeCell ref="AA56:AB56"/>
    <mergeCell ref="AC56:AD56"/>
    <mergeCell ref="AG58:AH58"/>
    <mergeCell ref="AI58:AJ58"/>
    <mergeCell ref="J63:K65"/>
    <mergeCell ref="M69:N71"/>
    <mergeCell ref="V69:W71"/>
    <mergeCell ref="Z69:AA69"/>
    <mergeCell ref="Z70:AA70"/>
    <mergeCell ref="O58:P58"/>
    <mergeCell ref="Q58:R58"/>
    <mergeCell ref="T58:U58"/>
    <mergeCell ref="V58:W58"/>
    <mergeCell ref="AA58:AB58"/>
    <mergeCell ref="AC58:AD58"/>
    <mergeCell ref="J69:K69"/>
    <mergeCell ref="J70:K70"/>
    <mergeCell ref="M75:N75"/>
    <mergeCell ref="V75:W75"/>
    <mergeCell ref="M76:N76"/>
    <mergeCell ref="V76:W76"/>
    <mergeCell ref="M77:N77"/>
    <mergeCell ref="V77:W77"/>
    <mergeCell ref="M72:N72"/>
    <mergeCell ref="V72:W72"/>
    <mergeCell ref="M73:N73"/>
    <mergeCell ref="V73:W73"/>
    <mergeCell ref="M74:N74"/>
    <mergeCell ref="V74:W74"/>
    <mergeCell ref="M81:N81"/>
    <mergeCell ref="V81:W81"/>
    <mergeCell ref="M82:N82"/>
    <mergeCell ref="V82:W82"/>
    <mergeCell ref="Z82:AA82"/>
    <mergeCell ref="AD82:AE82"/>
    <mergeCell ref="M78:N78"/>
    <mergeCell ref="V78:W78"/>
    <mergeCell ref="M79:N79"/>
    <mergeCell ref="V79:W79"/>
    <mergeCell ref="M80:N80"/>
    <mergeCell ref="V80:W80"/>
    <mergeCell ref="M89:N89"/>
    <mergeCell ref="V89:W89"/>
    <mergeCell ref="M90:N90"/>
    <mergeCell ref="V90:W90"/>
    <mergeCell ref="M91:N91"/>
    <mergeCell ref="V91:W91"/>
    <mergeCell ref="M85:N87"/>
    <mergeCell ref="V85:W87"/>
    <mergeCell ref="Z85:AA85"/>
    <mergeCell ref="Z86:AA86"/>
    <mergeCell ref="M88:N88"/>
    <mergeCell ref="V88:W88"/>
    <mergeCell ref="M95:N95"/>
    <mergeCell ref="V95:W95"/>
    <mergeCell ref="M96:N96"/>
    <mergeCell ref="V96:W96"/>
    <mergeCell ref="M97:N97"/>
    <mergeCell ref="V97:W97"/>
    <mergeCell ref="M92:N92"/>
    <mergeCell ref="V92:W92"/>
    <mergeCell ref="M93:N93"/>
    <mergeCell ref="V93:W93"/>
    <mergeCell ref="M94:N94"/>
    <mergeCell ref="V94:W94"/>
    <mergeCell ref="M98:N98"/>
    <mergeCell ref="V98:W98"/>
    <mergeCell ref="Z98:AA98"/>
    <mergeCell ref="AD98:AE98"/>
    <mergeCell ref="M102:N102"/>
    <mergeCell ref="Q102:R102"/>
    <mergeCell ref="S102:T102"/>
    <mergeCell ref="V102:W102"/>
    <mergeCell ref="Z102:AA102"/>
    <mergeCell ref="AB102:AC102"/>
    <mergeCell ref="Q105:R105"/>
    <mergeCell ref="S105:T105"/>
    <mergeCell ref="Z105:AA105"/>
    <mergeCell ref="AB105:AC105"/>
    <mergeCell ref="Q106:R106"/>
    <mergeCell ref="S106:T106"/>
    <mergeCell ref="Z106:AA106"/>
    <mergeCell ref="AB106:AC106"/>
    <mergeCell ref="M103:N106"/>
    <mergeCell ref="Q103:R103"/>
    <mergeCell ref="S103:T103"/>
    <mergeCell ref="V103:W106"/>
    <mergeCell ref="Z103:AA103"/>
    <mergeCell ref="AB103:AC103"/>
    <mergeCell ref="Q104:R104"/>
    <mergeCell ref="S104:T104"/>
    <mergeCell ref="Z104:AA104"/>
    <mergeCell ref="AB104:AC104"/>
    <mergeCell ref="M107:N110"/>
    <mergeCell ref="Q107:R107"/>
    <mergeCell ref="S107:T107"/>
    <mergeCell ref="V107:W110"/>
    <mergeCell ref="Z107:AA107"/>
    <mergeCell ref="AB107:AC107"/>
    <mergeCell ref="Q108:R108"/>
    <mergeCell ref="S108:T108"/>
    <mergeCell ref="Z108:AA108"/>
    <mergeCell ref="AB108:AC108"/>
    <mergeCell ref="A115:C115"/>
    <mergeCell ref="M115:O115"/>
    <mergeCell ref="V115:X115"/>
    <mergeCell ref="AC115:AD115"/>
    <mergeCell ref="A112:C112"/>
    <mergeCell ref="M112:O112"/>
    <mergeCell ref="V112:X112"/>
    <mergeCell ref="AC112:AD112"/>
    <mergeCell ref="A113:C113"/>
    <mergeCell ref="M113:O113"/>
    <mergeCell ref="AD103:AD106"/>
    <mergeCell ref="AD107:AD110"/>
    <mergeCell ref="I103:I106"/>
    <mergeCell ref="I107:I110"/>
    <mergeCell ref="A114:C114"/>
    <mergeCell ref="M114:O114"/>
    <mergeCell ref="V114:X114"/>
    <mergeCell ref="AC114:AD114"/>
    <mergeCell ref="V113:X113"/>
    <mergeCell ref="AC113:AD113"/>
    <mergeCell ref="A111:D111"/>
    <mergeCell ref="E111:H111"/>
    <mergeCell ref="M111:P111"/>
    <mergeCell ref="Q111:T111"/>
    <mergeCell ref="V111:Y111"/>
    <mergeCell ref="Z111:AD111"/>
    <mergeCell ref="Q109:R109"/>
    <mergeCell ref="S109:T109"/>
    <mergeCell ref="Z109:AA109"/>
    <mergeCell ref="AB109:AC109"/>
    <mergeCell ref="Q110:R110"/>
    <mergeCell ref="S110:T110"/>
    <mergeCell ref="Z110:AA110"/>
    <mergeCell ref="AB110:AC110"/>
  </mergeCells>
  <phoneticPr fontId="25" type="noConversion"/>
  <conditionalFormatting sqref="C13">
    <cfRule type="expression" dxfId="62" priority="17" stopIfTrue="1">
      <formula>OR($G$8&gt;$K$9,$G$8&lt;$I$9)</formula>
    </cfRule>
  </conditionalFormatting>
  <conditionalFormatting sqref="C19">
    <cfRule type="expression" dxfId="61" priority="16" stopIfTrue="1">
      <formula>$F$14&gt;$H$14</formula>
    </cfRule>
  </conditionalFormatting>
  <conditionalFormatting sqref="K49:K58 F49:F58">
    <cfRule type="expression" dxfId="60" priority="15" stopIfTrue="1">
      <formula>ABS(F49)&gt;#REF!</formula>
    </cfRule>
  </conditionalFormatting>
  <conditionalFormatting sqref="K72:K81 F72:F81">
    <cfRule type="expression" dxfId="59" priority="14" stopIfTrue="1">
      <formula>ABS(F72)&gt;#REF!</formula>
    </cfRule>
  </conditionalFormatting>
  <conditionalFormatting sqref="K88:K97 F88:F97">
    <cfRule type="expression" dxfId="58" priority="13" stopIfTrue="1">
      <formula>ABS(F88)&gt;#REF!</formula>
    </cfRule>
  </conditionalFormatting>
  <conditionalFormatting sqref="P13">
    <cfRule type="expression" dxfId="57" priority="12" stopIfTrue="1">
      <formula>OR($G$8&gt;$K$9,$G$8&lt;$I$9)</formula>
    </cfRule>
  </conditionalFormatting>
  <conditionalFormatting sqref="S49:S58 X49:X58">
    <cfRule type="expression" dxfId="56" priority="11" stopIfTrue="1">
      <formula>ABS(S49)&gt;#REF!</formula>
    </cfRule>
  </conditionalFormatting>
  <conditionalFormatting sqref="AE49:AF58 AK49:AK58">
    <cfRule type="expression" dxfId="55" priority="10" stopIfTrue="1">
      <formula>ABS(AE49)&gt;#REF!</formula>
    </cfRule>
  </conditionalFormatting>
  <conditionalFormatting sqref="Q72:Q81 AA72:AA81">
    <cfRule type="expression" dxfId="54" priority="8" stopIfTrue="1">
      <formula>ABS(Q72)&gt;$D$21</formula>
    </cfRule>
  </conditionalFormatting>
  <conditionalFormatting sqref="T72:T81">
    <cfRule type="expression" dxfId="53" priority="9" stopIfTrue="1">
      <formula>ABS(T72)&gt;$G$21</formula>
    </cfRule>
  </conditionalFormatting>
  <conditionalFormatting sqref="Q88:Q97">
    <cfRule type="expression" dxfId="52" priority="6" stopIfTrue="1">
      <formula>ABS(Q88)&gt;$D$70</formula>
    </cfRule>
  </conditionalFormatting>
  <conditionalFormatting sqref="T88:T97">
    <cfRule type="expression" dxfId="51" priority="7" stopIfTrue="1">
      <formula>ABS(T88)&gt;$G$70</formula>
    </cfRule>
  </conditionalFormatting>
  <conditionalFormatting sqref="Z72:Z81">
    <cfRule type="expression" dxfId="50" priority="4" stopIfTrue="1">
      <formula>ABS(Z72)&gt;$D$21</formula>
    </cfRule>
  </conditionalFormatting>
  <conditionalFormatting sqref="AD72:AD81">
    <cfRule type="expression" dxfId="49" priority="5" stopIfTrue="1">
      <formula>ABS(AD72)&gt;$G$21</formula>
    </cfRule>
  </conditionalFormatting>
  <conditionalFormatting sqref="AA88:AA97">
    <cfRule type="expression" dxfId="48" priority="3" stopIfTrue="1">
      <formula>ABS(AA88)&gt;$D$21</formula>
    </cfRule>
  </conditionalFormatting>
  <conditionalFormatting sqref="Z88:Z97">
    <cfRule type="expression" dxfId="47" priority="1" stopIfTrue="1">
      <formula>ABS(Z88)&gt;$D$21</formula>
    </cfRule>
  </conditionalFormatting>
  <conditionalFormatting sqref="AD88:AD97">
    <cfRule type="expression" dxfId="46" priority="2" stopIfTrue="1">
      <formula>ABS(AD88)&gt;$G$21</formula>
    </cfRule>
  </conditionalFormatting>
  <pageMargins left="0.75" right="0.75" top="1" bottom="1" header="0.5" footer="0.5"/>
  <drawing r:id="rId1"/>
  <legacyDrawing r:id="rId2"/>
  <oleObjects>
    <oleObject progId="Equation.3" shapeId="55252" r:id="rId3"/>
    <oleObject progId="Equation.3" shapeId="55253" r:id="rId4"/>
    <oleObject progId="Equation.3" shapeId="55254" r:id="rId5"/>
  </oleObjects>
</worksheet>
</file>

<file path=xl/worksheets/sheet47.xml><?xml version="1.0" encoding="utf-8"?>
<worksheet xmlns="http://schemas.openxmlformats.org/spreadsheetml/2006/main" xmlns:r="http://schemas.openxmlformats.org/officeDocument/2006/relationships">
  <dimension ref="A1:Y92"/>
  <sheetViews>
    <sheetView topLeftCell="A28" workbookViewId="0"/>
  </sheetViews>
  <sheetFormatPr defaultColWidth="9" defaultRowHeight="14.25"/>
  <cols>
    <col min="11" max="12" width="11.375" customWidth="1"/>
  </cols>
  <sheetData>
    <row r="1" spans="1:25">
      <c r="C1" s="505" t="s">
        <v>1393</v>
      </c>
    </row>
    <row r="2" spans="1:25" ht="22.5" customHeight="1">
      <c r="A2" s="454" t="s">
        <v>1309</v>
      </c>
      <c r="B2" s="435" t="s">
        <v>1197</v>
      </c>
      <c r="C2" s="2704" t="s">
        <v>1310</v>
      </c>
      <c r="D2" s="2704"/>
      <c r="E2" s="507"/>
      <c r="F2" s="516" t="s">
        <v>1394</v>
      </c>
      <c r="G2" s="315"/>
      <c r="H2" s="315"/>
      <c r="I2" s="315"/>
      <c r="J2" s="315"/>
      <c r="K2" s="315"/>
      <c r="L2" s="508"/>
      <c r="M2" s="508"/>
      <c r="N2" s="508"/>
      <c r="O2" s="508"/>
      <c r="P2" s="508"/>
      <c r="Q2" s="508"/>
      <c r="R2" s="508"/>
      <c r="S2" s="508"/>
      <c r="T2" s="508"/>
      <c r="U2" s="508"/>
      <c r="V2" s="508"/>
      <c r="W2" s="508"/>
      <c r="X2" s="508"/>
      <c r="Y2" s="508"/>
    </row>
    <row r="3" spans="1:25">
      <c r="A3" s="13"/>
      <c r="B3" s="509"/>
      <c r="C3" s="395"/>
      <c r="D3" s="395"/>
      <c r="E3" s="395"/>
      <c r="F3" s="496"/>
      <c r="G3" s="315"/>
      <c r="H3" s="315"/>
      <c r="I3" s="315"/>
      <c r="J3" s="315"/>
      <c r="K3" s="315"/>
      <c r="L3" s="13"/>
      <c r="M3" s="13"/>
      <c r="N3" s="13"/>
      <c r="O3" s="13"/>
      <c r="P3" s="13"/>
      <c r="Q3" s="13"/>
      <c r="R3" s="13"/>
      <c r="S3" s="13"/>
      <c r="T3" s="13"/>
      <c r="U3" s="13"/>
      <c r="V3" s="13"/>
      <c r="W3" s="13"/>
      <c r="X3" s="13"/>
      <c r="Y3" s="13"/>
    </row>
    <row r="4" spans="1:25">
      <c r="A4" s="13"/>
      <c r="B4" s="510" t="s">
        <v>1311</v>
      </c>
      <c r="C4" s="13"/>
      <c r="D4" s="13" t="s">
        <v>1312</v>
      </c>
      <c r="E4" s="13"/>
      <c r="F4" s="13"/>
      <c r="G4" s="13"/>
      <c r="H4" s="13"/>
      <c r="I4" s="13"/>
      <c r="J4" s="13"/>
      <c r="K4" s="13"/>
      <c r="L4" s="13"/>
      <c r="M4" s="13"/>
      <c r="N4" s="13"/>
      <c r="O4" s="13"/>
      <c r="P4" s="13"/>
      <c r="Q4" s="13"/>
      <c r="R4" s="13"/>
      <c r="S4" s="13"/>
      <c r="T4" s="13"/>
      <c r="U4" s="13"/>
      <c r="V4" s="13"/>
      <c r="W4" s="13"/>
      <c r="X4" s="13"/>
      <c r="Y4" s="13"/>
    </row>
    <row r="5" spans="1:25">
      <c r="A5" s="13"/>
      <c r="B5" s="510"/>
      <c r="C5" s="510" t="s">
        <v>1313</v>
      </c>
      <c r="D5" s="510">
        <v>1E-3</v>
      </c>
      <c r="E5" s="510" t="s">
        <v>1314</v>
      </c>
      <c r="F5" s="13"/>
      <c r="G5" s="13"/>
      <c r="H5" s="13"/>
      <c r="I5" s="13"/>
      <c r="J5" s="13"/>
      <c r="K5" s="13"/>
      <c r="L5" s="13"/>
      <c r="M5" s="13"/>
      <c r="N5" s="13"/>
      <c r="O5" s="13"/>
      <c r="P5" s="13"/>
      <c r="Q5" s="13"/>
      <c r="R5" s="13"/>
      <c r="S5" s="13"/>
      <c r="T5" s="13"/>
      <c r="U5" s="13"/>
      <c r="V5" s="13"/>
      <c r="W5" s="13"/>
      <c r="X5" s="13"/>
      <c r="Y5" s="13"/>
    </row>
    <row r="6" spans="1:25" ht="15.75">
      <c r="A6" s="13"/>
      <c r="B6" s="347" t="s">
        <v>1315</v>
      </c>
      <c r="C6" s="347" t="s">
        <v>1316</v>
      </c>
      <c r="D6" s="347" t="s">
        <v>1317</v>
      </c>
      <c r="E6" s="347" t="s">
        <v>1318</v>
      </c>
      <c r="F6" s="347" t="s">
        <v>1319</v>
      </c>
      <c r="G6" s="347" t="s">
        <v>1320</v>
      </c>
      <c r="H6" s="347" t="s">
        <v>1321</v>
      </c>
      <c r="I6" s="348" t="s">
        <v>1322</v>
      </c>
      <c r="J6" s="348" t="s">
        <v>1323</v>
      </c>
      <c r="K6" s="347" t="s">
        <v>1324</v>
      </c>
      <c r="L6" s="13"/>
      <c r="M6" s="13"/>
      <c r="N6" s="13"/>
      <c r="O6" s="13"/>
      <c r="P6" s="13"/>
      <c r="Q6" s="13"/>
      <c r="R6" s="13"/>
      <c r="S6" s="13"/>
      <c r="T6" s="13"/>
      <c r="U6" s="13"/>
      <c r="V6" s="13"/>
      <c r="W6" s="13"/>
      <c r="X6" s="13"/>
      <c r="Y6" s="13"/>
    </row>
    <row r="7" spans="1:25">
      <c r="A7" s="13"/>
      <c r="B7" s="541">
        <v>1.199E-3</v>
      </c>
      <c r="C7" s="541">
        <v>1.191E-3</v>
      </c>
      <c r="D7" s="541">
        <v>1.1869999999999999E-3</v>
      </c>
      <c r="E7" s="541">
        <v>1.1850000000000001E-3</v>
      </c>
      <c r="F7" s="541">
        <v>1.1839999999999999E-3</v>
      </c>
      <c r="G7" s="542">
        <v>1.183E-3</v>
      </c>
      <c r="H7" s="542">
        <v>1.1789999999999999E-3</v>
      </c>
      <c r="I7" s="542">
        <v>1.1900000000000001E-3</v>
      </c>
      <c r="J7" s="542">
        <v>1.188E-3</v>
      </c>
      <c r="K7" s="542">
        <v>1.186E-3</v>
      </c>
      <c r="L7" s="13"/>
      <c r="M7" s="13"/>
      <c r="N7" s="13"/>
      <c r="O7" s="13"/>
      <c r="P7" s="13"/>
      <c r="Q7" s="13"/>
      <c r="R7" s="13"/>
      <c r="S7" s="13"/>
      <c r="T7" s="13"/>
      <c r="U7" s="13"/>
      <c r="V7" s="13"/>
      <c r="W7" s="13"/>
      <c r="X7" s="13"/>
      <c r="Y7" s="13"/>
    </row>
    <row r="8" spans="1:25" ht="18.75">
      <c r="A8" s="13"/>
      <c r="B8" s="394" t="s">
        <v>1325</v>
      </c>
      <c r="C8" s="2705">
        <f>STDEV(B7:K7)/D5</f>
        <v>5.4119209980273203E-3</v>
      </c>
      <c r="D8" s="2706"/>
      <c r="E8" s="2706"/>
      <c r="F8" s="2706"/>
      <c r="G8" s="2706"/>
      <c r="H8" s="2706"/>
      <c r="I8" s="2706"/>
      <c r="J8" s="2706"/>
      <c r="K8" s="2707"/>
      <c r="L8" s="13"/>
      <c r="M8" s="13"/>
      <c r="N8" s="13"/>
      <c r="O8" s="13"/>
      <c r="P8" s="13"/>
      <c r="Q8" s="13"/>
      <c r="R8" s="13"/>
      <c r="S8" s="13"/>
      <c r="T8" s="13"/>
      <c r="U8" s="13"/>
      <c r="V8" s="13"/>
      <c r="W8" s="13"/>
      <c r="X8" s="13"/>
      <c r="Y8" s="13"/>
    </row>
    <row r="10" spans="1:25">
      <c r="A10" s="512" t="s">
        <v>1326</v>
      </c>
      <c r="B10" s="153" t="s">
        <v>1327</v>
      </c>
    </row>
    <row r="12" spans="1:25">
      <c r="B12" s="2882" t="s">
        <v>1328</v>
      </c>
      <c r="C12" s="2883"/>
      <c r="D12" s="2883"/>
      <c r="E12" s="2883"/>
      <c r="F12" s="2883"/>
      <c r="G12" s="2883"/>
      <c r="H12" s="2883"/>
      <c r="I12" s="2883"/>
      <c r="J12" s="2884"/>
      <c r="K12" s="2711" t="s">
        <v>1329</v>
      </c>
      <c r="L12" s="2888" t="s">
        <v>1330</v>
      </c>
      <c r="M12" s="2888"/>
      <c r="N12" s="2889" t="s">
        <v>959</v>
      </c>
      <c r="O12" s="2882" t="s">
        <v>1331</v>
      </c>
      <c r="P12" s="2883"/>
      <c r="Q12" s="2883"/>
      <c r="R12" s="2884"/>
    </row>
    <row r="13" spans="1:25">
      <c r="B13" s="2885"/>
      <c r="C13" s="2886"/>
      <c r="D13" s="2886"/>
      <c r="E13" s="2886"/>
      <c r="F13" s="2886"/>
      <c r="G13" s="2886"/>
      <c r="H13" s="2886"/>
      <c r="I13" s="2886"/>
      <c r="J13" s="2887"/>
      <c r="K13" s="2711"/>
      <c r="L13" s="2888"/>
      <c r="M13" s="2888"/>
      <c r="N13" s="2889"/>
      <c r="O13" s="2885"/>
      <c r="P13" s="2886"/>
      <c r="Q13" s="2886"/>
      <c r="R13" s="2887"/>
    </row>
    <row r="14" spans="1:25">
      <c r="B14" s="2892" t="s">
        <v>1332</v>
      </c>
      <c r="C14" s="2893"/>
      <c r="D14" s="2893"/>
      <c r="E14" s="2893"/>
      <c r="F14" s="2893"/>
      <c r="G14" s="2893"/>
      <c r="H14" s="2893"/>
      <c r="I14" s="2893"/>
      <c r="J14" s="2894"/>
      <c r="K14" s="544">
        <v>1.0000000000000001E-5</v>
      </c>
      <c r="L14" s="2888" t="s">
        <v>1333</v>
      </c>
      <c r="M14" s="2888"/>
      <c r="N14" s="514"/>
      <c r="O14" s="2895">
        <f>K14/SQRT(3)</f>
        <v>5.7735026918962587E-6</v>
      </c>
      <c r="P14" s="2895"/>
      <c r="Q14" s="2895"/>
      <c r="R14" s="2895"/>
    </row>
    <row r="15" spans="1:25">
      <c r="B15" s="2892" t="s">
        <v>1334</v>
      </c>
      <c r="C15" s="2893"/>
      <c r="D15" s="2893"/>
      <c r="E15" s="2893"/>
      <c r="F15" s="2893"/>
      <c r="G15" s="2893"/>
      <c r="H15" s="2893"/>
      <c r="I15" s="2893"/>
      <c r="J15" s="2894"/>
      <c r="K15" s="544">
        <v>1.0000000000000001E-5</v>
      </c>
      <c r="L15" s="2888" t="s">
        <v>1335</v>
      </c>
      <c r="M15" s="2888"/>
      <c r="N15" s="514"/>
      <c r="O15" s="2895">
        <f>K15/SQRT(3)</f>
        <v>5.7735026918962587E-6</v>
      </c>
      <c r="P15" s="2895"/>
      <c r="Q15" s="2895"/>
      <c r="R15" s="2895"/>
    </row>
    <row r="16" spans="1:25">
      <c r="B16" s="2892" t="s">
        <v>1336</v>
      </c>
      <c r="C16" s="2893"/>
      <c r="D16" s="2893"/>
      <c r="E16" s="2893"/>
      <c r="F16" s="2893"/>
      <c r="G16" s="2893"/>
      <c r="H16" s="2893"/>
      <c r="I16" s="2893"/>
      <c r="J16" s="2894"/>
      <c r="K16" s="545">
        <v>5.0000000000000004E-6</v>
      </c>
      <c r="L16" s="2888" t="s">
        <v>1337</v>
      </c>
      <c r="M16" s="2888"/>
      <c r="N16" s="513">
        <v>3</v>
      </c>
      <c r="O16" s="2895">
        <f>K16/3</f>
        <v>1.6666666666666669E-6</v>
      </c>
      <c r="P16" s="2895"/>
      <c r="Q16" s="2895"/>
      <c r="R16" s="2895"/>
    </row>
    <row r="17" spans="1:25">
      <c r="B17" s="2892" t="s">
        <v>1338</v>
      </c>
      <c r="C17" s="2893"/>
      <c r="D17" s="2893"/>
      <c r="E17" s="2893"/>
      <c r="F17" s="2893"/>
      <c r="G17" s="2893"/>
      <c r="H17" s="2893"/>
      <c r="I17" s="2893"/>
      <c r="J17" s="2894"/>
      <c r="K17" s="544">
        <v>1E-4</v>
      </c>
      <c r="L17" s="2888" t="s">
        <v>1335</v>
      </c>
      <c r="M17" s="2888"/>
      <c r="N17" s="514"/>
      <c r="O17" s="3019">
        <f>K17/SQRT(3)</f>
        <v>5.7735026918962585E-5</v>
      </c>
      <c r="P17" s="3019"/>
      <c r="Q17" s="3019"/>
      <c r="R17" s="3019"/>
    </row>
    <row r="18" spans="1:25">
      <c r="B18" s="2867" t="s">
        <v>1253</v>
      </c>
      <c r="C18" s="2867"/>
      <c r="D18" s="2890">
        <f>SQRT(SUMSQ(O14:R17))</f>
        <v>5.833333333333334E-5</v>
      </c>
      <c r="E18" s="2891"/>
      <c r="F18" s="2891"/>
      <c r="G18" s="2891"/>
      <c r="H18" s="2891"/>
      <c r="I18" s="2891"/>
      <c r="J18" s="2891"/>
      <c r="K18" s="2891"/>
      <c r="L18" s="2891"/>
      <c r="M18" s="2891"/>
      <c r="N18" s="2891"/>
      <c r="O18" s="2891"/>
      <c r="P18" s="2891"/>
      <c r="Q18" s="2891"/>
      <c r="R18" s="2891"/>
      <c r="S18" s="546"/>
      <c r="T18" s="546"/>
      <c r="U18" s="547"/>
    </row>
    <row r="20" spans="1:25" ht="15.75">
      <c r="A20" s="505" t="s">
        <v>1339</v>
      </c>
      <c r="C20" s="526"/>
      <c r="D20" s="527"/>
      <c r="E20" s="528"/>
      <c r="F20" s="528"/>
    </row>
    <row r="21" spans="1:25" ht="18.75">
      <c r="A21" s="529"/>
      <c r="B21" s="517"/>
      <c r="C21" s="516" t="s">
        <v>1340</v>
      </c>
      <c r="D21" s="2722">
        <f>SQRT(SUMSQ(C8,D18))</f>
        <v>5.4122353668947919E-3</v>
      </c>
      <c r="E21" s="2722"/>
      <c r="F21" s="2722"/>
    </row>
    <row r="22" spans="1:25" ht="15.75">
      <c r="A22" s="505" t="s">
        <v>1341</v>
      </c>
      <c r="B22" s="28"/>
      <c r="C22" s="526"/>
      <c r="D22" s="527"/>
      <c r="E22" s="528"/>
      <c r="F22" s="528"/>
    </row>
    <row r="23" spans="1:25">
      <c r="A23" s="518" t="s">
        <v>1342</v>
      </c>
      <c r="B23" s="543">
        <f>D21*2</f>
        <v>1.0824470733789584E-2</v>
      </c>
      <c r="C23" s="527"/>
      <c r="D23" s="527"/>
      <c r="E23" s="527"/>
      <c r="F23" s="527"/>
    </row>
    <row r="25" spans="1:25" ht="22.5" customHeight="1">
      <c r="A25" s="530" t="s">
        <v>1343</v>
      </c>
      <c r="B25" s="506" t="s">
        <v>1344</v>
      </c>
      <c r="C25" s="2704" t="s">
        <v>1345</v>
      </c>
      <c r="D25" s="2704"/>
      <c r="E25" s="507"/>
      <c r="F25" s="8"/>
      <c r="G25" s="315"/>
      <c r="H25" s="315"/>
      <c r="I25" s="315"/>
      <c r="J25" s="315"/>
      <c r="K25" s="315"/>
      <c r="L25" s="508"/>
      <c r="M25" s="508"/>
      <c r="N25" s="508"/>
      <c r="O25" s="508"/>
      <c r="P25" s="508"/>
      <c r="Q25" s="508"/>
      <c r="R25" s="508"/>
      <c r="S25" s="508"/>
      <c r="T25" s="508"/>
      <c r="U25" s="508"/>
      <c r="V25" s="508"/>
      <c r="W25" s="508"/>
      <c r="X25" s="508"/>
      <c r="Y25" s="508"/>
    </row>
    <row r="26" spans="1:25">
      <c r="A26" s="13"/>
      <c r="B26" s="509"/>
      <c r="C26" s="395"/>
      <c r="D26" s="395"/>
      <c r="E26" s="395"/>
      <c r="F26" s="496"/>
      <c r="G26" s="315"/>
      <c r="H26" s="315"/>
      <c r="I26" s="315"/>
      <c r="J26" s="315"/>
      <c r="K26" s="315"/>
      <c r="L26" s="13"/>
      <c r="M26" s="13"/>
      <c r="N26" s="13"/>
      <c r="O26" s="13"/>
      <c r="P26" s="13"/>
      <c r="Q26" s="13"/>
      <c r="R26" s="13"/>
      <c r="S26" s="13"/>
      <c r="T26" s="13"/>
      <c r="U26" s="13"/>
      <c r="V26" s="13"/>
      <c r="W26" s="13"/>
      <c r="X26" s="13"/>
      <c r="Y26" s="13"/>
    </row>
    <row r="27" spans="1:25">
      <c r="A27" s="13"/>
      <c r="B27" s="510" t="s">
        <v>1346</v>
      </c>
      <c r="C27" s="13"/>
      <c r="D27" s="13" t="s">
        <v>1347</v>
      </c>
      <c r="E27" s="13"/>
      <c r="F27" s="13"/>
      <c r="G27" s="13"/>
      <c r="H27" s="13"/>
      <c r="I27" s="13"/>
      <c r="J27" s="13"/>
      <c r="K27" s="13"/>
      <c r="L27" s="13"/>
      <c r="M27" s="13"/>
      <c r="N27" s="13"/>
      <c r="O27" s="13"/>
      <c r="P27" s="13"/>
      <c r="Q27" s="13"/>
      <c r="R27" s="13"/>
      <c r="S27" s="13"/>
      <c r="T27" s="13"/>
      <c r="U27" s="13"/>
      <c r="V27" s="13"/>
      <c r="W27" s="13"/>
      <c r="X27" s="13"/>
      <c r="Y27" s="13"/>
    </row>
    <row r="28" spans="1:25" ht="15" customHeight="1">
      <c r="A28" s="13"/>
      <c r="B28" s="510"/>
      <c r="C28" s="510" t="s">
        <v>1348</v>
      </c>
      <c r="D28" s="510">
        <v>0.01</v>
      </c>
      <c r="E28" s="510" t="s">
        <v>1349</v>
      </c>
      <c r="F28" s="13"/>
      <c r="G28" s="13"/>
      <c r="H28" s="13"/>
      <c r="I28" s="13"/>
      <c r="J28" s="13"/>
      <c r="K28" s="13"/>
      <c r="L28" s="13"/>
      <c r="M28" s="13"/>
      <c r="N28" s="13"/>
      <c r="O28" s="13"/>
      <c r="P28" s="13"/>
      <c r="Q28" s="13"/>
      <c r="R28" s="13"/>
      <c r="S28" s="13"/>
      <c r="T28" s="13"/>
      <c r="U28" s="13"/>
      <c r="V28" s="13"/>
      <c r="W28" s="13"/>
      <c r="X28" s="13"/>
      <c r="Y28" s="13"/>
    </row>
    <row r="29" spans="1:25" ht="15.75">
      <c r="A29" s="13"/>
      <c r="B29" s="347" t="s">
        <v>1350</v>
      </c>
      <c r="C29" s="347" t="s">
        <v>1351</v>
      </c>
      <c r="D29" s="347" t="s">
        <v>1352</v>
      </c>
      <c r="E29" s="347" t="s">
        <v>1353</v>
      </c>
      <c r="F29" s="347" t="s">
        <v>1354</v>
      </c>
      <c r="G29" s="347" t="s">
        <v>1355</v>
      </c>
      <c r="H29" s="347" t="s">
        <v>1356</v>
      </c>
      <c r="I29" s="348" t="s">
        <v>1357</v>
      </c>
      <c r="J29" s="348" t="s">
        <v>1358</v>
      </c>
      <c r="K29" s="347" t="s">
        <v>1359</v>
      </c>
      <c r="L29" s="13"/>
      <c r="M29" s="13"/>
      <c r="N29" s="13"/>
      <c r="O29" s="13"/>
      <c r="P29" s="13"/>
      <c r="Q29" s="13"/>
      <c r="R29" s="13"/>
      <c r="S29" s="13"/>
      <c r="T29" s="13"/>
      <c r="U29" s="13"/>
      <c r="V29" s="13"/>
      <c r="W29" s="13"/>
      <c r="X29" s="13"/>
      <c r="Y29" s="13"/>
    </row>
    <row r="30" spans="1:25">
      <c r="A30" s="13"/>
      <c r="B30" s="542">
        <v>1.0116E-2</v>
      </c>
      <c r="C30" s="542">
        <v>1.0119E-2</v>
      </c>
      <c r="D30" s="542">
        <v>1.0121E-2</v>
      </c>
      <c r="E30" s="542">
        <v>1.0111E-2</v>
      </c>
      <c r="F30" s="542">
        <v>1.0120000000000001E-2</v>
      </c>
      <c r="G30" s="541">
        <v>1.0116999999999999E-2</v>
      </c>
      <c r="H30" s="541">
        <v>1.0114E-2</v>
      </c>
      <c r="I30" s="541">
        <v>1.0111999999999999E-2</v>
      </c>
      <c r="J30" s="541">
        <v>1.0107E-2</v>
      </c>
      <c r="K30" s="541">
        <v>1.0114E-2</v>
      </c>
      <c r="L30" s="13"/>
      <c r="M30" s="13"/>
      <c r="N30" s="13"/>
      <c r="O30" s="13"/>
      <c r="P30" s="13"/>
      <c r="Q30" s="13"/>
      <c r="R30" s="13"/>
      <c r="S30" s="13"/>
      <c r="T30" s="13"/>
      <c r="U30" s="13"/>
      <c r="V30" s="13"/>
      <c r="W30" s="13"/>
      <c r="X30" s="13"/>
      <c r="Y30" s="13"/>
    </row>
    <row r="31" spans="1:25" ht="18.75">
      <c r="A31" s="13"/>
      <c r="B31" s="394" t="s">
        <v>1360</v>
      </c>
      <c r="C31" s="2705">
        <f>STDEV(B30:K30)/D28</f>
        <v>4.3830481529537866E-4</v>
      </c>
      <c r="D31" s="2706"/>
      <c r="E31" s="2706"/>
      <c r="F31" s="2706"/>
      <c r="G31" s="2706"/>
      <c r="H31" s="2706"/>
      <c r="I31" s="2706"/>
      <c r="J31" s="2706"/>
      <c r="K31" s="2707"/>
      <c r="L31" s="13"/>
      <c r="M31" s="13"/>
      <c r="N31" s="13"/>
      <c r="O31" s="13"/>
      <c r="P31" s="13"/>
      <c r="Q31" s="13"/>
      <c r="R31" s="13"/>
      <c r="S31" s="13"/>
      <c r="T31" s="13"/>
      <c r="U31" s="13"/>
      <c r="V31" s="13"/>
      <c r="W31" s="13"/>
      <c r="X31" s="13"/>
      <c r="Y31" s="13"/>
    </row>
    <row r="33" spans="1:21">
      <c r="A33" s="512" t="s">
        <v>1361</v>
      </c>
      <c r="B33" s="153" t="s">
        <v>1362</v>
      </c>
    </row>
    <row r="35" spans="1:21">
      <c r="B35" s="2882" t="s">
        <v>1363</v>
      </c>
      <c r="C35" s="2883"/>
      <c r="D35" s="2883"/>
      <c r="E35" s="2883"/>
      <c r="F35" s="2883"/>
      <c r="G35" s="2883"/>
      <c r="H35" s="2883"/>
      <c r="I35" s="2883"/>
      <c r="J35" s="2884"/>
      <c r="K35" s="2711" t="s">
        <v>1364</v>
      </c>
      <c r="L35" s="2888" t="s">
        <v>1365</v>
      </c>
      <c r="M35" s="2888"/>
      <c r="N35" s="2889" t="s">
        <v>959</v>
      </c>
      <c r="O35" s="2882" t="s">
        <v>1366</v>
      </c>
      <c r="P35" s="2883"/>
      <c r="Q35" s="2883"/>
      <c r="R35" s="2884"/>
    </row>
    <row r="36" spans="1:21">
      <c r="B36" s="2885"/>
      <c r="C36" s="2886"/>
      <c r="D36" s="2886"/>
      <c r="E36" s="2886"/>
      <c r="F36" s="2886"/>
      <c r="G36" s="2886"/>
      <c r="H36" s="2886"/>
      <c r="I36" s="2886"/>
      <c r="J36" s="2887"/>
      <c r="K36" s="2711"/>
      <c r="L36" s="2888"/>
      <c r="M36" s="2888"/>
      <c r="N36" s="2889"/>
      <c r="O36" s="2885"/>
      <c r="P36" s="2886"/>
      <c r="Q36" s="2886"/>
      <c r="R36" s="2887"/>
    </row>
    <row r="37" spans="1:21">
      <c r="B37" s="2892" t="s">
        <v>1367</v>
      </c>
      <c r="C37" s="2893"/>
      <c r="D37" s="2893"/>
      <c r="E37" s="2893"/>
      <c r="F37" s="2893"/>
      <c r="G37" s="2893"/>
      <c r="H37" s="2893"/>
      <c r="I37" s="2893"/>
      <c r="J37" s="2894"/>
      <c r="K37" s="544">
        <v>1.0000000000000001E-5</v>
      </c>
      <c r="L37" s="2888" t="s">
        <v>1368</v>
      </c>
      <c r="M37" s="2888"/>
      <c r="N37" s="514"/>
      <c r="O37" s="2895">
        <f>K37/SQRT(3)</f>
        <v>5.7735026918962587E-6</v>
      </c>
      <c r="P37" s="2895"/>
      <c r="Q37" s="2895"/>
      <c r="R37" s="2895"/>
    </row>
    <row r="38" spans="1:21">
      <c r="B38" s="2892" t="s">
        <v>1369</v>
      </c>
      <c r="C38" s="2893"/>
      <c r="D38" s="2893"/>
      <c r="E38" s="2893"/>
      <c r="F38" s="2893"/>
      <c r="G38" s="2893"/>
      <c r="H38" s="2893"/>
      <c r="I38" s="2893"/>
      <c r="J38" s="2894"/>
      <c r="K38" s="544">
        <v>1.0000000000000001E-5</v>
      </c>
      <c r="L38" s="2888" t="s">
        <v>1368</v>
      </c>
      <c r="M38" s="2888"/>
      <c r="N38" s="514"/>
      <c r="O38" s="2895">
        <f>K38/SQRT(3)</f>
        <v>5.7735026918962587E-6</v>
      </c>
      <c r="P38" s="2895"/>
      <c r="Q38" s="2895"/>
      <c r="R38" s="2895"/>
    </row>
    <row r="39" spans="1:21">
      <c r="B39" s="2892" t="s">
        <v>1370</v>
      </c>
      <c r="C39" s="2893"/>
      <c r="D39" s="2893"/>
      <c r="E39" s="2893"/>
      <c r="F39" s="2893"/>
      <c r="G39" s="2893"/>
      <c r="H39" s="2893"/>
      <c r="I39" s="2893"/>
      <c r="J39" s="2894"/>
      <c r="K39" s="545">
        <v>5.0000000000000004E-6</v>
      </c>
      <c r="L39" s="2888" t="s">
        <v>1371</v>
      </c>
      <c r="M39" s="2888"/>
      <c r="N39" s="513">
        <v>3</v>
      </c>
      <c r="O39" s="2895">
        <f>K39/3</f>
        <v>1.6666666666666669E-6</v>
      </c>
      <c r="P39" s="2895"/>
      <c r="Q39" s="2895"/>
      <c r="R39" s="2895"/>
    </row>
    <row r="40" spans="1:21">
      <c r="B40" s="2892" t="s">
        <v>1372</v>
      </c>
      <c r="C40" s="2893"/>
      <c r="D40" s="2893"/>
      <c r="E40" s="2893"/>
      <c r="F40" s="2893"/>
      <c r="G40" s="2893"/>
      <c r="H40" s="2893"/>
      <c r="I40" s="2893"/>
      <c r="J40" s="2894"/>
      <c r="K40" s="544">
        <v>1E-4</v>
      </c>
      <c r="L40" s="2888" t="s">
        <v>1368</v>
      </c>
      <c r="M40" s="2888"/>
      <c r="N40" s="514"/>
      <c r="O40" s="3019">
        <f>K40/SQRT(3)</f>
        <v>5.7735026918962585E-5</v>
      </c>
      <c r="P40" s="3019"/>
      <c r="Q40" s="3019"/>
      <c r="R40" s="3019"/>
    </row>
    <row r="41" spans="1:21">
      <c r="B41" s="2867" t="s">
        <v>1373</v>
      </c>
      <c r="C41" s="2867"/>
      <c r="D41" s="2890">
        <f>SQRT(SUMSQ(O37:R40))</f>
        <v>5.833333333333334E-5</v>
      </c>
      <c r="E41" s="2891"/>
      <c r="F41" s="2891"/>
      <c r="G41" s="2891"/>
      <c r="H41" s="2891"/>
      <c r="I41" s="2891"/>
      <c r="J41" s="2891"/>
      <c r="K41" s="2891"/>
      <c r="L41" s="2891"/>
      <c r="M41" s="2891"/>
      <c r="N41" s="2891"/>
      <c r="O41" s="2891"/>
      <c r="P41" s="2891"/>
      <c r="Q41" s="2891"/>
      <c r="R41" s="2891"/>
      <c r="S41" s="546"/>
      <c r="T41" s="546"/>
      <c r="U41" s="547"/>
    </row>
    <row r="43" spans="1:21" ht="15.75">
      <c r="A43" s="505" t="s">
        <v>1374</v>
      </c>
      <c r="C43" s="526"/>
      <c r="D43" s="527"/>
      <c r="E43" s="528"/>
      <c r="F43" s="528"/>
    </row>
    <row r="44" spans="1:21" ht="18.75">
      <c r="A44" s="529"/>
      <c r="B44" s="517"/>
      <c r="C44" s="516" t="s">
        <v>1375</v>
      </c>
      <c r="D44" s="2722">
        <f>SQRT(SUMSQ(C31,D41))</f>
        <v>4.4216952505672955E-4</v>
      </c>
      <c r="E44" s="2722"/>
      <c r="F44" s="2722"/>
    </row>
    <row r="45" spans="1:21" ht="15.75">
      <c r="A45" s="505" t="s">
        <v>1376</v>
      </c>
      <c r="B45" s="28"/>
      <c r="C45" s="526"/>
      <c r="D45" s="527"/>
      <c r="E45" s="528"/>
      <c r="F45" s="528"/>
    </row>
    <row r="46" spans="1:21">
      <c r="A46" s="518" t="s">
        <v>1377</v>
      </c>
      <c r="B46" s="393">
        <f>D44*2</f>
        <v>8.8433905011345911E-4</v>
      </c>
      <c r="C46" s="527"/>
      <c r="D46" s="527"/>
      <c r="E46" s="527"/>
      <c r="F46" s="527"/>
    </row>
    <row r="48" spans="1:21">
      <c r="A48" s="530" t="s">
        <v>1378</v>
      </c>
      <c r="B48" s="506" t="s">
        <v>1344</v>
      </c>
      <c r="C48" s="2704" t="s">
        <v>1379</v>
      </c>
      <c r="D48" s="2704"/>
      <c r="E48" s="507"/>
    </row>
    <row r="49" spans="1:18">
      <c r="A49" s="13"/>
      <c r="B49" s="509"/>
      <c r="C49" s="395"/>
      <c r="D49" s="395"/>
      <c r="E49" s="395"/>
    </row>
    <row r="50" spans="1:18">
      <c r="A50" s="13"/>
      <c r="B50" s="510" t="s">
        <v>1346</v>
      </c>
      <c r="C50" s="13"/>
      <c r="D50" s="13" t="s">
        <v>1347</v>
      </c>
      <c r="E50" s="13"/>
    </row>
    <row r="51" spans="1:18">
      <c r="A51" s="13"/>
      <c r="B51" s="510"/>
      <c r="C51" s="510" t="s">
        <v>1348</v>
      </c>
      <c r="D51" s="510">
        <v>0.1</v>
      </c>
      <c r="E51" s="510" t="s">
        <v>1349</v>
      </c>
    </row>
    <row r="52" spans="1:18">
      <c r="B52" s="347" t="s">
        <v>1350</v>
      </c>
      <c r="C52" s="347" t="s">
        <v>1351</v>
      </c>
      <c r="D52" s="347" t="s">
        <v>1352</v>
      </c>
      <c r="E52" s="347" t="s">
        <v>1353</v>
      </c>
      <c r="F52" s="347" t="s">
        <v>1354</v>
      </c>
      <c r="G52" s="347" t="s">
        <v>1355</v>
      </c>
      <c r="H52" s="347" t="s">
        <v>1356</v>
      </c>
      <c r="I52" s="348" t="s">
        <v>1357</v>
      </c>
      <c r="J52" s="348" t="s">
        <v>1358</v>
      </c>
      <c r="K52" s="347" t="s">
        <v>1359</v>
      </c>
    </row>
    <row r="53" spans="1:18">
      <c r="B53" s="548">
        <v>0.10041</v>
      </c>
      <c r="C53" s="548">
        <v>0.10041</v>
      </c>
      <c r="D53" s="548">
        <v>0.10041</v>
      </c>
      <c r="E53" s="548">
        <v>0.1004</v>
      </c>
      <c r="F53" s="548">
        <v>0.1004</v>
      </c>
      <c r="G53" s="549">
        <v>0.10041</v>
      </c>
      <c r="H53" s="549">
        <v>0.10042</v>
      </c>
      <c r="I53" s="549">
        <v>0.1004</v>
      </c>
      <c r="J53" s="549">
        <v>0.1004</v>
      </c>
      <c r="K53" s="549">
        <v>0.1004</v>
      </c>
    </row>
    <row r="54" spans="1:18" ht="18.75">
      <c r="B54" s="394" t="s">
        <v>1360</v>
      </c>
      <c r="C54" s="2705">
        <f>STDEV(B53:K53)/D51</f>
        <v>6.9920589877982988E-5</v>
      </c>
      <c r="D54" s="2706"/>
      <c r="E54" s="2706"/>
      <c r="F54" s="2706"/>
      <c r="G54" s="2706"/>
      <c r="H54" s="2706"/>
      <c r="I54" s="2706"/>
      <c r="J54" s="2706"/>
      <c r="K54" s="2707"/>
    </row>
    <row r="56" spans="1:18">
      <c r="A56" s="512" t="s">
        <v>1380</v>
      </c>
      <c r="B56" s="153" t="s">
        <v>1381</v>
      </c>
    </row>
    <row r="58" spans="1:18">
      <c r="B58" s="2882" t="s">
        <v>1382</v>
      </c>
      <c r="C58" s="2883"/>
      <c r="D58" s="2883"/>
      <c r="E58" s="2883"/>
      <c r="F58" s="2883"/>
      <c r="G58" s="2883"/>
      <c r="H58" s="2883"/>
      <c r="I58" s="2883"/>
      <c r="J58" s="2884"/>
      <c r="K58" s="2711" t="s">
        <v>1383</v>
      </c>
      <c r="L58" s="2888" t="s">
        <v>1384</v>
      </c>
      <c r="M58" s="2888"/>
      <c r="N58" s="2889" t="s">
        <v>959</v>
      </c>
      <c r="O58" s="2882" t="s">
        <v>1385</v>
      </c>
      <c r="P58" s="2883"/>
      <c r="Q58" s="2883"/>
      <c r="R58" s="2884"/>
    </row>
    <row r="59" spans="1:18">
      <c r="B59" s="2885"/>
      <c r="C59" s="2886"/>
      <c r="D59" s="2886"/>
      <c r="E59" s="2886"/>
      <c r="F59" s="2886"/>
      <c r="G59" s="2886"/>
      <c r="H59" s="2886"/>
      <c r="I59" s="2886"/>
      <c r="J59" s="2887"/>
      <c r="K59" s="2711"/>
      <c r="L59" s="2888"/>
      <c r="M59" s="2888"/>
      <c r="N59" s="2889"/>
      <c r="O59" s="2885"/>
      <c r="P59" s="2886"/>
      <c r="Q59" s="2886"/>
      <c r="R59" s="2887"/>
    </row>
    <row r="60" spans="1:18">
      <c r="B60" s="2892" t="s">
        <v>1386</v>
      </c>
      <c r="C60" s="2893"/>
      <c r="D60" s="2893"/>
      <c r="E60" s="2893"/>
      <c r="F60" s="2893"/>
      <c r="G60" s="2893"/>
      <c r="H60" s="2893"/>
      <c r="I60" s="2893"/>
      <c r="J60" s="2894"/>
      <c r="K60" s="544">
        <v>1.0000000000000001E-5</v>
      </c>
      <c r="L60" s="2888" t="s">
        <v>1387</v>
      </c>
      <c r="M60" s="2888"/>
      <c r="N60" s="514"/>
      <c r="O60" s="2895">
        <f>K60/SQRT(3)</f>
        <v>5.7735026918962587E-6</v>
      </c>
      <c r="P60" s="2895"/>
      <c r="Q60" s="2895"/>
      <c r="R60" s="2895"/>
    </row>
    <row r="61" spans="1:18">
      <c r="B61" s="2892" t="s">
        <v>1388</v>
      </c>
      <c r="C61" s="2893"/>
      <c r="D61" s="2893"/>
      <c r="E61" s="2893"/>
      <c r="F61" s="2893"/>
      <c r="G61" s="2893"/>
      <c r="H61" s="2893"/>
      <c r="I61" s="2893"/>
      <c r="J61" s="2894"/>
      <c r="K61" s="544">
        <v>1.0000000000000001E-5</v>
      </c>
      <c r="L61" s="2888" t="s">
        <v>1387</v>
      </c>
      <c r="M61" s="2888"/>
      <c r="N61" s="514"/>
      <c r="O61" s="2895">
        <f>K61/SQRT(3)</f>
        <v>5.7735026918962587E-6</v>
      </c>
      <c r="P61" s="2895"/>
      <c r="Q61" s="2895"/>
      <c r="R61" s="2895"/>
    </row>
    <row r="62" spans="1:18">
      <c r="B62" s="2892" t="s">
        <v>1389</v>
      </c>
      <c r="C62" s="2893"/>
      <c r="D62" s="2893"/>
      <c r="E62" s="2893"/>
      <c r="F62" s="2893"/>
      <c r="G62" s="2893"/>
      <c r="H62" s="2893"/>
      <c r="I62" s="2893"/>
      <c r="J62" s="2894"/>
      <c r="K62" s="545">
        <v>5.0000000000000004E-6</v>
      </c>
      <c r="L62" s="2888" t="s">
        <v>1390</v>
      </c>
      <c r="M62" s="2888"/>
      <c r="N62" s="513">
        <v>3</v>
      </c>
      <c r="O62" s="2895">
        <f>K62/3</f>
        <v>1.6666666666666669E-6</v>
      </c>
      <c r="P62" s="2895"/>
      <c r="Q62" s="2895"/>
      <c r="R62" s="2895"/>
    </row>
    <row r="63" spans="1:18">
      <c r="B63" s="2892" t="s">
        <v>1372</v>
      </c>
      <c r="C63" s="2893"/>
      <c r="D63" s="2893"/>
      <c r="E63" s="2893"/>
      <c r="F63" s="2893"/>
      <c r="G63" s="2893"/>
      <c r="H63" s="2893"/>
      <c r="I63" s="2893"/>
      <c r="J63" s="2894"/>
      <c r="K63" s="544">
        <v>1E-4</v>
      </c>
      <c r="L63" s="2888" t="s">
        <v>1368</v>
      </c>
      <c r="M63" s="2888"/>
      <c r="N63" s="514"/>
      <c r="O63" s="3019">
        <f>K63/SQRT(3)</f>
        <v>5.7735026918962585E-5</v>
      </c>
      <c r="P63" s="3019"/>
      <c r="Q63" s="3019"/>
      <c r="R63" s="3019"/>
    </row>
    <row r="64" spans="1:18">
      <c r="B64" s="2867" t="s">
        <v>1373</v>
      </c>
      <c r="C64" s="2867"/>
      <c r="D64" s="2890">
        <f>SQRT(SUMSQ(O60:R63))</f>
        <v>5.833333333333334E-5</v>
      </c>
      <c r="E64" s="2891"/>
      <c r="F64" s="2891"/>
      <c r="G64" s="2891"/>
      <c r="H64" s="2891"/>
      <c r="I64" s="2891"/>
      <c r="J64" s="2891"/>
      <c r="K64" s="2891"/>
      <c r="L64" s="2891"/>
      <c r="M64" s="2891"/>
      <c r="N64" s="2891"/>
      <c r="O64" s="2891"/>
      <c r="P64" s="2891"/>
      <c r="Q64" s="2891"/>
      <c r="R64" s="2891"/>
    </row>
    <row r="66" spans="1:12" ht="15.75">
      <c r="A66" s="505" t="s">
        <v>1374</v>
      </c>
      <c r="C66" s="526"/>
      <c r="D66" s="527"/>
      <c r="E66" s="528"/>
      <c r="F66" s="528"/>
    </row>
    <row r="67" spans="1:12" ht="18.75">
      <c r="A67" s="529"/>
      <c r="B67" s="517"/>
      <c r="C67" s="516" t="s">
        <v>1375</v>
      </c>
      <c r="D67" s="2722">
        <f>SQRT(SUMSQ(C54,D64))</f>
        <v>9.1058589197630756E-5</v>
      </c>
      <c r="E67" s="2722"/>
      <c r="F67" s="2722"/>
    </row>
    <row r="68" spans="1:12" ht="15.75">
      <c r="A68" s="505" t="s">
        <v>1376</v>
      </c>
      <c r="B68" s="28"/>
      <c r="C68" s="526"/>
      <c r="D68" s="527"/>
      <c r="E68" s="528"/>
      <c r="F68" s="528"/>
    </row>
    <row r="69" spans="1:12">
      <c r="A69" s="518" t="s">
        <v>1377</v>
      </c>
      <c r="B69" s="393">
        <f>D67*2</f>
        <v>1.8211717839526151E-4</v>
      </c>
      <c r="C69" s="527"/>
      <c r="D69" s="527"/>
      <c r="E69" s="527"/>
      <c r="F69" s="527"/>
    </row>
    <row r="71" spans="1:12">
      <c r="B71" s="530" t="s">
        <v>1391</v>
      </c>
      <c r="C71" s="506" t="s">
        <v>1344</v>
      </c>
      <c r="D71" s="2704" t="s">
        <v>1392</v>
      </c>
      <c r="E71" s="2704"/>
      <c r="F71" s="507"/>
    </row>
    <row r="72" spans="1:12">
      <c r="B72" s="13"/>
      <c r="C72" s="509"/>
      <c r="D72" s="395"/>
      <c r="E72" s="395"/>
      <c r="F72" s="395"/>
    </row>
    <row r="73" spans="1:12">
      <c r="B73" s="13"/>
      <c r="C73" s="510" t="s">
        <v>1346</v>
      </c>
      <c r="D73" s="13"/>
      <c r="E73" s="13" t="s">
        <v>1347</v>
      </c>
      <c r="F73" s="13"/>
    </row>
    <row r="74" spans="1:12">
      <c r="B74" s="13"/>
      <c r="C74" s="510"/>
      <c r="D74" s="510" t="s">
        <v>1348</v>
      </c>
      <c r="E74" s="510">
        <v>100</v>
      </c>
      <c r="F74" s="510" t="s">
        <v>1349</v>
      </c>
    </row>
    <row r="75" spans="1:12">
      <c r="C75" s="347" t="s">
        <v>1350</v>
      </c>
      <c r="D75" s="347" t="s">
        <v>1351</v>
      </c>
      <c r="E75" s="347" t="s">
        <v>1352</v>
      </c>
      <c r="F75" s="347" t="s">
        <v>1353</v>
      </c>
      <c r="G75" s="347" t="s">
        <v>1354</v>
      </c>
      <c r="H75" s="347" t="s">
        <v>1355</v>
      </c>
      <c r="I75" s="347" t="s">
        <v>1356</v>
      </c>
      <c r="J75" s="348" t="s">
        <v>1357</v>
      </c>
      <c r="K75" s="348" t="s">
        <v>1358</v>
      </c>
      <c r="L75" s="347" t="s">
        <v>1359</v>
      </c>
    </row>
    <row r="76" spans="1:12">
      <c r="C76" s="550">
        <v>99.990799999999993</v>
      </c>
      <c r="D76" s="550">
        <v>99.990899999999996</v>
      </c>
      <c r="E76" s="550">
        <v>99.991</v>
      </c>
      <c r="F76" s="550">
        <v>99.991</v>
      </c>
      <c r="G76" s="550">
        <v>99.990899999999996</v>
      </c>
      <c r="H76" s="550">
        <v>99.991</v>
      </c>
      <c r="I76" s="550">
        <v>99.991</v>
      </c>
      <c r="J76" s="550">
        <v>99.991100000000003</v>
      </c>
      <c r="K76" s="550">
        <v>99.990899999999996</v>
      </c>
      <c r="L76" s="550">
        <v>99.991</v>
      </c>
    </row>
    <row r="77" spans="1:12" ht="18.75">
      <c r="C77" s="394" t="s">
        <v>1360</v>
      </c>
      <c r="D77" s="2705">
        <f>STDEV(C76:L76)/E74</f>
        <v>8.4327404273956152E-7</v>
      </c>
      <c r="E77" s="2706"/>
      <c r="F77" s="2706"/>
      <c r="G77" s="2706"/>
      <c r="H77" s="2706"/>
      <c r="I77" s="2706"/>
      <c r="J77" s="2706"/>
      <c r="K77" s="2706"/>
      <c r="L77" s="2707"/>
    </row>
    <row r="79" spans="1:12">
      <c r="B79" s="512" t="s">
        <v>1361</v>
      </c>
      <c r="C79" s="153" t="s">
        <v>1362</v>
      </c>
    </row>
    <row r="81" spans="2:19">
      <c r="C81" s="2882" t="s">
        <v>1363</v>
      </c>
      <c r="D81" s="2883"/>
      <c r="E81" s="2883"/>
      <c r="F81" s="2883"/>
      <c r="G81" s="2883"/>
      <c r="H81" s="2883"/>
      <c r="I81" s="2883"/>
      <c r="J81" s="2883"/>
      <c r="K81" s="2884"/>
      <c r="L81" s="2711" t="s">
        <v>1364</v>
      </c>
      <c r="M81" s="2888" t="s">
        <v>1365</v>
      </c>
      <c r="N81" s="2888"/>
      <c r="O81" s="2889" t="s">
        <v>959</v>
      </c>
      <c r="P81" s="2882" t="s">
        <v>1366</v>
      </c>
      <c r="Q81" s="2883"/>
      <c r="R81" s="2883"/>
      <c r="S81" s="2884"/>
    </row>
    <row r="82" spans="2:19">
      <c r="C82" s="2885"/>
      <c r="D82" s="2886"/>
      <c r="E82" s="2886"/>
      <c r="F82" s="2886"/>
      <c r="G82" s="2886"/>
      <c r="H82" s="2886"/>
      <c r="I82" s="2886"/>
      <c r="J82" s="2886"/>
      <c r="K82" s="2887"/>
      <c r="L82" s="2711"/>
      <c r="M82" s="2888"/>
      <c r="N82" s="2888"/>
      <c r="O82" s="2889"/>
      <c r="P82" s="2885"/>
      <c r="Q82" s="2886"/>
      <c r="R82" s="2886"/>
      <c r="S82" s="2887"/>
    </row>
    <row r="83" spans="2:19">
      <c r="C83" s="2892" t="s">
        <v>1367</v>
      </c>
      <c r="D83" s="2893"/>
      <c r="E83" s="2893"/>
      <c r="F83" s="2893"/>
      <c r="G83" s="2893"/>
      <c r="H83" s="2893"/>
      <c r="I83" s="2893"/>
      <c r="J83" s="2893"/>
      <c r="K83" s="2894"/>
      <c r="L83" s="544">
        <v>1.0000000000000001E-5</v>
      </c>
      <c r="M83" s="2888" t="s">
        <v>1368</v>
      </c>
      <c r="N83" s="2888"/>
      <c r="O83" s="514"/>
      <c r="P83" s="2895">
        <f>L83/SQRT(3)</f>
        <v>5.7735026918962587E-6</v>
      </c>
      <c r="Q83" s="2895"/>
      <c r="R83" s="2895"/>
      <c r="S83" s="2895"/>
    </row>
    <row r="84" spans="2:19">
      <c r="C84" s="2892" t="s">
        <v>1369</v>
      </c>
      <c r="D84" s="2893"/>
      <c r="E84" s="2893"/>
      <c r="F84" s="2893"/>
      <c r="G84" s="2893"/>
      <c r="H84" s="2893"/>
      <c r="I84" s="2893"/>
      <c r="J84" s="2893"/>
      <c r="K84" s="2894"/>
      <c r="L84" s="544">
        <v>1.0000000000000001E-5</v>
      </c>
      <c r="M84" s="2888" t="s">
        <v>1368</v>
      </c>
      <c r="N84" s="2888"/>
      <c r="O84" s="514"/>
      <c r="P84" s="2895">
        <f>L84/SQRT(3)</f>
        <v>5.7735026918962587E-6</v>
      </c>
      <c r="Q84" s="2895"/>
      <c r="R84" s="2895"/>
      <c r="S84" s="2895"/>
    </row>
    <row r="85" spans="2:19">
      <c r="C85" s="2892" t="s">
        <v>1370</v>
      </c>
      <c r="D85" s="2893"/>
      <c r="E85" s="2893"/>
      <c r="F85" s="2893"/>
      <c r="G85" s="2893"/>
      <c r="H85" s="2893"/>
      <c r="I85" s="2893"/>
      <c r="J85" s="2893"/>
      <c r="K85" s="2894"/>
      <c r="L85" s="545">
        <v>5.0000000000000004E-6</v>
      </c>
      <c r="M85" s="2888" t="s">
        <v>1371</v>
      </c>
      <c r="N85" s="2888"/>
      <c r="O85" s="513">
        <v>3</v>
      </c>
      <c r="P85" s="2895">
        <f>L85/3</f>
        <v>1.6666666666666669E-6</v>
      </c>
      <c r="Q85" s="2895"/>
      <c r="R85" s="2895"/>
      <c r="S85" s="2895"/>
    </row>
    <row r="86" spans="2:19">
      <c r="C86" s="2892" t="s">
        <v>1372</v>
      </c>
      <c r="D86" s="2893"/>
      <c r="E86" s="2893"/>
      <c r="F86" s="2893"/>
      <c r="G86" s="2893"/>
      <c r="H86" s="2893"/>
      <c r="I86" s="2893"/>
      <c r="J86" s="2893"/>
      <c r="K86" s="2894"/>
      <c r="L86" s="544">
        <v>1E-4</v>
      </c>
      <c r="M86" s="2888" t="s">
        <v>1368</v>
      </c>
      <c r="N86" s="2888"/>
      <c r="O86" s="514"/>
      <c r="P86" s="3019">
        <f>L86/SQRT(3)</f>
        <v>5.7735026918962585E-5</v>
      </c>
      <c r="Q86" s="3019"/>
      <c r="R86" s="3019"/>
      <c r="S86" s="3019"/>
    </row>
    <row r="87" spans="2:19">
      <c r="C87" s="2867" t="s">
        <v>1373</v>
      </c>
      <c r="D87" s="2867"/>
      <c r="E87" s="2890">
        <f>SQRT(SUMSQ(P83:S86))</f>
        <v>5.833333333333334E-5</v>
      </c>
      <c r="F87" s="2891"/>
      <c r="G87" s="2891"/>
      <c r="H87" s="2891"/>
      <c r="I87" s="2891"/>
      <c r="J87" s="2891"/>
      <c r="K87" s="2891"/>
      <c r="L87" s="2891"/>
      <c r="M87" s="2891"/>
      <c r="N87" s="2891"/>
      <c r="O87" s="2891"/>
      <c r="P87" s="2891"/>
      <c r="Q87" s="2891"/>
      <c r="R87" s="2891"/>
      <c r="S87" s="2891"/>
    </row>
    <row r="89" spans="2:19" ht="15.75">
      <c r="B89" s="505" t="s">
        <v>1374</v>
      </c>
      <c r="D89" s="526"/>
      <c r="E89" s="527"/>
      <c r="F89" s="528"/>
      <c r="G89" s="528"/>
    </row>
    <row r="90" spans="2:19" ht="18.75">
      <c r="B90" s="529"/>
      <c r="C90" s="517"/>
      <c r="D90" s="516" t="s">
        <v>1375</v>
      </c>
      <c r="E90" s="2722">
        <f>SQRT(SUMSQ(D77,E87))</f>
        <v>5.833942825301716E-5</v>
      </c>
      <c r="F90" s="2722"/>
      <c r="G90" s="2722"/>
    </row>
    <row r="91" spans="2:19" ht="15.75">
      <c r="B91" s="505" t="s">
        <v>1376</v>
      </c>
      <c r="C91" s="28"/>
      <c r="D91" s="526"/>
      <c r="E91" s="527"/>
      <c r="F91" s="528"/>
      <c r="G91" s="528"/>
    </row>
    <row r="92" spans="2:19">
      <c r="B92" s="518" t="s">
        <v>1377</v>
      </c>
      <c r="C92" s="393">
        <f>E90*2</f>
        <v>1.1667885650603432E-4</v>
      </c>
      <c r="D92" s="527"/>
      <c r="E92" s="527"/>
      <c r="F92" s="527"/>
      <c r="G92" s="527"/>
    </row>
  </sheetData>
  <mergeCells count="88">
    <mergeCell ref="E90:G90"/>
    <mergeCell ref="C85:K85"/>
    <mergeCell ref="M85:N85"/>
    <mergeCell ref="P85:S85"/>
    <mergeCell ref="C86:K86"/>
    <mergeCell ref="M86:N86"/>
    <mergeCell ref="P86:S86"/>
    <mergeCell ref="C84:K84"/>
    <mergeCell ref="M84:N84"/>
    <mergeCell ref="P84:S84"/>
    <mergeCell ref="C87:D87"/>
    <mergeCell ref="E87:S87"/>
    <mergeCell ref="M81:N82"/>
    <mergeCell ref="O81:O82"/>
    <mergeCell ref="P81:S82"/>
    <mergeCell ref="C83:K83"/>
    <mergeCell ref="M83:N83"/>
    <mergeCell ref="P83:S83"/>
    <mergeCell ref="D67:F67"/>
    <mergeCell ref="D71:E71"/>
    <mergeCell ref="D77:L77"/>
    <mergeCell ref="C81:K82"/>
    <mergeCell ref="L81:L82"/>
    <mergeCell ref="B63:J63"/>
    <mergeCell ref="L63:M63"/>
    <mergeCell ref="O63:R63"/>
    <mergeCell ref="B64:C64"/>
    <mergeCell ref="D64:R64"/>
    <mergeCell ref="B61:J61"/>
    <mergeCell ref="L61:M61"/>
    <mergeCell ref="O61:R61"/>
    <mergeCell ref="B62:J62"/>
    <mergeCell ref="L62:M62"/>
    <mergeCell ref="O62:R62"/>
    <mergeCell ref="L58:M59"/>
    <mergeCell ref="N58:N59"/>
    <mergeCell ref="O58:R59"/>
    <mergeCell ref="B60:J60"/>
    <mergeCell ref="L60:M60"/>
    <mergeCell ref="O60:R60"/>
    <mergeCell ref="D44:F44"/>
    <mergeCell ref="C48:D48"/>
    <mergeCell ref="C54:K54"/>
    <mergeCell ref="B58:J59"/>
    <mergeCell ref="K58:K59"/>
    <mergeCell ref="B40:J40"/>
    <mergeCell ref="L40:M40"/>
    <mergeCell ref="O40:R40"/>
    <mergeCell ref="B41:C41"/>
    <mergeCell ref="D41:R41"/>
    <mergeCell ref="B38:J38"/>
    <mergeCell ref="L38:M38"/>
    <mergeCell ref="O38:R38"/>
    <mergeCell ref="B39:J39"/>
    <mergeCell ref="L39:M39"/>
    <mergeCell ref="O39:R39"/>
    <mergeCell ref="L35:M36"/>
    <mergeCell ref="N35:N36"/>
    <mergeCell ref="O35:R36"/>
    <mergeCell ref="B37:J37"/>
    <mergeCell ref="L37:M37"/>
    <mergeCell ref="O37:R37"/>
    <mergeCell ref="D21:F21"/>
    <mergeCell ref="C25:D25"/>
    <mergeCell ref="C31:K31"/>
    <mergeCell ref="B35:J36"/>
    <mergeCell ref="K35:K36"/>
    <mergeCell ref="B17:J17"/>
    <mergeCell ref="L17:M17"/>
    <mergeCell ref="O17:R17"/>
    <mergeCell ref="B18:C18"/>
    <mergeCell ref="D18:R18"/>
    <mergeCell ref="B15:J15"/>
    <mergeCell ref="L15:M15"/>
    <mergeCell ref="O15:R15"/>
    <mergeCell ref="B16:J16"/>
    <mergeCell ref="L16:M16"/>
    <mergeCell ref="O16:R16"/>
    <mergeCell ref="N12:N13"/>
    <mergeCell ref="O12:R13"/>
    <mergeCell ref="B14:J14"/>
    <mergeCell ref="L14:M14"/>
    <mergeCell ref="O14:R14"/>
    <mergeCell ref="C2:D2"/>
    <mergeCell ref="C8:K8"/>
    <mergeCell ref="B12:J13"/>
    <mergeCell ref="K12:K13"/>
    <mergeCell ref="L12:M13"/>
  </mergeCells>
  <phoneticPr fontId="107" type="noConversion"/>
  <pageMargins left="0.75" right="0.75" top="1" bottom="1" header="0.5" footer="0.5"/>
  <legacyDrawing r:id="rId1"/>
  <oleObjects>
    <oleObject progId="Equation.3" shapeId="122881" r:id="rId2"/>
    <oleObject progId="Equation.3" shapeId="122882" r:id="rId3"/>
    <oleObject progId="Equation.3" shapeId="122883" r:id="rId4"/>
    <oleObject progId="Equation.3" shapeId="122884" r:id="rId5"/>
    <oleObject progId="Equation.3" shapeId="122885" r:id="rId6"/>
    <oleObject progId="Equation.3" shapeId="122886" r:id="rId7"/>
    <oleObject progId="Equation.3" shapeId="122887" r:id="rId8"/>
    <oleObject progId="Equation.3" shapeId="122888" r:id="rId9"/>
    <oleObject progId="Equation.3" shapeId="122889" r:id="rId10"/>
    <oleObject progId="Equation.3" shapeId="122890" r:id="rId11"/>
    <oleObject progId="Equation.3" shapeId="122891" r:id="rId12"/>
    <oleObject progId="Equation.3" shapeId="122892" r:id="rId13"/>
  </oleObjects>
</worksheet>
</file>

<file path=xl/worksheets/sheet48.xml><?xml version="1.0" encoding="utf-8"?>
<worksheet xmlns="http://schemas.openxmlformats.org/spreadsheetml/2006/main" xmlns:r="http://schemas.openxmlformats.org/officeDocument/2006/relationships">
  <dimension ref="A1:AT26"/>
  <sheetViews>
    <sheetView workbookViewId="0"/>
  </sheetViews>
  <sheetFormatPr defaultRowHeight="14.25"/>
  <cols>
    <col min="1" max="1" width="20" customWidth="1"/>
    <col min="4" max="4" width="13.625" customWidth="1"/>
    <col min="5" max="5" width="9" hidden="1" customWidth="1"/>
    <col min="7" max="7" width="6.75" customWidth="1"/>
    <col min="8" max="8" width="9" hidden="1" customWidth="1"/>
    <col min="10" max="10" width="1.625" customWidth="1"/>
    <col min="11" max="11" width="7.25" customWidth="1"/>
    <col min="12" max="12" width="9" hidden="1" customWidth="1"/>
    <col min="13" max="13" width="8.125" customWidth="1"/>
    <col min="14" max="14" width="9" hidden="1" customWidth="1"/>
    <col min="17" max="17" width="5.25" customWidth="1"/>
    <col min="18" max="18" width="4.125" customWidth="1"/>
    <col min="19" max="19" width="5.875" customWidth="1"/>
    <col min="20" max="20" width="5.125" customWidth="1"/>
    <col min="21" max="21" width="9" hidden="1" customWidth="1"/>
    <col min="23" max="23" width="0.75" customWidth="1"/>
    <col min="24" max="24" width="9" hidden="1" customWidth="1"/>
    <col min="26" max="26" width="3.25" customWidth="1"/>
    <col min="27" max="27" width="8.75" customWidth="1"/>
    <col min="28" max="28" width="9" hidden="1" customWidth="1"/>
    <col min="29" max="29" width="6.5" customWidth="1"/>
    <col min="30" max="30" width="4" customWidth="1"/>
    <col min="33" max="33" width="5.5" customWidth="1"/>
    <col min="34" max="34" width="5.125" customWidth="1"/>
    <col min="35" max="35" width="5.375" customWidth="1"/>
    <col min="36" max="36" width="6.25" customWidth="1"/>
    <col min="37" max="37" width="9" hidden="1" customWidth="1"/>
    <col min="39" max="39" width="0.75" customWidth="1"/>
    <col min="40" max="40" width="9" hidden="1" customWidth="1"/>
    <col min="42" max="42" width="3.5" customWidth="1"/>
    <col min="43" max="43" width="5.125" customWidth="1"/>
    <col min="44" max="44" width="9" hidden="1" customWidth="1"/>
    <col min="45" max="45" width="11.75" customWidth="1"/>
    <col min="46" max="46" width="6.75" customWidth="1"/>
  </cols>
  <sheetData>
    <row r="1" spans="1:46">
      <c r="A1" t="s">
        <v>51</v>
      </c>
      <c r="B1" s="153" t="s">
        <v>109</v>
      </c>
      <c r="F1" s="702" t="s">
        <v>2940</v>
      </c>
    </row>
    <row r="3" spans="1:46">
      <c r="A3" s="2298" t="s">
        <v>32</v>
      </c>
      <c r="B3" s="2298"/>
      <c r="C3" s="2298"/>
      <c r="D3" s="2"/>
    </row>
    <row r="4" spans="1:46" ht="18.75">
      <c r="A4" s="699" t="s">
        <v>1920</v>
      </c>
      <c r="B4" s="6" t="s">
        <v>69</v>
      </c>
      <c r="C4" s="6" t="s">
        <v>70</v>
      </c>
      <c r="D4" s="700" t="s">
        <v>2705</v>
      </c>
    </row>
    <row r="5" spans="1:46">
      <c r="A5" s="6" t="s">
        <v>110</v>
      </c>
      <c r="B5" s="6" t="s">
        <v>72</v>
      </c>
      <c r="C5" s="6" t="s">
        <v>72</v>
      </c>
      <c r="D5" s="3" t="s">
        <v>2706</v>
      </c>
    </row>
    <row r="6" spans="1:46">
      <c r="A6" s="6" t="s">
        <v>83</v>
      </c>
      <c r="B6" s="6" t="s">
        <v>72</v>
      </c>
      <c r="C6" s="6" t="s">
        <v>72</v>
      </c>
      <c r="D6" s="700" t="s">
        <v>2941</v>
      </c>
    </row>
    <row r="7" spans="1:46">
      <c r="A7" s="6" t="s">
        <v>111</v>
      </c>
      <c r="B7" s="6" t="s">
        <v>72</v>
      </c>
      <c r="C7" s="6" t="s">
        <v>72</v>
      </c>
      <c r="D7" s="3" t="s">
        <v>2706</v>
      </c>
    </row>
    <row r="8" spans="1:46">
      <c r="A8" s="6" t="s">
        <v>112</v>
      </c>
      <c r="B8" s="6" t="s">
        <v>72</v>
      </c>
      <c r="C8" s="6" t="s">
        <v>72</v>
      </c>
      <c r="D8" s="3" t="s">
        <v>2706</v>
      </c>
    </row>
    <row r="9" spans="1:46">
      <c r="A9" s="6" t="s">
        <v>113</v>
      </c>
      <c r="B9" s="6" t="s">
        <v>72</v>
      </c>
      <c r="C9" s="6" t="s">
        <v>72</v>
      </c>
      <c r="D9" s="3" t="s">
        <v>2706</v>
      </c>
    </row>
    <row r="10" spans="1:46">
      <c r="A10" s="6" t="s">
        <v>114</v>
      </c>
      <c r="B10" s="6" t="s">
        <v>72</v>
      </c>
      <c r="C10" s="6" t="s">
        <v>84</v>
      </c>
      <c r="D10" s="2" t="s">
        <v>2942</v>
      </c>
    </row>
    <row r="11" spans="1:46">
      <c r="A11" s="6" t="s">
        <v>85</v>
      </c>
      <c r="B11" s="6" t="s">
        <v>72</v>
      </c>
      <c r="C11" s="6" t="s">
        <v>84</v>
      </c>
      <c r="D11" s="2" t="s">
        <v>2942</v>
      </c>
    </row>
    <row r="12" spans="1:46">
      <c r="A12" s="6" t="s">
        <v>67</v>
      </c>
      <c r="B12" s="6" t="s">
        <v>72</v>
      </c>
      <c r="C12" s="6" t="s">
        <v>84</v>
      </c>
      <c r="D12" s="2" t="s">
        <v>2942</v>
      </c>
      <c r="V12" t="s">
        <v>2943</v>
      </c>
      <c r="AI12" t="s">
        <v>2943</v>
      </c>
    </row>
    <row r="13" spans="1:46">
      <c r="A13" t="s">
        <v>73</v>
      </c>
    </row>
    <row r="14" spans="1:46">
      <c r="Q14" s="702" t="s">
        <v>2177</v>
      </c>
      <c r="AG14" s="702" t="s">
        <v>2176</v>
      </c>
    </row>
    <row r="15" spans="1:46" ht="18.75">
      <c r="A15" s="713" t="s">
        <v>2944</v>
      </c>
      <c r="B15" s="714" t="s">
        <v>2945</v>
      </c>
      <c r="C15" s="714"/>
      <c r="D15" s="714"/>
      <c r="E15" s="1175"/>
      <c r="F15" s="714"/>
      <c r="G15" s="714"/>
      <c r="H15" s="714"/>
      <c r="I15" s="714"/>
      <c r="J15" s="714"/>
      <c r="K15" s="714"/>
      <c r="L15" s="714"/>
      <c r="M15" s="714"/>
      <c r="N15" s="3031"/>
      <c r="O15" s="3031"/>
      <c r="Q15" s="3024" t="s">
        <v>2944</v>
      </c>
      <c r="R15" s="3024"/>
      <c r="S15" s="3024"/>
      <c r="T15" s="3024"/>
      <c r="U15" s="3024"/>
      <c r="V15" s="3024"/>
      <c r="W15" s="3024"/>
      <c r="X15" s="3024"/>
      <c r="Y15" s="3024"/>
      <c r="Z15" s="3024"/>
      <c r="AA15" s="3024"/>
      <c r="AB15" s="3024"/>
      <c r="AC15" s="3024"/>
      <c r="AD15" s="3024"/>
      <c r="AF15" s="2798" t="s">
        <v>2944</v>
      </c>
      <c r="AG15" s="2799"/>
      <c r="AH15" s="2799"/>
      <c r="AI15" s="2799"/>
      <c r="AJ15" s="2799"/>
      <c r="AK15" s="2799"/>
      <c r="AL15" s="2799"/>
      <c r="AM15" s="2799"/>
      <c r="AN15" s="2799"/>
      <c r="AO15" s="2799"/>
      <c r="AP15" s="2799"/>
      <c r="AQ15" s="2799"/>
      <c r="AR15" s="2799"/>
      <c r="AS15" s="2799"/>
      <c r="AT15" s="2800"/>
    </row>
    <row r="16" spans="1:46" ht="57">
      <c r="A16" s="2749" t="s">
        <v>2946</v>
      </c>
      <c r="B16" s="3026"/>
      <c r="C16" s="3027"/>
      <c r="D16" s="2749" t="s">
        <v>2947</v>
      </c>
      <c r="E16" s="2750"/>
      <c r="F16" s="2493" t="s">
        <v>1963</v>
      </c>
      <c r="G16" s="2612"/>
      <c r="H16" s="2611"/>
      <c r="I16" s="3028" t="s">
        <v>1962</v>
      </c>
      <c r="J16" s="3032"/>
      <c r="K16" s="3028" t="s">
        <v>2948</v>
      </c>
      <c r="L16" s="3029"/>
      <c r="M16" s="3033" t="s">
        <v>2949</v>
      </c>
      <c r="N16" s="1832"/>
      <c r="O16" s="1176" t="s">
        <v>2950</v>
      </c>
      <c r="Q16" s="3025" t="s">
        <v>2946</v>
      </c>
      <c r="R16" s="3026"/>
      <c r="S16" s="3027"/>
      <c r="T16" s="2749" t="s">
        <v>2947</v>
      </c>
      <c r="U16" s="2750"/>
      <c r="V16" s="2493" t="s">
        <v>1963</v>
      </c>
      <c r="W16" s="2612"/>
      <c r="X16" s="2611"/>
      <c r="Y16" s="3028" t="s">
        <v>1962</v>
      </c>
      <c r="Z16" s="3029"/>
      <c r="AA16" s="1814" t="s">
        <v>2948</v>
      </c>
      <c r="AB16" s="1713"/>
      <c r="AC16" s="2434" t="s">
        <v>2949</v>
      </c>
      <c r="AD16" s="2298"/>
      <c r="AF16" s="3025" t="s">
        <v>2946</v>
      </c>
      <c r="AG16" s="3026"/>
      <c r="AH16" s="3027"/>
      <c r="AI16" s="2749" t="s">
        <v>2947</v>
      </c>
      <c r="AJ16" s="2750"/>
      <c r="AK16" s="2493" t="s">
        <v>1963</v>
      </c>
      <c r="AL16" s="2612"/>
      <c r="AM16" s="2611"/>
      <c r="AN16" s="3028" t="s">
        <v>1962</v>
      </c>
      <c r="AO16" s="3029"/>
      <c r="AP16" s="3030" t="s">
        <v>2948</v>
      </c>
      <c r="AQ16" s="2732"/>
      <c r="AR16" s="2493" t="s">
        <v>2949</v>
      </c>
      <c r="AS16" s="2732"/>
      <c r="AT16" s="1176" t="s">
        <v>2950</v>
      </c>
    </row>
    <row r="17" spans="1:46" ht="14.25" customHeight="1">
      <c r="A17" s="2660">
        <v>1</v>
      </c>
      <c r="B17" s="2663" t="s">
        <v>2951</v>
      </c>
      <c r="C17" s="3034">
        <v>10</v>
      </c>
      <c r="D17" s="3037" t="s">
        <v>2952</v>
      </c>
      <c r="E17" s="3038"/>
      <c r="F17" s="2675">
        <v>1</v>
      </c>
      <c r="G17" s="2676">
        <v>400</v>
      </c>
      <c r="H17" s="2677">
        <v>400</v>
      </c>
      <c r="I17" s="2675">
        <v>1.0009999999999999</v>
      </c>
      <c r="J17" s="2677"/>
      <c r="K17" s="2678">
        <f>(I17-F17)/F17*100</f>
        <v>9.9999999999988987E-2</v>
      </c>
      <c r="L17" s="2679"/>
      <c r="M17" s="2680">
        <v>0.2</v>
      </c>
      <c r="N17" s="2681"/>
      <c r="O17" s="3043">
        <v>6.7000000000000002E-4</v>
      </c>
      <c r="Q17" s="2630" t="e">
        <f>'[22]原始记录（直阻）'!Q17</f>
        <v>#REF!</v>
      </c>
      <c r="R17" s="2633" t="s">
        <v>2951</v>
      </c>
      <c r="S17" s="3021" t="e">
        <f>'[22]原始记录（直阻）'!S17</f>
        <v>#REF!</v>
      </c>
      <c r="T17" s="2639" t="e">
        <f>'[22]原始记录（直阻）'!T17:U26</f>
        <v>#REF!</v>
      </c>
      <c r="U17" s="2640"/>
      <c r="V17" s="2624" t="e">
        <f>'[22]原始记录（直阻）'!V17:W17</f>
        <v>#REF!</v>
      </c>
      <c r="W17" s="2625"/>
      <c r="X17" s="2626" t="e">
        <f>'[22]原始记录（直阻）'!X17</f>
        <v>#REF!</v>
      </c>
      <c r="Y17" s="2624" t="e">
        <f>'[22]原始记录（直阻）'!Y17:Z17</f>
        <v>#REF!</v>
      </c>
      <c r="Z17" s="2625"/>
      <c r="AA17" s="2616" t="e">
        <f>'[22]原始记录（直阻）'!AA17:AB17</f>
        <v>#REF!</v>
      </c>
      <c r="AB17" s="3020"/>
      <c r="AC17" s="2298" t="e">
        <f>'[22]原始记录（直阻）'!AC17:AD17</f>
        <v>#REF!</v>
      </c>
      <c r="AD17" s="2298"/>
      <c r="AF17" s="2630" t="e">
        <f>'[22]原始记录（直阻）'!AG17</f>
        <v>#REF!</v>
      </c>
      <c r="AG17" s="2633" t="s">
        <v>2951</v>
      </c>
      <c r="AH17" s="3021" t="e">
        <f>'[22]原始记录（直阻）'!AI17</f>
        <v>#REF!</v>
      </c>
      <c r="AI17" s="2639" t="e">
        <f>'[22]原始记录（直阻）'!AJ17:AK26</f>
        <v>#VALUE!</v>
      </c>
      <c r="AJ17" s="2640"/>
      <c r="AK17" s="2624" t="e">
        <f>'[22]原始记录（直阻）'!AL17:AM17</f>
        <v>#VALUE!</v>
      </c>
      <c r="AL17" s="2625"/>
      <c r="AM17" s="2626" t="e">
        <f>'[22]原始记录（直阻）'!AN17</f>
        <v>#REF!</v>
      </c>
      <c r="AN17" s="2624" t="e">
        <f>'[22]原始记录（直阻）'!AO17:AP17</f>
        <v>#VALUE!</v>
      </c>
      <c r="AO17" s="2625"/>
      <c r="AP17" s="2616" t="e">
        <f>'[22]原始记录（直阻）'!AQ17:AR17</f>
        <v>#VALUE!</v>
      </c>
      <c r="AQ17" s="3020"/>
      <c r="AR17" s="2298" t="e">
        <f>'[22]原始记录（直阻）'!AS17:AT17</f>
        <v>#VALUE!</v>
      </c>
      <c r="AS17" s="2298"/>
      <c r="AT17" s="2745"/>
    </row>
    <row r="18" spans="1:46" ht="14.25" customHeight="1">
      <c r="A18" s="2661"/>
      <c r="B18" s="2664"/>
      <c r="C18" s="3035"/>
      <c r="D18" s="3039"/>
      <c r="E18" s="3040"/>
      <c r="F18" s="2675">
        <v>2</v>
      </c>
      <c r="G18" s="2676">
        <v>400</v>
      </c>
      <c r="H18" s="2677">
        <v>400</v>
      </c>
      <c r="I18" s="2675">
        <v>2.0009999999999999</v>
      </c>
      <c r="J18" s="2677"/>
      <c r="K18" s="2678">
        <f>(I18-F18)/F18*100</f>
        <v>4.9999999999994493E-2</v>
      </c>
      <c r="L18" s="2679"/>
      <c r="M18" s="2680">
        <v>0.2</v>
      </c>
      <c r="N18" s="2681"/>
      <c r="O18" s="3044"/>
      <c r="Q18" s="2631"/>
      <c r="R18" s="2634"/>
      <c r="S18" s="3022"/>
      <c r="T18" s="2641"/>
      <c r="U18" s="2642"/>
      <c r="V18" s="2624" t="e">
        <f>'[22]原始记录（直阻）'!V18:W18</f>
        <v>#REF!</v>
      </c>
      <c r="W18" s="2625"/>
      <c r="X18" s="2626" t="e">
        <f>'[22]原始记录（直阻）'!X18</f>
        <v>#REF!</v>
      </c>
      <c r="Y18" s="2624" t="e">
        <f>'[22]原始记录（直阻）'!Y18:Z18</f>
        <v>#REF!</v>
      </c>
      <c r="Z18" s="2625"/>
      <c r="AA18" s="2616" t="e">
        <f>'[22]原始记录（直阻）'!AA18:AB18</f>
        <v>#REF!</v>
      </c>
      <c r="AB18" s="3020"/>
      <c r="AC18" s="2298" t="e">
        <f>'[22]原始记录（直阻）'!AC18:AD18</f>
        <v>#REF!</v>
      </c>
      <c r="AD18" s="2298"/>
      <c r="AF18" s="2631"/>
      <c r="AG18" s="2634"/>
      <c r="AH18" s="3022"/>
      <c r="AI18" s="2641"/>
      <c r="AJ18" s="2642"/>
      <c r="AK18" s="2624" t="e">
        <f>'[22]原始记录（直阻）'!AL18:AM18</f>
        <v>#VALUE!</v>
      </c>
      <c r="AL18" s="2625"/>
      <c r="AM18" s="2626" t="e">
        <f>'[22]原始记录（直阻）'!AN18</f>
        <v>#REF!</v>
      </c>
      <c r="AN18" s="2624" t="e">
        <f>'[22]原始记录（直阻）'!AO18:AP18</f>
        <v>#VALUE!</v>
      </c>
      <c r="AO18" s="2625"/>
      <c r="AP18" s="2616" t="e">
        <f>'[22]原始记录（直阻）'!AQ18:AR18</f>
        <v>#VALUE!</v>
      </c>
      <c r="AQ18" s="3020"/>
      <c r="AR18" s="2298" t="e">
        <f>'[22]原始记录（直阻）'!AS18:AT18</f>
        <v>#VALUE!</v>
      </c>
      <c r="AS18" s="2298"/>
      <c r="AT18" s="2339"/>
    </row>
    <row r="19" spans="1:46" ht="14.25" customHeight="1">
      <c r="A19" s="2661"/>
      <c r="B19" s="2664"/>
      <c r="C19" s="3035"/>
      <c r="D19" s="3039"/>
      <c r="E19" s="3040"/>
      <c r="F19" s="2675">
        <v>3</v>
      </c>
      <c r="G19" s="2676"/>
      <c r="H19" s="2677"/>
      <c r="I19" s="2675">
        <v>3.0009999999999999</v>
      </c>
      <c r="J19" s="2677"/>
      <c r="K19" s="2678">
        <f t="shared" ref="K19:K26" si="0">(I19-F19)/F19*100</f>
        <v>3.3333333333329662E-2</v>
      </c>
      <c r="L19" s="2679"/>
      <c r="M19" s="2680">
        <v>0.2</v>
      </c>
      <c r="N19" s="2681"/>
      <c r="O19" s="3044"/>
      <c r="Q19" s="2631"/>
      <c r="R19" s="2634"/>
      <c r="S19" s="3022"/>
      <c r="T19" s="2641"/>
      <c r="U19" s="2642"/>
      <c r="V19" s="2624" t="e">
        <f>'[22]原始记录（直阻）'!V19:W19</f>
        <v>#REF!</v>
      </c>
      <c r="W19" s="2625"/>
      <c r="X19" s="2626" t="e">
        <f>'[22]原始记录（直阻）'!X19</f>
        <v>#REF!</v>
      </c>
      <c r="Y19" s="2624" t="e">
        <f>'[22]原始记录（直阻）'!Y19:Z19</f>
        <v>#REF!</v>
      </c>
      <c r="Z19" s="2625"/>
      <c r="AA19" s="2616" t="e">
        <f>'[22]原始记录（直阻）'!AA19:AB19</f>
        <v>#REF!</v>
      </c>
      <c r="AB19" s="3020"/>
      <c r="AC19" s="2298" t="e">
        <f>'[22]原始记录（直阻）'!AC19:AD19</f>
        <v>#REF!</v>
      </c>
      <c r="AD19" s="2298"/>
      <c r="AF19" s="2631"/>
      <c r="AG19" s="2634"/>
      <c r="AH19" s="3022"/>
      <c r="AI19" s="2641"/>
      <c r="AJ19" s="2642"/>
      <c r="AK19" s="2624" t="e">
        <f>'[22]原始记录（直阻）'!AL19:AM19</f>
        <v>#VALUE!</v>
      </c>
      <c r="AL19" s="2625"/>
      <c r="AM19" s="2626" t="e">
        <f>'[22]原始记录（直阻）'!AN19</f>
        <v>#REF!</v>
      </c>
      <c r="AN19" s="2624" t="e">
        <f>'[22]原始记录（直阻）'!AO19:AP19</f>
        <v>#VALUE!</v>
      </c>
      <c r="AO19" s="2625"/>
      <c r="AP19" s="2616" t="e">
        <f>'[22]原始记录（直阻）'!AQ19:AR19</f>
        <v>#VALUE!</v>
      </c>
      <c r="AQ19" s="3020"/>
      <c r="AR19" s="2298" t="e">
        <f>'[22]原始记录（直阻）'!AS19:AT19</f>
        <v>#VALUE!</v>
      </c>
      <c r="AS19" s="2298"/>
      <c r="AT19" s="2339"/>
    </row>
    <row r="20" spans="1:46" ht="14.25" customHeight="1">
      <c r="A20" s="2661"/>
      <c r="B20" s="2664"/>
      <c r="C20" s="3035"/>
      <c r="D20" s="3039"/>
      <c r="E20" s="3040"/>
      <c r="F20" s="2675">
        <v>4</v>
      </c>
      <c r="G20" s="2676">
        <v>400</v>
      </c>
      <c r="H20" s="2677">
        <v>400</v>
      </c>
      <c r="I20" s="2675">
        <v>4.0010000000000003</v>
      </c>
      <c r="J20" s="2677"/>
      <c r="K20" s="2678">
        <f t="shared" si="0"/>
        <v>2.5000000000008349E-2</v>
      </c>
      <c r="L20" s="2679"/>
      <c r="M20" s="2680">
        <v>0.2</v>
      </c>
      <c r="N20" s="2681"/>
      <c r="O20" s="3044"/>
      <c r="Q20" s="2631"/>
      <c r="R20" s="2634"/>
      <c r="S20" s="3022"/>
      <c r="T20" s="2641"/>
      <c r="U20" s="2642"/>
      <c r="V20" s="2624" t="e">
        <f>'[22]原始记录（直阻）'!V20:W20</f>
        <v>#REF!</v>
      </c>
      <c r="W20" s="2625"/>
      <c r="X20" s="2626" t="e">
        <f>'[22]原始记录（直阻）'!X20</f>
        <v>#REF!</v>
      </c>
      <c r="Y20" s="2624" t="e">
        <f>'[22]原始记录（直阻）'!Y20:Z20</f>
        <v>#REF!</v>
      </c>
      <c r="Z20" s="2625"/>
      <c r="AA20" s="2616" t="e">
        <f>'[22]原始记录（直阻）'!AA20:AB20</f>
        <v>#REF!</v>
      </c>
      <c r="AB20" s="3020"/>
      <c r="AC20" s="2298" t="e">
        <f>'[22]原始记录（直阻）'!AC20:AD20</f>
        <v>#REF!</v>
      </c>
      <c r="AD20" s="2298"/>
      <c r="AF20" s="2631"/>
      <c r="AG20" s="2634"/>
      <c r="AH20" s="3022"/>
      <c r="AI20" s="2641"/>
      <c r="AJ20" s="2642"/>
      <c r="AK20" s="2624" t="e">
        <f>'[22]原始记录（直阻）'!AL20:AM20</f>
        <v>#VALUE!</v>
      </c>
      <c r="AL20" s="2625"/>
      <c r="AM20" s="2626" t="e">
        <f>'[22]原始记录（直阻）'!AN20</f>
        <v>#REF!</v>
      </c>
      <c r="AN20" s="2624" t="e">
        <f>'[22]原始记录（直阻）'!AO20:AP20</f>
        <v>#VALUE!</v>
      </c>
      <c r="AO20" s="2625"/>
      <c r="AP20" s="2616" t="e">
        <f>'[22]原始记录（直阻）'!AQ20:AR20</f>
        <v>#VALUE!</v>
      </c>
      <c r="AQ20" s="3020"/>
      <c r="AR20" s="2298" t="e">
        <f>'[22]原始记录（直阻）'!AS20:AT20</f>
        <v>#VALUE!</v>
      </c>
      <c r="AS20" s="2298"/>
      <c r="AT20" s="2339"/>
    </row>
    <row r="21" spans="1:46" ht="14.25" customHeight="1">
      <c r="A21" s="2661"/>
      <c r="B21" s="2664"/>
      <c r="C21" s="3035"/>
      <c r="D21" s="3039"/>
      <c r="E21" s="3040"/>
      <c r="F21" s="2675">
        <v>5</v>
      </c>
      <c r="G21" s="2676"/>
      <c r="H21" s="2677"/>
      <c r="I21" s="2675">
        <v>5.0010000000000003</v>
      </c>
      <c r="J21" s="2677"/>
      <c r="K21" s="2678">
        <f t="shared" si="0"/>
        <v>2.0000000000006679E-2</v>
      </c>
      <c r="L21" s="2679"/>
      <c r="M21" s="2680">
        <v>0.2</v>
      </c>
      <c r="N21" s="2681"/>
      <c r="O21" s="3044"/>
      <c r="Q21" s="2631"/>
      <c r="R21" s="2634"/>
      <c r="S21" s="3022"/>
      <c r="T21" s="2641"/>
      <c r="U21" s="2642"/>
      <c r="V21" s="2624" t="e">
        <f>'[22]原始记录（直阻）'!V21:W21</f>
        <v>#REF!</v>
      </c>
      <c r="W21" s="2625"/>
      <c r="X21" s="2626" t="e">
        <f>'[22]原始记录（直阻）'!X21</f>
        <v>#REF!</v>
      </c>
      <c r="Y21" s="2624" t="e">
        <f>'[22]原始记录（直阻）'!Y21:Z21</f>
        <v>#REF!</v>
      </c>
      <c r="Z21" s="2625"/>
      <c r="AA21" s="2616" t="e">
        <f>'[22]原始记录（直阻）'!AA21:AB21</f>
        <v>#REF!</v>
      </c>
      <c r="AB21" s="3020"/>
      <c r="AC21" s="2298" t="e">
        <f>'[22]原始记录（直阻）'!AC21:AD21</f>
        <v>#REF!</v>
      </c>
      <c r="AD21" s="2298"/>
      <c r="AF21" s="2631"/>
      <c r="AG21" s="2634"/>
      <c r="AH21" s="3022"/>
      <c r="AI21" s="2641"/>
      <c r="AJ21" s="2642"/>
      <c r="AK21" s="2624" t="e">
        <f>'[22]原始记录（直阻）'!AL21:AM21</f>
        <v>#VALUE!</v>
      </c>
      <c r="AL21" s="2625"/>
      <c r="AM21" s="2626" t="e">
        <f>'[22]原始记录（直阻）'!AN21</f>
        <v>#REF!</v>
      </c>
      <c r="AN21" s="2624" t="e">
        <f>'[22]原始记录（直阻）'!AO21:AP21</f>
        <v>#VALUE!</v>
      </c>
      <c r="AO21" s="2625"/>
      <c r="AP21" s="2616" t="e">
        <f>'[22]原始记录（直阻）'!AQ21:AR21</f>
        <v>#VALUE!</v>
      </c>
      <c r="AQ21" s="3020"/>
      <c r="AR21" s="2298" t="e">
        <f>'[22]原始记录（直阻）'!AS21:AT21</f>
        <v>#VALUE!</v>
      </c>
      <c r="AS21" s="2298"/>
      <c r="AT21" s="2339"/>
    </row>
    <row r="22" spans="1:46" ht="14.25" customHeight="1">
      <c r="A22" s="2661"/>
      <c r="B22" s="2664"/>
      <c r="C22" s="3035"/>
      <c r="D22" s="3039"/>
      <c r="E22" s="3040"/>
      <c r="F22" s="2675">
        <v>6</v>
      </c>
      <c r="G22" s="2676">
        <v>400</v>
      </c>
      <c r="H22" s="2677">
        <v>400</v>
      </c>
      <c r="I22" s="2675">
        <v>6.0010000000000003</v>
      </c>
      <c r="J22" s="2677"/>
      <c r="K22" s="2678">
        <f t="shared" si="0"/>
        <v>1.6666666666672235E-2</v>
      </c>
      <c r="L22" s="2679"/>
      <c r="M22" s="2680">
        <v>0.2</v>
      </c>
      <c r="N22" s="2681"/>
      <c r="O22" s="3044"/>
      <c r="Q22" s="2631"/>
      <c r="R22" s="2634"/>
      <c r="S22" s="3022"/>
      <c r="T22" s="2641"/>
      <c r="U22" s="2642"/>
      <c r="V22" s="2624" t="e">
        <f>'[22]原始记录（直阻）'!V22:W22</f>
        <v>#REF!</v>
      </c>
      <c r="W22" s="2625"/>
      <c r="X22" s="2626" t="e">
        <f>'[22]原始记录（直阻）'!X22</f>
        <v>#REF!</v>
      </c>
      <c r="Y22" s="2624" t="e">
        <f>'[22]原始记录（直阻）'!Y22:Z22</f>
        <v>#REF!</v>
      </c>
      <c r="Z22" s="2625"/>
      <c r="AA22" s="2616" t="e">
        <f>'[22]原始记录（直阻）'!AA22:AB22</f>
        <v>#REF!</v>
      </c>
      <c r="AB22" s="3020"/>
      <c r="AC22" s="2298" t="e">
        <f>'[22]原始记录（直阻）'!AC22:AD22</f>
        <v>#REF!</v>
      </c>
      <c r="AD22" s="2298"/>
      <c r="AF22" s="2631"/>
      <c r="AG22" s="2634"/>
      <c r="AH22" s="3022"/>
      <c r="AI22" s="2641"/>
      <c r="AJ22" s="2642"/>
      <c r="AK22" s="2624" t="e">
        <f>'[22]原始记录（直阻）'!AL22:AM22</f>
        <v>#VALUE!</v>
      </c>
      <c r="AL22" s="2625"/>
      <c r="AM22" s="2626" t="e">
        <f>'[22]原始记录（直阻）'!AN22</f>
        <v>#REF!</v>
      </c>
      <c r="AN22" s="2624" t="e">
        <f>'[22]原始记录（直阻）'!AO22:AP22</f>
        <v>#VALUE!</v>
      </c>
      <c r="AO22" s="2625"/>
      <c r="AP22" s="2616" t="e">
        <f>'[22]原始记录（直阻）'!AQ22:AR22</f>
        <v>#VALUE!</v>
      </c>
      <c r="AQ22" s="3020"/>
      <c r="AR22" s="2298" t="e">
        <f>'[22]原始记录（直阻）'!AS22:AT22</f>
        <v>#VALUE!</v>
      </c>
      <c r="AS22" s="2298"/>
      <c r="AT22" s="2339"/>
    </row>
    <row r="23" spans="1:46" ht="14.25" customHeight="1">
      <c r="A23" s="2661"/>
      <c r="B23" s="2664"/>
      <c r="C23" s="3035"/>
      <c r="D23" s="3039"/>
      <c r="E23" s="3040"/>
      <c r="F23" s="2675">
        <v>7</v>
      </c>
      <c r="G23" s="2676"/>
      <c r="H23" s="2677"/>
      <c r="I23" s="2675">
        <v>7.0039999999999996</v>
      </c>
      <c r="J23" s="2677"/>
      <c r="K23" s="2678">
        <f t="shared" si="0"/>
        <v>5.7142857142850847E-2</v>
      </c>
      <c r="L23" s="2679"/>
      <c r="M23" s="2680">
        <v>0.2</v>
      </c>
      <c r="N23" s="2681"/>
      <c r="O23" s="3044"/>
      <c r="Q23" s="2631"/>
      <c r="R23" s="2634"/>
      <c r="S23" s="3022"/>
      <c r="T23" s="2641"/>
      <c r="U23" s="2642"/>
      <c r="V23" s="2624" t="e">
        <f>'[22]原始记录（直阻）'!V23:W23</f>
        <v>#REF!</v>
      </c>
      <c r="W23" s="2625"/>
      <c r="X23" s="2626" t="e">
        <f>'[22]原始记录（直阻）'!X23</f>
        <v>#REF!</v>
      </c>
      <c r="Y23" s="2624" t="e">
        <f>'[22]原始记录（直阻）'!Y23:Z23</f>
        <v>#REF!</v>
      </c>
      <c r="Z23" s="2625"/>
      <c r="AA23" s="2616" t="e">
        <f>'[22]原始记录（直阻）'!AA23:AB23</f>
        <v>#REF!</v>
      </c>
      <c r="AB23" s="3020"/>
      <c r="AC23" s="2298" t="e">
        <f>'[22]原始记录（直阻）'!AC23:AD23</f>
        <v>#REF!</v>
      </c>
      <c r="AD23" s="2298"/>
      <c r="AF23" s="2631"/>
      <c r="AG23" s="2634"/>
      <c r="AH23" s="3022"/>
      <c r="AI23" s="2641"/>
      <c r="AJ23" s="2642"/>
      <c r="AK23" s="2624" t="e">
        <f>'[22]原始记录（直阻）'!AL23:AM23</f>
        <v>#VALUE!</v>
      </c>
      <c r="AL23" s="2625"/>
      <c r="AM23" s="2626" t="e">
        <f>'[22]原始记录（直阻）'!AN23</f>
        <v>#REF!</v>
      </c>
      <c r="AN23" s="2624" t="e">
        <f>'[22]原始记录（直阻）'!AO23:AP23</f>
        <v>#VALUE!</v>
      </c>
      <c r="AO23" s="2625"/>
      <c r="AP23" s="2616" t="e">
        <f>'[22]原始记录（直阻）'!AQ23:AR23</f>
        <v>#VALUE!</v>
      </c>
      <c r="AQ23" s="3020"/>
      <c r="AR23" s="2298" t="e">
        <f>'[22]原始记录（直阻）'!AS23:AT23</f>
        <v>#VALUE!</v>
      </c>
      <c r="AS23" s="2298"/>
      <c r="AT23" s="2339"/>
    </row>
    <row r="24" spans="1:46" ht="14.25" customHeight="1">
      <c r="A24" s="2661"/>
      <c r="B24" s="2664"/>
      <c r="C24" s="3035"/>
      <c r="D24" s="3039"/>
      <c r="E24" s="3040"/>
      <c r="F24" s="2675">
        <v>8</v>
      </c>
      <c r="G24" s="2676">
        <v>400</v>
      </c>
      <c r="H24" s="2677">
        <v>400</v>
      </c>
      <c r="I24" s="2675">
        <v>8.0039999999999996</v>
      </c>
      <c r="J24" s="2677"/>
      <c r="K24" s="2678">
        <f t="shared" si="0"/>
        <v>4.9999999999994493E-2</v>
      </c>
      <c r="L24" s="2679"/>
      <c r="M24" s="2680">
        <v>0.2</v>
      </c>
      <c r="N24" s="2681"/>
      <c r="O24" s="3044"/>
      <c r="Q24" s="2631"/>
      <c r="R24" s="2634"/>
      <c r="S24" s="3022"/>
      <c r="T24" s="2641"/>
      <c r="U24" s="2642"/>
      <c r="V24" s="2624" t="e">
        <f>'[22]原始记录（直阻）'!V24:W24</f>
        <v>#REF!</v>
      </c>
      <c r="W24" s="2625"/>
      <c r="X24" s="2626" t="e">
        <f>'[22]原始记录（直阻）'!X24</f>
        <v>#REF!</v>
      </c>
      <c r="Y24" s="2624" t="e">
        <f>'[22]原始记录（直阻）'!Y24:Z24</f>
        <v>#REF!</v>
      </c>
      <c r="Z24" s="2625"/>
      <c r="AA24" s="2616" t="e">
        <f>'[22]原始记录（直阻）'!AA24:AB24</f>
        <v>#REF!</v>
      </c>
      <c r="AB24" s="3020"/>
      <c r="AC24" s="2298" t="e">
        <f>'[22]原始记录（直阻）'!AC24:AD24</f>
        <v>#REF!</v>
      </c>
      <c r="AD24" s="2298"/>
      <c r="AF24" s="2631"/>
      <c r="AG24" s="2634"/>
      <c r="AH24" s="3022"/>
      <c r="AI24" s="2641"/>
      <c r="AJ24" s="2642"/>
      <c r="AK24" s="2624" t="e">
        <f>'[22]原始记录（直阻）'!AL24:AM24</f>
        <v>#VALUE!</v>
      </c>
      <c r="AL24" s="2625"/>
      <c r="AM24" s="2626" t="e">
        <f>'[22]原始记录（直阻）'!AN24</f>
        <v>#REF!</v>
      </c>
      <c r="AN24" s="2624" t="e">
        <f>'[22]原始记录（直阻）'!AO24:AP24</f>
        <v>#VALUE!</v>
      </c>
      <c r="AO24" s="2625"/>
      <c r="AP24" s="2616" t="e">
        <f>'[22]原始记录（直阻）'!AQ24:AR24</f>
        <v>#VALUE!</v>
      </c>
      <c r="AQ24" s="3020"/>
      <c r="AR24" s="2298" t="e">
        <f>'[22]原始记录（直阻）'!AS24:AT24</f>
        <v>#VALUE!</v>
      </c>
      <c r="AS24" s="2298"/>
      <c r="AT24" s="2339"/>
    </row>
    <row r="25" spans="1:46" ht="14.25" customHeight="1">
      <c r="A25" s="2661"/>
      <c r="B25" s="2664"/>
      <c r="C25" s="3035"/>
      <c r="D25" s="3039"/>
      <c r="E25" s="3040"/>
      <c r="F25" s="2675">
        <v>9</v>
      </c>
      <c r="G25" s="2676"/>
      <c r="H25" s="2677"/>
      <c r="I25" s="2675">
        <v>9.0050000000000008</v>
      </c>
      <c r="J25" s="2677"/>
      <c r="K25" s="2678">
        <f>(I25-F25)/F25*100</f>
        <v>5.555555555556424E-2</v>
      </c>
      <c r="L25" s="2679"/>
      <c r="M25" s="2680">
        <v>0.2</v>
      </c>
      <c r="N25" s="2681"/>
      <c r="O25" s="3044"/>
      <c r="Q25" s="2631"/>
      <c r="R25" s="2634"/>
      <c r="S25" s="3022"/>
      <c r="T25" s="2641"/>
      <c r="U25" s="2642"/>
      <c r="V25" s="2624" t="e">
        <f>'[22]原始记录（直阻）'!V25:W25</f>
        <v>#REF!</v>
      </c>
      <c r="W25" s="2625"/>
      <c r="X25" s="2626" t="e">
        <f>'[22]原始记录（直阻）'!X25</f>
        <v>#REF!</v>
      </c>
      <c r="Y25" s="2624" t="e">
        <f>'[22]原始记录（直阻）'!Y25:Z25</f>
        <v>#REF!</v>
      </c>
      <c r="Z25" s="2625"/>
      <c r="AA25" s="2616" t="e">
        <f>'[22]原始记录（直阻）'!AA25:AB25</f>
        <v>#REF!</v>
      </c>
      <c r="AB25" s="3020"/>
      <c r="AC25" s="2298" t="e">
        <f>'[22]原始记录（直阻）'!AC25:AD25</f>
        <v>#REF!</v>
      </c>
      <c r="AD25" s="2298"/>
      <c r="AF25" s="2631"/>
      <c r="AG25" s="2634"/>
      <c r="AH25" s="3022"/>
      <c r="AI25" s="2641"/>
      <c r="AJ25" s="2642"/>
      <c r="AK25" s="2624" t="e">
        <f>'[22]原始记录（直阻）'!AL25:AM25</f>
        <v>#VALUE!</v>
      </c>
      <c r="AL25" s="2625"/>
      <c r="AM25" s="2626" t="e">
        <f>'[22]原始记录（直阻）'!AN25</f>
        <v>#REF!</v>
      </c>
      <c r="AN25" s="2624" t="e">
        <f>'[22]原始记录（直阻）'!AO25:AP25</f>
        <v>#VALUE!</v>
      </c>
      <c r="AO25" s="2625"/>
      <c r="AP25" s="2616" t="e">
        <f>'[22]原始记录（直阻）'!AQ25:AR25</f>
        <v>#VALUE!</v>
      </c>
      <c r="AQ25" s="3020"/>
      <c r="AR25" s="2298" t="e">
        <f>'[22]原始记录（直阻）'!AS25:AT25</f>
        <v>#VALUE!</v>
      </c>
      <c r="AS25" s="2298"/>
      <c r="AT25" s="2339"/>
    </row>
    <row r="26" spans="1:46">
      <c r="A26" s="2662"/>
      <c r="B26" s="2665"/>
      <c r="C26" s="3036"/>
      <c r="D26" s="3041"/>
      <c r="E26" s="3042"/>
      <c r="F26" s="2701">
        <v>10</v>
      </c>
      <c r="G26" s="2702">
        <v>400</v>
      </c>
      <c r="H26" s="2703">
        <v>400</v>
      </c>
      <c r="I26" s="2701">
        <v>10</v>
      </c>
      <c r="J26" s="2703"/>
      <c r="K26" s="2678">
        <f t="shared" si="0"/>
        <v>0</v>
      </c>
      <c r="L26" s="2679"/>
      <c r="M26" s="2680">
        <v>0.2</v>
      </c>
      <c r="N26" s="2681"/>
      <c r="O26" s="3045"/>
      <c r="Q26" s="2632"/>
      <c r="R26" s="2635"/>
      <c r="S26" s="3023"/>
      <c r="T26" s="2643"/>
      <c r="U26" s="2644"/>
      <c r="V26" s="2620" t="e">
        <f>'[22]原始记录（直阻）'!V26:W26</f>
        <v>#REF!</v>
      </c>
      <c r="W26" s="2621"/>
      <c r="X26" s="2622" t="e">
        <f>'[22]原始记录（直阻）'!X26</f>
        <v>#REF!</v>
      </c>
      <c r="Y26" s="2620" t="e">
        <f>'[22]原始记录（直阻）'!Y26:Z26</f>
        <v>#REF!</v>
      </c>
      <c r="Z26" s="2621"/>
      <c r="AA26" s="2616" t="e">
        <f>'[22]原始记录（直阻）'!AA26:AB26</f>
        <v>#REF!</v>
      </c>
      <c r="AB26" s="3020"/>
      <c r="AC26" s="2298" t="e">
        <f>'[22]原始记录（直阻）'!AC26:AD26</f>
        <v>#REF!</v>
      </c>
      <c r="AD26" s="2298"/>
      <c r="AF26" s="2632"/>
      <c r="AG26" s="2635"/>
      <c r="AH26" s="3023"/>
      <c r="AI26" s="2643"/>
      <c r="AJ26" s="2644"/>
      <c r="AK26" s="2620" t="e">
        <f>'[22]原始记录（直阻）'!AL26:AM26</f>
        <v>#VALUE!</v>
      </c>
      <c r="AL26" s="2621"/>
      <c r="AM26" s="2622" t="e">
        <f>'[22]原始记录（直阻）'!AN26</f>
        <v>#REF!</v>
      </c>
      <c r="AN26" s="2620" t="e">
        <f>'[22]原始记录（直阻）'!AO26:AP26</f>
        <v>#VALUE!</v>
      </c>
      <c r="AO26" s="2621"/>
      <c r="AP26" s="2616" t="e">
        <f>'[22]原始记录（直阻）'!AQ26:AR26</f>
        <v>#VALUE!</v>
      </c>
      <c r="AQ26" s="3020"/>
      <c r="AR26" s="2298" t="e">
        <f>'[22]原始记录（直阻）'!AS26:AT26</f>
        <v>#VALUE!</v>
      </c>
      <c r="AS26" s="2298"/>
      <c r="AT26" s="2746"/>
    </row>
  </sheetData>
  <mergeCells count="156">
    <mergeCell ref="F26:H26"/>
    <mergeCell ref="I26:J26"/>
    <mergeCell ref="K26:L26"/>
    <mergeCell ref="M26:N26"/>
    <mergeCell ref="K24:L24"/>
    <mergeCell ref="M24:N24"/>
    <mergeCell ref="F25:H25"/>
    <mergeCell ref="I25:J25"/>
    <mergeCell ref="K25:L25"/>
    <mergeCell ref="M25:N25"/>
    <mergeCell ref="F21:H21"/>
    <mergeCell ref="I21:J21"/>
    <mergeCell ref="K21:L21"/>
    <mergeCell ref="M21:N21"/>
    <mergeCell ref="K22:L22"/>
    <mergeCell ref="M22:N22"/>
    <mergeCell ref="F23:H23"/>
    <mergeCell ref="I23:J23"/>
    <mergeCell ref="K23:L23"/>
    <mergeCell ref="M23:N23"/>
    <mergeCell ref="M18:N18"/>
    <mergeCell ref="F19:H19"/>
    <mergeCell ref="I19:J19"/>
    <mergeCell ref="K19:L19"/>
    <mergeCell ref="M19:N19"/>
    <mergeCell ref="F20:H20"/>
    <mergeCell ref="I20:J20"/>
    <mergeCell ref="K20:L20"/>
    <mergeCell ref="M20:N20"/>
    <mergeCell ref="A3:C3"/>
    <mergeCell ref="N15:O15"/>
    <mergeCell ref="A16:C16"/>
    <mergeCell ref="D16:E16"/>
    <mergeCell ref="F16:H16"/>
    <mergeCell ref="I16:J16"/>
    <mergeCell ref="K16:L16"/>
    <mergeCell ref="M16:N16"/>
    <mergeCell ref="A17:A26"/>
    <mergeCell ref="B17:B26"/>
    <mergeCell ref="C17:C26"/>
    <mergeCell ref="D17:E26"/>
    <mergeCell ref="F17:H17"/>
    <mergeCell ref="I17:J17"/>
    <mergeCell ref="F22:H22"/>
    <mergeCell ref="I22:J22"/>
    <mergeCell ref="F24:H24"/>
    <mergeCell ref="I24:J24"/>
    <mergeCell ref="K17:L17"/>
    <mergeCell ref="M17:N17"/>
    <mergeCell ref="O17:O26"/>
    <mergeCell ref="F18:H18"/>
    <mergeCell ref="I18:J18"/>
    <mergeCell ref="K18:L18"/>
    <mergeCell ref="Q15:AD15"/>
    <mergeCell ref="AF15:AT15"/>
    <mergeCell ref="Q16:S16"/>
    <mergeCell ref="T16:U16"/>
    <mergeCell ref="V16:X16"/>
    <mergeCell ref="Y16:Z16"/>
    <mergeCell ref="AA16:AB16"/>
    <mergeCell ref="AC16:AD16"/>
    <mergeCell ref="AF16:AH16"/>
    <mergeCell ref="AI16:AJ16"/>
    <mergeCell ref="AK16:AM16"/>
    <mergeCell ref="AN16:AO16"/>
    <mergeCell ref="AP16:AQ16"/>
    <mergeCell ref="AR16:AS16"/>
    <mergeCell ref="Q17:Q26"/>
    <mergeCell ref="R17:R26"/>
    <mergeCell ref="S17:S26"/>
    <mergeCell ref="T17:U26"/>
    <mergeCell ref="V17:X17"/>
    <mergeCell ref="Y17:Z17"/>
    <mergeCell ref="AK17:AM17"/>
    <mergeCell ref="AN17:AO17"/>
    <mergeCell ref="AP17:AQ17"/>
    <mergeCell ref="V20:X20"/>
    <mergeCell ref="Y20:Z20"/>
    <mergeCell ref="AA20:AB20"/>
    <mergeCell ref="AC20:AD20"/>
    <mergeCell ref="AK20:AM20"/>
    <mergeCell ref="AN20:AO20"/>
    <mergeCell ref="AP20:AQ20"/>
    <mergeCell ref="AP23:AQ23"/>
    <mergeCell ref="AP25:AQ25"/>
    <mergeCell ref="AR17:AS17"/>
    <mergeCell ref="AT17:AT26"/>
    <mergeCell ref="V18:X18"/>
    <mergeCell ref="Y18:Z18"/>
    <mergeCell ref="AA18:AB18"/>
    <mergeCell ref="AC18:AD18"/>
    <mergeCell ref="AK18:AM18"/>
    <mergeCell ref="AA17:AB17"/>
    <mergeCell ref="AC17:AD17"/>
    <mergeCell ref="AF17:AF26"/>
    <mergeCell ref="AG17:AG26"/>
    <mergeCell ref="AH17:AH26"/>
    <mergeCell ref="AI17:AJ26"/>
    <mergeCell ref="AN18:AO18"/>
    <mergeCell ref="AP18:AQ18"/>
    <mergeCell ref="AR18:AS18"/>
    <mergeCell ref="V19:X19"/>
    <mergeCell ref="Y19:Z19"/>
    <mergeCell ref="AA19:AB19"/>
    <mergeCell ref="AC19:AD19"/>
    <mergeCell ref="AK19:AM19"/>
    <mergeCell ref="AN19:AO19"/>
    <mergeCell ref="AP19:AQ19"/>
    <mergeCell ref="AR19:AS19"/>
    <mergeCell ref="AR20:AS20"/>
    <mergeCell ref="AP21:AQ21"/>
    <mergeCell ref="AR21:AS21"/>
    <mergeCell ref="V22:X22"/>
    <mergeCell ref="Y22:Z22"/>
    <mergeCell ref="AA22:AB22"/>
    <mergeCell ref="AC22:AD22"/>
    <mergeCell ref="AK22:AM22"/>
    <mergeCell ref="AN22:AO22"/>
    <mergeCell ref="AP22:AQ22"/>
    <mergeCell ref="AR22:AS22"/>
    <mergeCell ref="V21:X21"/>
    <mergeCell ref="Y21:Z21"/>
    <mergeCell ref="AA21:AB21"/>
    <mergeCell ref="AC21:AD21"/>
    <mergeCell ref="AK21:AM21"/>
    <mergeCell ref="AN21:AO21"/>
    <mergeCell ref="AR23:AS23"/>
    <mergeCell ref="V24:X24"/>
    <mergeCell ref="Y24:Z24"/>
    <mergeCell ref="AA24:AB24"/>
    <mergeCell ref="AC24:AD24"/>
    <mergeCell ref="AK24:AM24"/>
    <mergeCell ref="AN24:AO24"/>
    <mergeCell ref="AP24:AQ24"/>
    <mergeCell ref="AR24:AS24"/>
    <mergeCell ref="V23:X23"/>
    <mergeCell ref="Y23:Z23"/>
    <mergeCell ref="AA23:AB23"/>
    <mergeCell ref="AC23:AD23"/>
    <mergeCell ref="AK23:AM23"/>
    <mergeCell ref="AN23:AO23"/>
    <mergeCell ref="AR25:AS25"/>
    <mergeCell ref="V26:X26"/>
    <mergeCell ref="Y26:Z26"/>
    <mergeCell ref="AA26:AB26"/>
    <mergeCell ref="AC26:AD26"/>
    <mergeCell ref="AK26:AM26"/>
    <mergeCell ref="AN26:AO26"/>
    <mergeCell ref="AP26:AQ26"/>
    <mergeCell ref="AR26:AS26"/>
    <mergeCell ref="V25:X25"/>
    <mergeCell ref="Y25:Z25"/>
    <mergeCell ref="AA25:AB25"/>
    <mergeCell ref="AC25:AD25"/>
    <mergeCell ref="AK25:AM25"/>
    <mergeCell ref="AN25:AO25"/>
  </mergeCells>
  <phoneticPr fontId="25" type="noConversion"/>
  <conditionalFormatting sqref="K17:L26">
    <cfRule type="expression" dxfId="45" priority="3" stopIfTrue="1">
      <formula>ABS($K17)&gt;$M17</formula>
    </cfRule>
  </conditionalFormatting>
  <conditionalFormatting sqref="AP17:AQ26">
    <cfRule type="expression" dxfId="44" priority="1" stopIfTrue="1">
      <formula>ABS($K17)&gt;$M17</formula>
    </cfRule>
  </conditionalFormatting>
  <conditionalFormatting sqref="AA17:AB26">
    <cfRule type="expression" dxfId="43" priority="2" stopIfTrue="1">
      <formula>ABS($K17)&gt;$M17</formula>
    </cfRule>
  </conditionalFormatting>
  <pageMargins left="0.75" right="0.75" top="1" bottom="1" header="0.5" footer="0.5"/>
  <drawing r:id="rId1"/>
  <legacyDrawing r:id="rId2"/>
</worksheet>
</file>

<file path=xl/worksheets/sheet49.xml><?xml version="1.0" encoding="utf-8"?>
<worksheet xmlns="http://schemas.openxmlformats.org/spreadsheetml/2006/main" xmlns:r="http://schemas.openxmlformats.org/officeDocument/2006/relationships">
  <dimension ref="C3:V20"/>
  <sheetViews>
    <sheetView workbookViewId="0"/>
  </sheetViews>
  <sheetFormatPr defaultRowHeight="14.25"/>
  <sheetData>
    <row r="3" spans="3:22">
      <c r="D3" s="454" t="s">
        <v>1165</v>
      </c>
      <c r="E3" s="506" t="s">
        <v>1197</v>
      </c>
      <c r="F3" s="2704" t="s">
        <v>1395</v>
      </c>
      <c r="G3" s="2704"/>
      <c r="H3" s="507"/>
      <c r="I3" s="8"/>
      <c r="J3" s="315"/>
      <c r="K3" s="315"/>
      <c r="L3" s="315"/>
      <c r="M3" s="315"/>
      <c r="N3" s="315"/>
      <c r="O3" s="508"/>
      <c r="P3" s="508"/>
      <c r="Q3" s="508"/>
      <c r="R3" s="508"/>
      <c r="S3" s="508"/>
      <c r="T3" s="508"/>
      <c r="U3" s="508"/>
    </row>
    <row r="4" spans="3:22">
      <c r="D4" s="13"/>
      <c r="E4" s="509"/>
      <c r="F4" s="395"/>
      <c r="G4" s="395"/>
      <c r="H4" s="395"/>
      <c r="I4" s="496"/>
      <c r="J4" s="315"/>
      <c r="K4" s="315"/>
      <c r="L4" s="315"/>
      <c r="M4" s="315"/>
      <c r="N4" s="315"/>
      <c r="O4" s="13"/>
      <c r="P4" s="13"/>
      <c r="Q4" s="13"/>
      <c r="R4" s="13"/>
      <c r="S4" s="13"/>
      <c r="T4" s="13"/>
      <c r="U4" s="13"/>
    </row>
    <row r="5" spans="3:22">
      <c r="D5" s="13"/>
      <c r="E5" s="510" t="s">
        <v>1167</v>
      </c>
      <c r="F5" s="13"/>
      <c r="G5" s="13" t="s">
        <v>1168</v>
      </c>
      <c r="H5" s="13"/>
      <c r="I5" s="13"/>
      <c r="J5" s="13"/>
      <c r="K5" s="13"/>
      <c r="L5" s="13"/>
      <c r="M5" s="13"/>
      <c r="N5" s="13"/>
      <c r="O5" s="13"/>
      <c r="P5" s="13"/>
      <c r="Q5" s="13"/>
      <c r="R5" s="13"/>
      <c r="S5" s="13"/>
      <c r="T5" s="13"/>
      <c r="U5" s="13"/>
    </row>
    <row r="6" spans="3:22">
      <c r="D6" s="13"/>
      <c r="E6" s="510"/>
      <c r="F6" s="510" t="s">
        <v>1199</v>
      </c>
      <c r="G6" s="510">
        <v>10</v>
      </c>
      <c r="H6" s="510" t="s">
        <v>1200</v>
      </c>
      <c r="I6" s="13"/>
      <c r="J6" s="13"/>
      <c r="K6" s="13"/>
      <c r="L6" s="13"/>
      <c r="M6" s="13"/>
      <c r="N6" s="13"/>
      <c r="O6" s="13"/>
      <c r="P6" s="13"/>
      <c r="Q6" s="13"/>
      <c r="R6" s="13"/>
      <c r="S6" s="13"/>
      <c r="T6" s="13"/>
      <c r="U6" s="13"/>
    </row>
    <row r="7" spans="3:22" ht="15.75">
      <c r="D7" s="13"/>
      <c r="E7" s="347" t="s">
        <v>1239</v>
      </c>
      <c r="F7" s="347" t="s">
        <v>1240</v>
      </c>
      <c r="G7" s="347" t="s">
        <v>1241</v>
      </c>
      <c r="H7" s="347" t="s">
        <v>1242</v>
      </c>
      <c r="I7" s="347" t="s">
        <v>1243</v>
      </c>
      <c r="J7" s="347" t="s">
        <v>1244</v>
      </c>
      <c r="K7" s="347" t="s">
        <v>1245</v>
      </c>
      <c r="L7" s="348" t="s">
        <v>1246</v>
      </c>
      <c r="M7" s="348" t="s">
        <v>1247</v>
      </c>
      <c r="N7" s="347" t="s">
        <v>1248</v>
      </c>
      <c r="O7" s="13"/>
      <c r="P7" s="13"/>
      <c r="Q7" s="13"/>
      <c r="R7" s="13"/>
      <c r="S7" s="13"/>
      <c r="T7" s="13"/>
      <c r="U7" s="13"/>
    </row>
    <row r="8" spans="3:22">
      <c r="D8" s="13"/>
      <c r="E8" s="523">
        <v>9.9969999999999999</v>
      </c>
      <c r="F8" s="523">
        <v>10</v>
      </c>
      <c r="G8" s="524">
        <v>9.9979999999999993</v>
      </c>
      <c r="H8" s="525">
        <v>10</v>
      </c>
      <c r="I8" s="524">
        <v>9.9990000000000006</v>
      </c>
      <c r="J8" s="523">
        <v>9.9979999999999993</v>
      </c>
      <c r="K8" s="524">
        <v>9.9969999999999999</v>
      </c>
      <c r="L8" s="525">
        <v>9.9979999999999993</v>
      </c>
      <c r="M8" s="524">
        <v>9.9990000000000006</v>
      </c>
      <c r="N8" s="524">
        <v>9.9969999999999999</v>
      </c>
      <c r="O8" s="13"/>
      <c r="P8" s="13"/>
      <c r="Q8" s="13"/>
      <c r="R8" s="13"/>
      <c r="S8" s="13"/>
      <c r="T8" s="13"/>
      <c r="U8" s="13"/>
    </row>
    <row r="9" spans="3:22" ht="18.75">
      <c r="D9" s="13"/>
      <c r="E9" s="394" t="s">
        <v>1174</v>
      </c>
      <c r="F9" s="2705">
        <f>STDEV(E8:N8)/G6</f>
        <v>1.1595018087285803E-4</v>
      </c>
      <c r="G9" s="2706"/>
      <c r="H9" s="2706"/>
      <c r="I9" s="2706"/>
      <c r="J9" s="2706"/>
      <c r="K9" s="2706"/>
      <c r="L9" s="2706"/>
      <c r="M9" s="2706"/>
      <c r="N9" s="2707"/>
      <c r="O9" s="13"/>
      <c r="P9" s="13"/>
      <c r="Q9" s="13"/>
      <c r="R9" s="13"/>
      <c r="S9" s="13"/>
      <c r="T9" s="13"/>
      <c r="U9" s="13"/>
    </row>
    <row r="11" spans="3:22">
      <c r="D11" s="512" t="s">
        <v>1175</v>
      </c>
      <c r="E11" s="153" t="s">
        <v>1176</v>
      </c>
    </row>
    <row r="13" spans="3:22">
      <c r="C13" s="513" t="s">
        <v>1177</v>
      </c>
      <c r="D13" s="2708" t="s">
        <v>1178</v>
      </c>
      <c r="E13" s="2709"/>
      <c r="F13" s="2709"/>
      <c r="G13" s="2709"/>
      <c r="H13" s="2709"/>
      <c r="I13" s="2709"/>
      <c r="J13" s="2709"/>
      <c r="K13" s="2710"/>
      <c r="L13" s="2711" t="s">
        <v>1249</v>
      </c>
      <c r="M13" s="2711"/>
      <c r="N13" s="2711" t="s">
        <v>1180</v>
      </c>
      <c r="O13" s="2711"/>
      <c r="P13" s="2711"/>
      <c r="Q13" s="2712" t="s">
        <v>1181</v>
      </c>
      <c r="R13" s="2712"/>
      <c r="S13" s="2712" t="s">
        <v>1182</v>
      </c>
      <c r="T13" s="2711"/>
      <c r="U13" s="2711"/>
      <c r="V13" s="2711"/>
    </row>
    <row r="14" spans="3:22">
      <c r="C14" s="513">
        <v>1</v>
      </c>
      <c r="D14" s="2713" t="s">
        <v>1250</v>
      </c>
      <c r="E14" s="2714"/>
      <c r="F14" s="2714"/>
      <c r="G14" s="2714"/>
      <c r="H14" s="2714"/>
      <c r="I14" s="2714"/>
      <c r="J14" s="2714"/>
      <c r="K14" s="2715"/>
      <c r="L14" s="2716">
        <v>5.3E-3</v>
      </c>
      <c r="M14" s="2716"/>
      <c r="N14" s="2713" t="s">
        <v>1251</v>
      </c>
      <c r="O14" s="2714"/>
      <c r="P14" s="2715"/>
      <c r="S14" s="2717">
        <f>L14/SQRT(3)</f>
        <v>3.0599564267050168E-3</v>
      </c>
      <c r="T14" s="2718"/>
      <c r="U14" s="2718"/>
      <c r="V14" s="2719"/>
    </row>
    <row r="15" spans="3:22">
      <c r="C15" s="513">
        <v>2</v>
      </c>
      <c r="D15" s="2708" t="s">
        <v>1252</v>
      </c>
      <c r="E15" s="2709"/>
      <c r="F15" s="2709"/>
      <c r="G15" s="2709"/>
      <c r="H15" s="2709"/>
      <c r="I15" s="2709"/>
      <c r="J15" s="2709"/>
      <c r="K15" s="2710"/>
      <c r="L15" s="2720">
        <v>1E-3</v>
      </c>
      <c r="M15" s="2720"/>
      <c r="N15" s="2713" t="s">
        <v>1184</v>
      </c>
      <c r="O15" s="2714"/>
      <c r="P15" s="2715"/>
      <c r="Q15" s="2711">
        <v>3</v>
      </c>
      <c r="R15" s="2711"/>
      <c r="S15" s="2717">
        <f>L15/Q15</f>
        <v>3.3333333333333332E-4</v>
      </c>
      <c r="T15" s="2718"/>
      <c r="U15" s="2718"/>
      <c r="V15" s="2719"/>
    </row>
    <row r="16" spans="3:22">
      <c r="C16" s="516" t="s">
        <v>1253</v>
      </c>
      <c r="D16" s="516"/>
      <c r="E16" s="516"/>
      <c r="F16" s="2721">
        <f>SQRT(SUMSQ(S14:V15))/G6</f>
        <v>3.0780585511722234E-4</v>
      </c>
      <c r="G16" s="2721"/>
      <c r="H16" s="2721"/>
      <c r="I16" s="2721"/>
      <c r="J16" s="2721"/>
      <c r="K16" s="2721"/>
      <c r="L16" s="2721"/>
      <c r="M16" s="2721"/>
      <c r="N16" s="2721"/>
      <c r="O16" s="2721"/>
      <c r="P16" s="2721"/>
      <c r="Q16" s="2721"/>
      <c r="R16" s="2721"/>
      <c r="S16" s="2721"/>
      <c r="T16" s="2721"/>
      <c r="U16" s="2721"/>
      <c r="V16" s="2721"/>
    </row>
    <row r="17" spans="4:9" ht="15.75">
      <c r="D17" s="505" t="s">
        <v>1186</v>
      </c>
      <c r="F17" s="526"/>
      <c r="G17" s="527"/>
      <c r="H17" s="528"/>
      <c r="I17" s="528"/>
    </row>
    <row r="18" spans="4:9" ht="18.75">
      <c r="D18" s="529"/>
      <c r="E18" s="517"/>
      <c r="F18" s="516" t="s">
        <v>1187</v>
      </c>
      <c r="G18" s="2722">
        <f>SQRT(SUMSQ(F9,F16))</f>
        <v>3.2892079424823989E-4</v>
      </c>
      <c r="H18" s="2722"/>
      <c r="I18" s="2722"/>
    </row>
    <row r="19" spans="4:9" ht="15.75">
      <c r="D19" s="505" t="s">
        <v>1188</v>
      </c>
      <c r="E19" s="28"/>
      <c r="F19" s="526"/>
      <c r="G19" s="527"/>
      <c r="H19" s="528"/>
      <c r="I19" s="528"/>
    </row>
    <row r="20" spans="4:9">
      <c r="D20" s="518" t="s">
        <v>1189</v>
      </c>
      <c r="E20" s="392">
        <f>G18*2</f>
        <v>6.5784158849647978E-4</v>
      </c>
      <c r="F20" s="527"/>
      <c r="G20" s="527"/>
      <c r="H20" s="527"/>
      <c r="I20" s="527"/>
    </row>
  </sheetData>
  <mergeCells count="18">
    <mergeCell ref="F16:V16"/>
    <mergeCell ref="G18:I18"/>
    <mergeCell ref="S13:V13"/>
    <mergeCell ref="D14:K14"/>
    <mergeCell ref="L14:M14"/>
    <mergeCell ref="N14:P14"/>
    <mergeCell ref="S14:V14"/>
    <mergeCell ref="D15:K15"/>
    <mergeCell ref="L15:M15"/>
    <mergeCell ref="N15:P15"/>
    <mergeCell ref="Q15:R15"/>
    <mergeCell ref="S15:V15"/>
    <mergeCell ref="Q13:R13"/>
    <mergeCell ref="F3:G3"/>
    <mergeCell ref="F9:N9"/>
    <mergeCell ref="D13:K13"/>
    <mergeCell ref="L13:M13"/>
    <mergeCell ref="N13:P13"/>
  </mergeCells>
  <phoneticPr fontId="107" type="noConversion"/>
  <pageMargins left="0.75" right="0.75" top="1" bottom="1" header="0.5" footer="0.5"/>
  <legacyDrawing r:id="rId1"/>
  <oleObjects>
    <oleObject progId="Equation.3" shapeId="124929" r:id="rId2"/>
  </oleObjects>
</worksheet>
</file>

<file path=xl/worksheets/sheet50.xml><?xml version="1.0" encoding="utf-8"?>
<worksheet xmlns="http://schemas.openxmlformats.org/spreadsheetml/2006/main" xmlns:r="http://schemas.openxmlformats.org/officeDocument/2006/relationships">
  <sheetPr>
    <tabColor rgb="FFFF0000"/>
  </sheetPr>
  <dimension ref="A1:AL51"/>
  <sheetViews>
    <sheetView workbookViewId="0"/>
  </sheetViews>
  <sheetFormatPr defaultRowHeight="14.25"/>
  <cols>
    <col min="1" max="1" width="16.375" customWidth="1"/>
    <col min="4" max="4" width="21.125" customWidth="1"/>
    <col min="11" max="11" width="17.25" customWidth="1"/>
    <col min="15" max="15" width="6.875" customWidth="1"/>
    <col min="16" max="16" width="3.875" customWidth="1"/>
    <col min="17" max="17" width="6.125" customWidth="1"/>
    <col min="19" max="19" width="1.375" customWidth="1"/>
    <col min="21" max="21" width="4.75" customWidth="1"/>
    <col min="23" max="23" width="4.125" customWidth="1"/>
  </cols>
  <sheetData>
    <row r="1" spans="1:37">
      <c r="A1" t="s">
        <v>51</v>
      </c>
      <c r="B1" s="702" t="s">
        <v>969</v>
      </c>
    </row>
    <row r="3" spans="1:37">
      <c r="A3" s="6" t="s">
        <v>32</v>
      </c>
      <c r="B3" s="6"/>
      <c r="C3" s="6"/>
      <c r="D3" s="2"/>
    </row>
    <row r="4" spans="1:37" ht="18.75">
      <c r="A4" s="699" t="s">
        <v>1920</v>
      </c>
      <c r="B4" s="6" t="s">
        <v>69</v>
      </c>
      <c r="C4" s="6" t="s">
        <v>70</v>
      </c>
      <c r="D4" s="700" t="s">
        <v>2953</v>
      </c>
    </row>
    <row r="5" spans="1:37">
      <c r="A5" s="698" t="s">
        <v>2270</v>
      </c>
      <c r="B5" s="6" t="s">
        <v>72</v>
      </c>
      <c r="C5" s="6" t="s">
        <v>72</v>
      </c>
      <c r="D5" s="700" t="s">
        <v>2954</v>
      </c>
      <c r="O5" s="803" t="s">
        <v>2955</v>
      </c>
    </row>
    <row r="6" spans="1:37">
      <c r="A6" s="698" t="s">
        <v>2956</v>
      </c>
      <c r="B6" s="6"/>
      <c r="C6" s="6"/>
      <c r="D6" s="700" t="s">
        <v>2278</v>
      </c>
    </row>
    <row r="7" spans="1:37">
      <c r="Y7" s="28"/>
    </row>
    <row r="8" spans="1:37">
      <c r="C8" s="702" t="s">
        <v>2957</v>
      </c>
      <c r="O8" s="702" t="s">
        <v>2281</v>
      </c>
      <c r="Y8" s="28"/>
      <c r="AA8" s="702" t="s">
        <v>2280</v>
      </c>
    </row>
    <row r="9" spans="1:37" ht="42.75">
      <c r="A9" s="2431" t="s">
        <v>1947</v>
      </c>
      <c r="B9" s="2431"/>
      <c r="C9" s="2431"/>
      <c r="D9" s="3092" t="s">
        <v>2958</v>
      </c>
      <c r="E9" s="3093"/>
      <c r="F9" s="2749" t="s">
        <v>1949</v>
      </c>
      <c r="G9" s="2727"/>
      <c r="H9" s="2749" t="s">
        <v>1948</v>
      </c>
      <c r="I9" s="2727"/>
      <c r="J9" s="1095" t="s">
        <v>2959</v>
      </c>
      <c r="K9" s="1093" t="s">
        <v>2960</v>
      </c>
      <c r="L9" s="1177" t="s">
        <v>2961</v>
      </c>
      <c r="M9" s="721"/>
      <c r="O9" s="2431" t="s">
        <v>1947</v>
      </c>
      <c r="P9" s="2431"/>
      <c r="Q9" s="2431"/>
      <c r="R9" s="3092" t="s">
        <v>2958</v>
      </c>
      <c r="S9" s="3093"/>
      <c r="T9" s="2749" t="s">
        <v>1949</v>
      </c>
      <c r="U9" s="2727"/>
      <c r="V9" s="2749" t="s">
        <v>1948</v>
      </c>
      <c r="W9" s="2727"/>
      <c r="X9" t="s">
        <v>2959</v>
      </c>
      <c r="AA9" s="2431" t="s">
        <v>1947</v>
      </c>
      <c r="AB9" s="2431"/>
      <c r="AC9" s="2431"/>
      <c r="AD9" s="3092" t="s">
        <v>2958</v>
      </c>
      <c r="AE9" s="3093"/>
      <c r="AF9" s="2749" t="s">
        <v>1949</v>
      </c>
      <c r="AG9" s="2727"/>
      <c r="AH9" s="2749" t="s">
        <v>1948</v>
      </c>
      <c r="AI9" s="2727"/>
      <c r="AJ9" s="1095" t="s">
        <v>2959</v>
      </c>
      <c r="AK9" s="1178" t="s">
        <v>2962</v>
      </c>
    </row>
    <row r="10" spans="1:37">
      <c r="A10" s="3124">
        <v>0</v>
      </c>
      <c r="B10" s="3127" t="s">
        <v>2963</v>
      </c>
      <c r="C10" s="3034">
        <v>2</v>
      </c>
      <c r="D10" s="3130">
        <v>3</v>
      </c>
      <c r="E10" s="3131"/>
      <c r="F10" s="3122">
        <v>1</v>
      </c>
      <c r="G10" s="3123"/>
      <c r="H10" s="3122">
        <v>0.997</v>
      </c>
      <c r="I10" s="3123"/>
      <c r="J10" s="1179">
        <f>(H10-F10)/F10*100</f>
        <v>-0.30000000000000027</v>
      </c>
      <c r="K10" s="407">
        <v>0.2</v>
      </c>
      <c r="L10" s="2339"/>
      <c r="M10" s="8"/>
      <c r="O10" s="3098">
        <v>0</v>
      </c>
      <c r="P10" s="3113" t="s">
        <v>2963</v>
      </c>
      <c r="Q10" s="3021">
        <v>2</v>
      </c>
      <c r="R10" s="3116">
        <v>3</v>
      </c>
      <c r="S10" s="3117"/>
      <c r="T10" s="3086">
        <v>1</v>
      </c>
      <c r="U10" s="3087"/>
      <c r="V10" s="3086">
        <v>0.999</v>
      </c>
      <c r="W10" s="3087"/>
      <c r="X10" s="1180">
        <f>(V10-T10)/T10*100</f>
        <v>-0.10000000000000009</v>
      </c>
      <c r="AA10" s="3098">
        <v>0</v>
      </c>
      <c r="AB10" s="3113" t="s">
        <v>2963</v>
      </c>
      <c r="AC10" s="3021">
        <v>2</v>
      </c>
      <c r="AD10" s="3116">
        <v>3</v>
      </c>
      <c r="AE10" s="3117"/>
      <c r="AF10" s="3086">
        <v>1</v>
      </c>
      <c r="AG10" s="3087"/>
      <c r="AH10" s="3086">
        <v>0.999</v>
      </c>
      <c r="AI10" s="3087"/>
      <c r="AJ10" s="1181">
        <f>(AH10-AF10)/AF10*100</f>
        <v>-0.10000000000000009</v>
      </c>
      <c r="AK10" s="1700">
        <v>5.0000000000000001E-4</v>
      </c>
    </row>
    <row r="11" spans="1:37">
      <c r="A11" s="3125"/>
      <c r="B11" s="3128"/>
      <c r="C11" s="3035"/>
      <c r="D11" s="3132"/>
      <c r="E11" s="3133"/>
      <c r="F11" s="3122">
        <v>2</v>
      </c>
      <c r="G11" s="3123"/>
      <c r="H11" s="3122">
        <v>1.9990000000000001</v>
      </c>
      <c r="I11" s="3123"/>
      <c r="J11" s="1179">
        <f t="shared" ref="J11:J32" si="0">(H11-F11)/F11*100</f>
        <v>-4.9999999999994493E-2</v>
      </c>
      <c r="K11" s="407">
        <v>0.2</v>
      </c>
      <c r="L11" s="2339"/>
      <c r="M11" s="8"/>
      <c r="O11" s="3099"/>
      <c r="P11" s="3114"/>
      <c r="Q11" s="3022"/>
      <c r="R11" s="3118"/>
      <c r="S11" s="3119"/>
      <c r="T11" s="3086">
        <v>2</v>
      </c>
      <c r="U11" s="3087"/>
      <c r="V11" s="3086">
        <v>2</v>
      </c>
      <c r="W11" s="3087"/>
      <c r="X11" s="1182">
        <f t="shared" ref="X11:X32" si="1">(V11-T11)/T11*100</f>
        <v>0</v>
      </c>
      <c r="AA11" s="3099"/>
      <c r="AB11" s="3114"/>
      <c r="AC11" s="3022"/>
      <c r="AD11" s="3118"/>
      <c r="AE11" s="3119"/>
      <c r="AF11" s="3086">
        <v>2</v>
      </c>
      <c r="AG11" s="3087"/>
      <c r="AH11" s="3086">
        <v>2</v>
      </c>
      <c r="AI11" s="3087"/>
      <c r="AJ11" s="1181">
        <f t="shared" ref="AJ11:AJ32" si="2">(AH11-AF11)/AF11*100</f>
        <v>0</v>
      </c>
      <c r="AK11" s="3094"/>
    </row>
    <row r="12" spans="1:37">
      <c r="A12" s="3125"/>
      <c r="B12" s="3128"/>
      <c r="C12" s="3035"/>
      <c r="D12" s="3132"/>
      <c r="E12" s="3133"/>
      <c r="F12" s="3122">
        <v>3</v>
      </c>
      <c r="G12" s="3123"/>
      <c r="H12" s="3122">
        <v>2.9980000000000002</v>
      </c>
      <c r="I12" s="3123"/>
      <c r="J12" s="1179">
        <f t="shared" si="0"/>
        <v>-6.6666666666659324E-2</v>
      </c>
      <c r="K12" s="407">
        <v>0.2</v>
      </c>
      <c r="L12" s="2339"/>
      <c r="M12" s="8"/>
      <c r="O12" s="3099"/>
      <c r="P12" s="3114"/>
      <c r="Q12" s="3022"/>
      <c r="R12" s="3118"/>
      <c r="S12" s="3119"/>
      <c r="T12" s="3086">
        <v>3</v>
      </c>
      <c r="U12" s="3087"/>
      <c r="V12" s="3086">
        <v>3</v>
      </c>
      <c r="W12" s="3087"/>
      <c r="X12" s="1182">
        <f t="shared" si="1"/>
        <v>0</v>
      </c>
      <c r="AA12" s="3099"/>
      <c r="AB12" s="3114"/>
      <c r="AC12" s="3022"/>
      <c r="AD12" s="3118"/>
      <c r="AE12" s="3119"/>
      <c r="AF12" s="3086">
        <v>3</v>
      </c>
      <c r="AG12" s="3087"/>
      <c r="AH12" s="3086">
        <v>3</v>
      </c>
      <c r="AI12" s="3087"/>
      <c r="AJ12" s="1181">
        <f t="shared" si="2"/>
        <v>0</v>
      </c>
      <c r="AK12" s="3094"/>
    </row>
    <row r="13" spans="1:37">
      <c r="A13" s="3125"/>
      <c r="B13" s="3128"/>
      <c r="C13" s="3035"/>
      <c r="D13" s="3132"/>
      <c r="E13" s="3133"/>
      <c r="F13" s="3122">
        <v>4</v>
      </c>
      <c r="G13" s="3123"/>
      <c r="H13" s="3122">
        <v>3.9969999999999999</v>
      </c>
      <c r="I13" s="3123"/>
      <c r="J13" s="1179">
        <f t="shared" si="0"/>
        <v>-7.5000000000002842E-2</v>
      </c>
      <c r="K13" s="407">
        <v>0.2</v>
      </c>
      <c r="L13" s="2339"/>
      <c r="M13" s="8"/>
      <c r="O13" s="3099"/>
      <c r="P13" s="3114"/>
      <c r="Q13" s="3022"/>
      <c r="R13" s="3118"/>
      <c r="S13" s="3119"/>
      <c r="T13" s="3086">
        <v>4</v>
      </c>
      <c r="U13" s="3087"/>
      <c r="V13" s="3086">
        <v>4</v>
      </c>
      <c r="W13" s="3087"/>
      <c r="X13" s="1182">
        <f t="shared" si="1"/>
        <v>0</v>
      </c>
      <c r="AA13" s="3099"/>
      <c r="AB13" s="3114"/>
      <c r="AC13" s="3022"/>
      <c r="AD13" s="3118"/>
      <c r="AE13" s="3119"/>
      <c r="AF13" s="3086">
        <v>4</v>
      </c>
      <c r="AG13" s="3087"/>
      <c r="AH13" s="3086">
        <v>4</v>
      </c>
      <c r="AI13" s="3087"/>
      <c r="AJ13" s="1181">
        <f t="shared" si="2"/>
        <v>0</v>
      </c>
      <c r="AK13" s="3094"/>
    </row>
    <row r="14" spans="1:37">
      <c r="A14" s="3125"/>
      <c r="B14" s="3128"/>
      <c r="C14" s="3035"/>
      <c r="D14" s="3132"/>
      <c r="E14" s="3133"/>
      <c r="F14" s="3122">
        <v>5</v>
      </c>
      <c r="G14" s="3123"/>
      <c r="H14" s="3122">
        <v>4.9980000000000002</v>
      </c>
      <c r="I14" s="3123"/>
      <c r="J14" s="1179">
        <f t="shared" si="0"/>
        <v>-3.9999999999995595E-2</v>
      </c>
      <c r="K14" s="407">
        <v>0.2</v>
      </c>
      <c r="L14" s="2339"/>
      <c r="M14" s="8"/>
      <c r="O14" s="3099"/>
      <c r="P14" s="3114"/>
      <c r="Q14" s="3022"/>
      <c r="R14" s="3118"/>
      <c r="S14" s="3119"/>
      <c r="T14" s="3086">
        <v>5</v>
      </c>
      <c r="U14" s="3087"/>
      <c r="V14" s="3086">
        <v>4.9980000000000002</v>
      </c>
      <c r="W14" s="3087"/>
      <c r="X14" s="1182">
        <f t="shared" si="1"/>
        <v>-3.9999999999995595E-2</v>
      </c>
      <c r="AA14" s="3099"/>
      <c r="AB14" s="3114"/>
      <c r="AC14" s="3022"/>
      <c r="AD14" s="3118"/>
      <c r="AE14" s="3119"/>
      <c r="AF14" s="3086">
        <v>5</v>
      </c>
      <c r="AG14" s="3087"/>
      <c r="AH14" s="3086">
        <v>4.9980000000000002</v>
      </c>
      <c r="AI14" s="3087"/>
      <c r="AJ14" s="1181">
        <f t="shared" si="2"/>
        <v>-3.9999999999995595E-2</v>
      </c>
      <c r="AK14" s="3094"/>
    </row>
    <row r="15" spans="1:37">
      <c r="A15" s="3125"/>
      <c r="B15" s="3128"/>
      <c r="C15" s="3035"/>
      <c r="D15" s="3132"/>
      <c r="E15" s="3133"/>
      <c r="F15" s="3122">
        <v>6</v>
      </c>
      <c r="G15" s="3123"/>
      <c r="H15" s="3122">
        <v>5.9969999999999999</v>
      </c>
      <c r="I15" s="3123"/>
      <c r="J15" s="1179">
        <f t="shared" si="0"/>
        <v>-5.0000000000001897E-2</v>
      </c>
      <c r="K15" s="407">
        <v>0.2</v>
      </c>
      <c r="L15" s="2339"/>
      <c r="M15" s="8"/>
      <c r="O15" s="3099"/>
      <c r="P15" s="3114"/>
      <c r="Q15" s="3022"/>
      <c r="R15" s="3118"/>
      <c r="S15" s="3119"/>
      <c r="T15" s="3086">
        <v>6</v>
      </c>
      <c r="U15" s="3087"/>
      <c r="V15" s="3086">
        <v>5.9980000000000002</v>
      </c>
      <c r="W15" s="3087"/>
      <c r="X15" s="1182">
        <f t="shared" si="1"/>
        <v>-3.3333333333329662E-2</v>
      </c>
      <c r="AA15" s="3099"/>
      <c r="AB15" s="3114"/>
      <c r="AC15" s="3022"/>
      <c r="AD15" s="3118"/>
      <c r="AE15" s="3119"/>
      <c r="AF15" s="3086">
        <v>6</v>
      </c>
      <c r="AG15" s="3087"/>
      <c r="AH15" s="3086">
        <v>5.9980000000000002</v>
      </c>
      <c r="AI15" s="3087"/>
      <c r="AJ15" s="1181">
        <f t="shared" si="2"/>
        <v>-3.3333333333329662E-2</v>
      </c>
      <c r="AK15" s="3094"/>
    </row>
    <row r="16" spans="1:37">
      <c r="A16" s="3125"/>
      <c r="B16" s="3128"/>
      <c r="C16" s="3035"/>
      <c r="D16" s="3132"/>
      <c r="E16" s="3133"/>
      <c r="F16" s="3122">
        <v>7</v>
      </c>
      <c r="G16" s="3123"/>
      <c r="H16" s="3122">
        <v>6.9969999999999999</v>
      </c>
      <c r="I16" s="3123"/>
      <c r="J16" s="1179">
        <f t="shared" si="0"/>
        <v>-4.2857142857144481E-2</v>
      </c>
      <c r="K16" s="407">
        <v>0.2</v>
      </c>
      <c r="L16" s="2339"/>
      <c r="M16" s="8"/>
      <c r="O16" s="3099"/>
      <c r="P16" s="3114"/>
      <c r="Q16" s="3022"/>
      <c r="R16" s="3118"/>
      <c r="S16" s="3119"/>
      <c r="T16" s="3086">
        <v>7</v>
      </c>
      <c r="U16" s="3087"/>
      <c r="V16" s="3086">
        <v>6.9969999999999999</v>
      </c>
      <c r="W16" s="3087"/>
      <c r="X16" s="1182">
        <f t="shared" si="1"/>
        <v>-4.2857142857144481E-2</v>
      </c>
      <c r="AA16" s="3099"/>
      <c r="AB16" s="3114"/>
      <c r="AC16" s="3022"/>
      <c r="AD16" s="3118"/>
      <c r="AE16" s="3119"/>
      <c r="AF16" s="3086">
        <v>7</v>
      </c>
      <c r="AG16" s="3087"/>
      <c r="AH16" s="3086">
        <v>6.9969999999999999</v>
      </c>
      <c r="AI16" s="3087"/>
      <c r="AJ16" s="1181">
        <f t="shared" si="2"/>
        <v>-4.2857142857144481E-2</v>
      </c>
      <c r="AK16" s="3094"/>
    </row>
    <row r="17" spans="1:37">
      <c r="A17" s="3125"/>
      <c r="B17" s="3128"/>
      <c r="C17" s="3035"/>
      <c r="D17" s="3132"/>
      <c r="E17" s="3133"/>
      <c r="F17" s="3122">
        <v>8</v>
      </c>
      <c r="G17" s="3123"/>
      <c r="H17" s="3122">
        <v>7.9960000000000004</v>
      </c>
      <c r="I17" s="3123"/>
      <c r="J17" s="1179">
        <f t="shared" si="0"/>
        <v>-4.9999999999994493E-2</v>
      </c>
      <c r="K17" s="407">
        <v>0.2</v>
      </c>
      <c r="L17" s="2339"/>
      <c r="M17" s="8"/>
      <c r="O17" s="3099"/>
      <c r="P17" s="3114"/>
      <c r="Q17" s="3022"/>
      <c r="R17" s="3118"/>
      <c r="S17" s="3119"/>
      <c r="T17" s="3086">
        <v>8</v>
      </c>
      <c r="U17" s="3087"/>
      <c r="V17" s="3086">
        <v>7.9969999999999999</v>
      </c>
      <c r="W17" s="3087"/>
      <c r="X17" s="1182">
        <f t="shared" si="1"/>
        <v>-3.7500000000001421E-2</v>
      </c>
      <c r="AA17" s="3099"/>
      <c r="AB17" s="3114"/>
      <c r="AC17" s="3022"/>
      <c r="AD17" s="3118"/>
      <c r="AE17" s="3119"/>
      <c r="AF17" s="3086">
        <v>8</v>
      </c>
      <c r="AG17" s="3087"/>
      <c r="AH17" s="3086">
        <v>7.9969999999999999</v>
      </c>
      <c r="AI17" s="3087"/>
      <c r="AJ17" s="1181">
        <f t="shared" si="2"/>
        <v>-3.7500000000001421E-2</v>
      </c>
      <c r="AK17" s="3094"/>
    </row>
    <row r="18" spans="1:37">
      <c r="A18" s="3125"/>
      <c r="B18" s="3128"/>
      <c r="C18" s="3035"/>
      <c r="D18" s="3132"/>
      <c r="E18" s="3133"/>
      <c r="F18" s="3122">
        <v>9</v>
      </c>
      <c r="G18" s="3123"/>
      <c r="H18" s="3122">
        <v>8.9960000000000004</v>
      </c>
      <c r="I18" s="3123"/>
      <c r="J18" s="1179">
        <f t="shared" si="0"/>
        <v>-4.4444444444439554E-2</v>
      </c>
      <c r="K18" s="407">
        <v>0.2</v>
      </c>
      <c r="L18" s="2339"/>
      <c r="M18" s="8"/>
      <c r="O18" s="3099"/>
      <c r="P18" s="3114"/>
      <c r="Q18" s="3022"/>
      <c r="R18" s="3118"/>
      <c r="S18" s="3119"/>
      <c r="T18" s="3086">
        <v>9</v>
      </c>
      <c r="U18" s="3087"/>
      <c r="V18" s="3086">
        <v>8.9979999999999993</v>
      </c>
      <c r="W18" s="3087"/>
      <c r="X18" s="1182">
        <f t="shared" si="1"/>
        <v>-2.2222222222229644E-2</v>
      </c>
      <c r="AA18" s="3099"/>
      <c r="AB18" s="3114"/>
      <c r="AC18" s="3022"/>
      <c r="AD18" s="3118"/>
      <c r="AE18" s="3119"/>
      <c r="AF18" s="3086">
        <v>9</v>
      </c>
      <c r="AG18" s="3087"/>
      <c r="AH18" s="3086">
        <v>8.9979999999999993</v>
      </c>
      <c r="AI18" s="3087"/>
      <c r="AJ18" s="1181">
        <f t="shared" si="2"/>
        <v>-2.2222222222229644E-2</v>
      </c>
      <c r="AK18" s="3094"/>
    </row>
    <row r="19" spans="1:37">
      <c r="A19" s="3126"/>
      <c r="B19" s="3129"/>
      <c r="C19" s="3036"/>
      <c r="D19" s="3134"/>
      <c r="E19" s="3135"/>
      <c r="F19" s="3122">
        <v>10</v>
      </c>
      <c r="G19" s="3123"/>
      <c r="H19" s="3122">
        <v>9.9969999999999999</v>
      </c>
      <c r="I19" s="3123"/>
      <c r="J19" s="1179">
        <f t="shared" si="0"/>
        <v>-3.0000000000001137E-2</v>
      </c>
      <c r="K19" s="407">
        <v>0.2</v>
      </c>
      <c r="L19" s="2339"/>
      <c r="M19" s="8"/>
      <c r="O19" s="3100"/>
      <c r="P19" s="3115"/>
      <c r="Q19" s="3023"/>
      <c r="R19" s="3120"/>
      <c r="S19" s="3121"/>
      <c r="T19" s="3086">
        <v>10</v>
      </c>
      <c r="U19" s="3087"/>
      <c r="V19" s="3086">
        <v>9.9960000000000004</v>
      </c>
      <c r="W19" s="3087"/>
      <c r="X19" s="1182">
        <f t="shared" si="1"/>
        <v>-3.9999999999995595E-2</v>
      </c>
      <c r="AA19" s="3100"/>
      <c r="AB19" s="3115"/>
      <c r="AC19" s="3023"/>
      <c r="AD19" s="3120"/>
      <c r="AE19" s="3121"/>
      <c r="AF19" s="3086">
        <v>10</v>
      </c>
      <c r="AG19" s="3087"/>
      <c r="AH19" s="3086">
        <v>9.9960000000000004</v>
      </c>
      <c r="AI19" s="3087"/>
      <c r="AJ19" s="1181">
        <f t="shared" si="2"/>
        <v>-3.9999999999995595E-2</v>
      </c>
      <c r="AK19" s="3095"/>
    </row>
    <row r="20" spans="1:37">
      <c r="A20" s="3110">
        <v>0.03</v>
      </c>
      <c r="B20" s="3113" t="s">
        <v>2963</v>
      </c>
      <c r="C20" s="3021">
        <v>6</v>
      </c>
      <c r="D20" s="3116">
        <v>1</v>
      </c>
      <c r="E20" s="3117"/>
      <c r="F20" s="3086">
        <v>2</v>
      </c>
      <c r="G20" s="3087"/>
      <c r="H20" s="3086">
        <v>1.996</v>
      </c>
      <c r="I20" s="3087"/>
      <c r="J20" s="1181">
        <f t="shared" si="0"/>
        <v>-0.20000000000000018</v>
      </c>
      <c r="K20" s="406">
        <v>0.2</v>
      </c>
      <c r="L20" s="2745"/>
      <c r="M20" s="8"/>
      <c r="O20" s="3110">
        <v>0.03</v>
      </c>
      <c r="P20" s="3113" t="s">
        <v>2963</v>
      </c>
      <c r="Q20" s="3021">
        <v>6</v>
      </c>
      <c r="R20" s="3116">
        <v>1</v>
      </c>
      <c r="S20" s="3117"/>
      <c r="T20" s="3086">
        <v>2</v>
      </c>
      <c r="U20" s="3087"/>
      <c r="V20" s="3086">
        <v>1.996</v>
      </c>
      <c r="W20" s="3087"/>
      <c r="X20" s="1182">
        <f t="shared" si="1"/>
        <v>-0.20000000000000018</v>
      </c>
      <c r="AA20" s="3110">
        <v>0.03</v>
      </c>
      <c r="AB20" s="3113" t="s">
        <v>2963</v>
      </c>
      <c r="AC20" s="3021">
        <v>6</v>
      </c>
      <c r="AD20" s="3116">
        <v>1</v>
      </c>
      <c r="AE20" s="3117"/>
      <c r="AF20" s="3086">
        <v>2</v>
      </c>
      <c r="AG20" s="3087"/>
      <c r="AH20" s="3086">
        <v>1.996</v>
      </c>
      <c r="AI20" s="3087"/>
      <c r="AJ20" s="1181">
        <f t="shared" si="2"/>
        <v>-0.20000000000000018</v>
      </c>
      <c r="AK20" s="1700">
        <v>5.0000000000000001E-4</v>
      </c>
    </row>
    <row r="21" spans="1:37">
      <c r="A21" s="3111"/>
      <c r="B21" s="3114"/>
      <c r="C21" s="3022"/>
      <c r="D21" s="3118"/>
      <c r="E21" s="3119"/>
      <c r="F21" s="3086">
        <v>4</v>
      </c>
      <c r="G21" s="3087"/>
      <c r="H21" s="3086">
        <v>3.996</v>
      </c>
      <c r="I21" s="3087"/>
      <c r="J21" s="1181">
        <f t="shared" si="0"/>
        <v>-0.10000000000000009</v>
      </c>
      <c r="K21" s="406">
        <v>0.2</v>
      </c>
      <c r="L21" s="2339"/>
      <c r="M21" s="8"/>
      <c r="O21" s="3111"/>
      <c r="P21" s="3114"/>
      <c r="Q21" s="3022"/>
      <c r="R21" s="3118"/>
      <c r="S21" s="3119"/>
      <c r="T21" s="3086">
        <v>4</v>
      </c>
      <c r="U21" s="3087"/>
      <c r="V21" s="3086">
        <v>3.9950000000000001</v>
      </c>
      <c r="W21" s="3087"/>
      <c r="X21" s="1182">
        <f t="shared" si="1"/>
        <v>-0.12499999999999734</v>
      </c>
      <c r="AA21" s="3111"/>
      <c r="AB21" s="3114"/>
      <c r="AC21" s="3022"/>
      <c r="AD21" s="3118"/>
      <c r="AE21" s="3119"/>
      <c r="AF21" s="3086">
        <v>4</v>
      </c>
      <c r="AG21" s="3087"/>
      <c r="AH21" s="3086">
        <v>3.9950000000000001</v>
      </c>
      <c r="AI21" s="3087"/>
      <c r="AJ21" s="1181">
        <f t="shared" si="2"/>
        <v>-0.12499999999999734</v>
      </c>
      <c r="AK21" s="3094"/>
    </row>
    <row r="22" spans="1:37">
      <c r="A22" s="3111"/>
      <c r="B22" s="3114"/>
      <c r="C22" s="3022"/>
      <c r="D22" s="3118"/>
      <c r="E22" s="3119"/>
      <c r="F22" s="3086">
        <v>6</v>
      </c>
      <c r="G22" s="3087"/>
      <c r="H22" s="3086">
        <v>5.9889999999999999</v>
      </c>
      <c r="I22" s="3087"/>
      <c r="J22" s="1181">
        <f t="shared" si="0"/>
        <v>-0.18333333333333535</v>
      </c>
      <c r="K22" s="406">
        <v>0.2</v>
      </c>
      <c r="L22" s="2339"/>
      <c r="M22" s="8"/>
      <c r="O22" s="3111"/>
      <c r="P22" s="3114"/>
      <c r="Q22" s="3022"/>
      <c r="R22" s="3118"/>
      <c r="S22" s="3119"/>
      <c r="T22" s="3086">
        <v>6</v>
      </c>
      <c r="U22" s="3087"/>
      <c r="V22" s="3086">
        <v>5.9939999999999998</v>
      </c>
      <c r="W22" s="3087"/>
      <c r="X22" s="1182">
        <f t="shared" si="1"/>
        <v>-0.10000000000000379</v>
      </c>
      <c r="AA22" s="3111"/>
      <c r="AB22" s="3114"/>
      <c r="AC22" s="3022"/>
      <c r="AD22" s="3118"/>
      <c r="AE22" s="3119"/>
      <c r="AF22" s="3086">
        <v>6</v>
      </c>
      <c r="AG22" s="3087"/>
      <c r="AH22" s="3086">
        <v>5.9939999999999998</v>
      </c>
      <c r="AI22" s="3087"/>
      <c r="AJ22" s="1181">
        <f t="shared" si="2"/>
        <v>-0.10000000000000379</v>
      </c>
      <c r="AK22" s="3094"/>
    </row>
    <row r="23" spans="1:37">
      <c r="A23" s="3111"/>
      <c r="B23" s="3114"/>
      <c r="C23" s="3022"/>
      <c r="D23" s="3118"/>
      <c r="E23" s="3119"/>
      <c r="F23" s="3086">
        <v>8</v>
      </c>
      <c r="G23" s="3087"/>
      <c r="H23" s="3086">
        <v>7.9909999999999997</v>
      </c>
      <c r="I23" s="3087"/>
      <c r="J23" s="1181">
        <f t="shared" si="0"/>
        <v>-0.11250000000000426</v>
      </c>
      <c r="K23" s="406">
        <v>0.2</v>
      </c>
      <c r="L23" s="2339"/>
      <c r="M23" s="8"/>
      <c r="O23" s="3111"/>
      <c r="P23" s="3114"/>
      <c r="Q23" s="3022"/>
      <c r="R23" s="3118"/>
      <c r="S23" s="3119"/>
      <c r="T23" s="3086">
        <v>8</v>
      </c>
      <c r="U23" s="3087"/>
      <c r="V23" s="3086">
        <v>7.9950000000000001</v>
      </c>
      <c r="W23" s="3087"/>
      <c r="X23" s="1182">
        <f t="shared" si="1"/>
        <v>-6.2499999999998668E-2</v>
      </c>
      <c r="AA23" s="3111"/>
      <c r="AB23" s="3114"/>
      <c r="AC23" s="3022"/>
      <c r="AD23" s="3118"/>
      <c r="AE23" s="3119"/>
      <c r="AF23" s="3086">
        <v>8</v>
      </c>
      <c r="AG23" s="3087"/>
      <c r="AH23" s="3086">
        <v>7.9950000000000001</v>
      </c>
      <c r="AI23" s="3087"/>
      <c r="AJ23" s="1181">
        <f t="shared" si="2"/>
        <v>-6.2499999999998668E-2</v>
      </c>
      <c r="AK23" s="3094"/>
    </row>
    <row r="24" spans="1:37">
      <c r="A24" s="3112"/>
      <c r="B24" s="3115"/>
      <c r="C24" s="3023"/>
      <c r="D24" s="3120"/>
      <c r="E24" s="3121"/>
      <c r="F24" s="3086">
        <v>10</v>
      </c>
      <c r="G24" s="3087"/>
      <c r="H24" s="3086">
        <v>10</v>
      </c>
      <c r="I24" s="3087"/>
      <c r="J24" s="1181">
        <f t="shared" si="0"/>
        <v>0</v>
      </c>
      <c r="K24" s="406">
        <v>0.2</v>
      </c>
      <c r="L24" s="2746"/>
      <c r="M24" s="8"/>
      <c r="O24" s="3112"/>
      <c r="P24" s="3115"/>
      <c r="Q24" s="3023"/>
      <c r="R24" s="3120"/>
      <c r="S24" s="3121"/>
      <c r="T24" s="3086">
        <v>10</v>
      </c>
      <c r="U24" s="3087"/>
      <c r="V24" s="3086">
        <v>9.9920000000000009</v>
      </c>
      <c r="W24" s="3087"/>
      <c r="X24" s="1182">
        <f t="shared" si="1"/>
        <v>-7.9999999999991189E-2</v>
      </c>
      <c r="AA24" s="3112"/>
      <c r="AB24" s="3115"/>
      <c r="AC24" s="3023"/>
      <c r="AD24" s="3120"/>
      <c r="AE24" s="3121"/>
      <c r="AF24" s="3086">
        <v>10</v>
      </c>
      <c r="AG24" s="3087"/>
      <c r="AH24" s="3086">
        <v>9.9920000000000009</v>
      </c>
      <c r="AI24" s="3087"/>
      <c r="AJ24" s="1181">
        <f t="shared" si="2"/>
        <v>-7.9999999999991189E-2</v>
      </c>
      <c r="AK24" s="3095"/>
    </row>
    <row r="25" spans="1:37">
      <c r="A25" s="3074">
        <v>0.3</v>
      </c>
      <c r="B25" s="3101" t="s">
        <v>2963</v>
      </c>
      <c r="C25" s="3021">
        <v>60</v>
      </c>
      <c r="D25" s="3104">
        <v>100</v>
      </c>
      <c r="E25" s="3105"/>
      <c r="F25" s="3096">
        <v>20</v>
      </c>
      <c r="G25" s="3097"/>
      <c r="H25" s="3096">
        <v>19.989999999999998</v>
      </c>
      <c r="I25" s="3097"/>
      <c r="J25" s="1181">
        <f t="shared" si="0"/>
        <v>-5.0000000000007816E-2</v>
      </c>
      <c r="K25" s="406">
        <v>0.2</v>
      </c>
      <c r="L25" s="2745"/>
      <c r="M25" s="8"/>
      <c r="O25" s="3074">
        <v>0.3</v>
      </c>
      <c r="P25" s="3101" t="s">
        <v>2963</v>
      </c>
      <c r="Q25" s="3021">
        <v>60</v>
      </c>
      <c r="R25" s="3104">
        <v>100</v>
      </c>
      <c r="S25" s="3105"/>
      <c r="T25" s="3096">
        <v>20</v>
      </c>
      <c r="U25" s="3097"/>
      <c r="V25" s="3096">
        <v>19.98</v>
      </c>
      <c r="W25" s="3097"/>
      <c r="X25" s="1182">
        <f t="shared" si="1"/>
        <v>-9.9999999999997882E-2</v>
      </c>
      <c r="AA25" s="3074">
        <v>0.3</v>
      </c>
      <c r="AB25" s="3101" t="s">
        <v>2963</v>
      </c>
      <c r="AC25" s="3021">
        <v>60</v>
      </c>
      <c r="AD25" s="3104">
        <v>100</v>
      </c>
      <c r="AE25" s="3105"/>
      <c r="AF25" s="3096">
        <v>20</v>
      </c>
      <c r="AG25" s="3097"/>
      <c r="AH25" s="3096">
        <v>19.98</v>
      </c>
      <c r="AI25" s="3097"/>
      <c r="AJ25" s="1181">
        <f t="shared" si="2"/>
        <v>-9.9999999999997882E-2</v>
      </c>
      <c r="AK25" s="1700">
        <v>5.0000000000000001E-4</v>
      </c>
    </row>
    <row r="26" spans="1:37">
      <c r="A26" s="3076"/>
      <c r="B26" s="3102"/>
      <c r="C26" s="3022"/>
      <c r="D26" s="3106"/>
      <c r="E26" s="3107"/>
      <c r="F26" s="3096">
        <v>30</v>
      </c>
      <c r="G26" s="3097"/>
      <c r="H26" s="3096">
        <v>29.98</v>
      </c>
      <c r="I26" s="3097"/>
      <c r="J26" s="1181">
        <f t="shared" si="0"/>
        <v>-6.666666666666525E-2</v>
      </c>
      <c r="K26" s="406">
        <v>0.2</v>
      </c>
      <c r="L26" s="2339"/>
      <c r="M26" s="8"/>
      <c r="O26" s="3076"/>
      <c r="P26" s="3102"/>
      <c r="Q26" s="3022"/>
      <c r="R26" s="3106"/>
      <c r="S26" s="3107"/>
      <c r="T26" s="3096">
        <v>30</v>
      </c>
      <c r="U26" s="3097"/>
      <c r="V26" s="3096">
        <v>29.99</v>
      </c>
      <c r="W26" s="3097"/>
      <c r="X26" s="1182">
        <f t="shared" si="1"/>
        <v>-3.3333333333338544E-2</v>
      </c>
      <c r="AA26" s="3076"/>
      <c r="AB26" s="3102"/>
      <c r="AC26" s="3022"/>
      <c r="AD26" s="3106"/>
      <c r="AE26" s="3107"/>
      <c r="AF26" s="3096">
        <v>30</v>
      </c>
      <c r="AG26" s="3097"/>
      <c r="AH26" s="3096">
        <v>29.99</v>
      </c>
      <c r="AI26" s="3097"/>
      <c r="AJ26" s="1181">
        <f t="shared" si="2"/>
        <v>-3.3333333333338544E-2</v>
      </c>
      <c r="AK26" s="3094"/>
    </row>
    <row r="27" spans="1:37">
      <c r="A27" s="3076"/>
      <c r="B27" s="3102"/>
      <c r="C27" s="3022"/>
      <c r="D27" s="3106"/>
      <c r="E27" s="3107"/>
      <c r="F27" s="3096">
        <v>40</v>
      </c>
      <c r="G27" s="3097"/>
      <c r="H27" s="3096">
        <v>39.979999999999997</v>
      </c>
      <c r="I27" s="3097"/>
      <c r="J27" s="1181">
        <f t="shared" si="0"/>
        <v>-5.0000000000007816E-2</v>
      </c>
      <c r="K27" s="406">
        <v>0.2</v>
      </c>
      <c r="L27" s="2339"/>
      <c r="M27" s="8"/>
      <c r="O27" s="3076"/>
      <c r="P27" s="3102"/>
      <c r="Q27" s="3022"/>
      <c r="R27" s="3106"/>
      <c r="S27" s="3107"/>
      <c r="T27" s="3096">
        <v>40</v>
      </c>
      <c r="U27" s="3097"/>
      <c r="V27" s="3096">
        <v>39.979999999999997</v>
      </c>
      <c r="W27" s="3097"/>
      <c r="X27" s="1182">
        <f t="shared" si="1"/>
        <v>-5.0000000000007816E-2</v>
      </c>
      <c r="AA27" s="3076"/>
      <c r="AB27" s="3102"/>
      <c r="AC27" s="3022"/>
      <c r="AD27" s="3106"/>
      <c r="AE27" s="3107"/>
      <c r="AF27" s="3096">
        <v>40</v>
      </c>
      <c r="AG27" s="3097"/>
      <c r="AH27" s="3096">
        <v>39.979999999999997</v>
      </c>
      <c r="AI27" s="3097"/>
      <c r="AJ27" s="1181">
        <f t="shared" si="2"/>
        <v>-5.0000000000007816E-2</v>
      </c>
      <c r="AK27" s="3094"/>
    </row>
    <row r="28" spans="1:37">
      <c r="A28" s="3078"/>
      <c r="B28" s="3103"/>
      <c r="C28" s="3023"/>
      <c r="D28" s="3108"/>
      <c r="E28" s="3109"/>
      <c r="F28" s="3096">
        <v>50</v>
      </c>
      <c r="G28" s="3097"/>
      <c r="H28" s="3096">
        <v>49.97</v>
      </c>
      <c r="I28" s="3097"/>
      <c r="J28" s="1181">
        <f t="shared" si="0"/>
        <v>-6.0000000000002274E-2</v>
      </c>
      <c r="K28" s="406">
        <v>0.2</v>
      </c>
      <c r="L28" s="2746"/>
      <c r="M28" s="8"/>
      <c r="O28" s="3078"/>
      <c r="P28" s="3103"/>
      <c r="Q28" s="3023"/>
      <c r="R28" s="3108"/>
      <c r="S28" s="3109"/>
      <c r="T28" s="3096">
        <v>50</v>
      </c>
      <c r="U28" s="3097"/>
      <c r="V28" s="3096">
        <v>49.98</v>
      </c>
      <c r="W28" s="3097"/>
      <c r="X28" s="1182">
        <f t="shared" si="1"/>
        <v>-4.0000000000006253E-2</v>
      </c>
      <c r="AA28" s="3078"/>
      <c r="AB28" s="3103"/>
      <c r="AC28" s="3023"/>
      <c r="AD28" s="3108"/>
      <c r="AE28" s="3109"/>
      <c r="AF28" s="3096">
        <v>50</v>
      </c>
      <c r="AG28" s="3097"/>
      <c r="AH28" s="3096">
        <v>49.98</v>
      </c>
      <c r="AI28" s="3097"/>
      <c r="AJ28" s="1181">
        <f t="shared" si="2"/>
        <v>-4.0000000000006253E-2</v>
      </c>
      <c r="AK28" s="3095"/>
    </row>
    <row r="29" spans="1:37">
      <c r="A29" s="3098">
        <v>30</v>
      </c>
      <c r="B29" s="3101" t="s">
        <v>2963</v>
      </c>
      <c r="C29" s="3051">
        <v>20</v>
      </c>
      <c r="D29" s="3104">
        <v>5</v>
      </c>
      <c r="E29" s="3105"/>
      <c r="F29" s="3062">
        <v>1000</v>
      </c>
      <c r="G29" s="3063"/>
      <c r="H29" s="3062">
        <v>999.8</v>
      </c>
      <c r="I29" s="3063"/>
      <c r="J29" s="1181">
        <f t="shared" si="0"/>
        <v>-2.0000000000004545E-2</v>
      </c>
      <c r="K29" s="406">
        <v>0.2</v>
      </c>
      <c r="L29" s="2745"/>
      <c r="M29" s="8"/>
      <c r="O29" s="3098">
        <v>30</v>
      </c>
      <c r="P29" s="3101" t="s">
        <v>2963</v>
      </c>
      <c r="Q29" s="3051">
        <v>20</v>
      </c>
      <c r="R29" s="3104">
        <v>5</v>
      </c>
      <c r="S29" s="3105"/>
      <c r="T29" s="3062">
        <v>1000</v>
      </c>
      <c r="U29" s="3063"/>
      <c r="V29" s="3062">
        <v>999.8</v>
      </c>
      <c r="W29" s="3063"/>
      <c r="X29" s="1182">
        <f t="shared" si="1"/>
        <v>-2.0000000000004545E-2</v>
      </c>
      <c r="AA29" s="3098">
        <v>30</v>
      </c>
      <c r="AB29" s="3101" t="s">
        <v>2963</v>
      </c>
      <c r="AC29" s="3051">
        <v>20</v>
      </c>
      <c r="AD29" s="3104">
        <v>5</v>
      </c>
      <c r="AE29" s="3105"/>
      <c r="AF29" s="3062">
        <v>1000</v>
      </c>
      <c r="AG29" s="3063"/>
      <c r="AH29" s="3062">
        <v>999.8</v>
      </c>
      <c r="AI29" s="3063"/>
      <c r="AJ29" s="1181">
        <f t="shared" si="2"/>
        <v>-2.0000000000004545E-2</v>
      </c>
      <c r="AK29" s="1700">
        <v>5.0000000000000001E-4</v>
      </c>
    </row>
    <row r="30" spans="1:37">
      <c r="A30" s="3099"/>
      <c r="B30" s="3102"/>
      <c r="C30" s="3053"/>
      <c r="D30" s="3106"/>
      <c r="E30" s="3107"/>
      <c r="F30" s="3059">
        <v>2</v>
      </c>
      <c r="G30" s="3060"/>
      <c r="H30" s="3059">
        <v>1.9990000000000001</v>
      </c>
      <c r="I30" s="3060"/>
      <c r="J30" s="1181">
        <f t="shared" si="0"/>
        <v>-4.9999999999994493E-2</v>
      </c>
      <c r="K30" s="406">
        <v>0.2</v>
      </c>
      <c r="L30" s="2339"/>
      <c r="M30" s="8"/>
      <c r="O30" s="3099"/>
      <c r="P30" s="3102"/>
      <c r="Q30" s="3053"/>
      <c r="R30" s="3106"/>
      <c r="S30" s="3107"/>
      <c r="T30" s="3059">
        <v>2</v>
      </c>
      <c r="U30" s="3060"/>
      <c r="V30" s="3059">
        <v>1.9990000000000001</v>
      </c>
      <c r="W30" s="3060"/>
      <c r="X30" s="1182">
        <f t="shared" si="1"/>
        <v>-4.9999999999994493E-2</v>
      </c>
      <c r="AA30" s="3099"/>
      <c r="AB30" s="3102"/>
      <c r="AC30" s="3053"/>
      <c r="AD30" s="3106"/>
      <c r="AE30" s="3107"/>
      <c r="AF30" s="3059">
        <v>2</v>
      </c>
      <c r="AG30" s="3060"/>
      <c r="AH30" s="3059">
        <v>1.9990000000000001</v>
      </c>
      <c r="AI30" s="3060"/>
      <c r="AJ30" s="1181">
        <f t="shared" si="2"/>
        <v>-4.9999999999994493E-2</v>
      </c>
      <c r="AK30" s="3094"/>
    </row>
    <row r="31" spans="1:37">
      <c r="A31" s="3099"/>
      <c r="B31" s="3102"/>
      <c r="C31" s="3053"/>
      <c r="D31" s="3106"/>
      <c r="E31" s="3107"/>
      <c r="F31" s="3059">
        <v>10</v>
      </c>
      <c r="G31" s="3060"/>
      <c r="H31" s="3059">
        <v>9.9990000000000006</v>
      </c>
      <c r="I31" s="3060"/>
      <c r="J31" s="1181">
        <f t="shared" si="0"/>
        <v>-9.9999999999944578E-3</v>
      </c>
      <c r="K31" s="406">
        <v>0.2</v>
      </c>
      <c r="L31" s="2339"/>
      <c r="M31" s="8"/>
      <c r="O31" s="3099"/>
      <c r="P31" s="3102"/>
      <c r="Q31" s="3053"/>
      <c r="R31" s="3106"/>
      <c r="S31" s="3107"/>
      <c r="T31" s="3059">
        <v>10</v>
      </c>
      <c r="U31" s="3060"/>
      <c r="V31" s="3059">
        <v>9.9979999999999993</v>
      </c>
      <c r="W31" s="3060"/>
      <c r="X31" s="1182">
        <f t="shared" si="1"/>
        <v>-2.0000000000006679E-2</v>
      </c>
      <c r="AA31" s="3099"/>
      <c r="AB31" s="3102"/>
      <c r="AC31" s="3053"/>
      <c r="AD31" s="3106"/>
      <c r="AE31" s="3107"/>
      <c r="AF31" s="3059">
        <v>10</v>
      </c>
      <c r="AG31" s="3060"/>
      <c r="AH31" s="3059">
        <v>9.9979999999999993</v>
      </c>
      <c r="AI31" s="3060"/>
      <c r="AJ31" s="1181">
        <f t="shared" si="2"/>
        <v>-2.0000000000006679E-2</v>
      </c>
      <c r="AK31" s="3094"/>
    </row>
    <row r="32" spans="1:37">
      <c r="A32" s="3100"/>
      <c r="B32" s="3103"/>
      <c r="C32" s="3055"/>
      <c r="D32" s="3108"/>
      <c r="E32" s="3109"/>
      <c r="F32" s="3048">
        <v>20</v>
      </c>
      <c r="G32" s="3049"/>
      <c r="H32" s="3048">
        <v>19.989999999999998</v>
      </c>
      <c r="I32" s="3049"/>
      <c r="J32" s="1181">
        <f t="shared" si="0"/>
        <v>-5.0000000000007816E-2</v>
      </c>
      <c r="K32" s="406">
        <v>0.2</v>
      </c>
      <c r="L32" s="2746"/>
      <c r="M32" s="8"/>
      <c r="O32" s="3100"/>
      <c r="P32" s="3103"/>
      <c r="Q32" s="3055"/>
      <c r="R32" s="3108"/>
      <c r="S32" s="3109"/>
      <c r="T32" s="3048">
        <v>20</v>
      </c>
      <c r="U32" s="3049"/>
      <c r="V32" s="3048">
        <v>19.989999999999998</v>
      </c>
      <c r="W32" s="3049"/>
      <c r="X32" s="1182">
        <f t="shared" si="1"/>
        <v>-5.0000000000007816E-2</v>
      </c>
      <c r="AA32" s="3100"/>
      <c r="AB32" s="3103"/>
      <c r="AC32" s="3055"/>
      <c r="AD32" s="3108"/>
      <c r="AE32" s="3109"/>
      <c r="AF32" s="3048">
        <v>20</v>
      </c>
      <c r="AG32" s="3049"/>
      <c r="AH32" s="3048">
        <v>19.989999999999998</v>
      </c>
      <c r="AI32" s="3049"/>
      <c r="AJ32" s="1181">
        <f t="shared" si="2"/>
        <v>-5.0000000000007816E-2</v>
      </c>
      <c r="AK32" s="3095"/>
    </row>
    <row r="33" spans="1:38">
      <c r="M33" s="28"/>
    </row>
    <row r="34" spans="1:38">
      <c r="M34" s="28"/>
      <c r="N34" s="702" t="s">
        <v>2281</v>
      </c>
      <c r="AA34" s="702" t="s">
        <v>2280</v>
      </c>
    </row>
    <row r="35" spans="1:38" ht="15.75" customHeight="1">
      <c r="A35" s="2431" t="s">
        <v>1947</v>
      </c>
      <c r="B35" s="2431"/>
      <c r="C35" s="3092" t="s">
        <v>2958</v>
      </c>
      <c r="D35" s="3093"/>
      <c r="E35" s="2749" t="s">
        <v>1949</v>
      </c>
      <c r="F35" s="2727"/>
      <c r="G35" s="2749" t="s">
        <v>1948</v>
      </c>
      <c r="H35" s="2727"/>
      <c r="I35" s="3090" t="s">
        <v>2959</v>
      </c>
      <c r="J35" s="3091"/>
      <c r="K35" s="2493" t="s">
        <v>2964</v>
      </c>
      <c r="L35" s="2611"/>
      <c r="M35" s="1183"/>
      <c r="N35" s="2431" t="s">
        <v>1947</v>
      </c>
      <c r="O35" s="2431"/>
      <c r="P35" s="2493" t="s">
        <v>2958</v>
      </c>
      <c r="Q35" s="2611"/>
      <c r="R35" s="2749" t="s">
        <v>1949</v>
      </c>
      <c r="S35" s="2727"/>
      <c r="T35" s="2749" t="s">
        <v>1948</v>
      </c>
      <c r="U35" s="2727"/>
      <c r="V35" s="3090" t="s">
        <v>2959</v>
      </c>
      <c r="W35" s="3091"/>
      <c r="AA35" s="2431" t="s">
        <v>1947</v>
      </c>
      <c r="AB35" s="2431"/>
      <c r="AC35" s="2493" t="s">
        <v>2958</v>
      </c>
      <c r="AD35" s="2611"/>
      <c r="AE35" s="2749" t="s">
        <v>1949</v>
      </c>
      <c r="AF35" s="2727"/>
      <c r="AG35" s="2749" t="s">
        <v>1948</v>
      </c>
      <c r="AH35" s="2727"/>
      <c r="AI35" s="3090" t="s">
        <v>2959</v>
      </c>
      <c r="AJ35" s="3091"/>
      <c r="AK35" s="2493" t="s">
        <v>2964</v>
      </c>
      <c r="AL35" s="2611"/>
    </row>
    <row r="36" spans="1:38">
      <c r="A36" s="3074">
        <v>1.5</v>
      </c>
      <c r="B36" s="3075"/>
      <c r="C36" s="3080">
        <v>1</v>
      </c>
      <c r="D36" s="3081"/>
      <c r="E36" s="3086">
        <v>2</v>
      </c>
      <c r="F36" s="3087"/>
      <c r="G36" s="3086">
        <v>2.0009999999999999</v>
      </c>
      <c r="H36" s="3087"/>
      <c r="I36" s="2957">
        <f>(G36-E36)/E36*100</f>
        <v>4.9999999999994493E-2</v>
      </c>
      <c r="J36" s="2958"/>
      <c r="K36" s="3061">
        <v>5.0000000000000001E-4</v>
      </c>
      <c r="L36" s="2740"/>
      <c r="M36" s="8"/>
      <c r="N36" s="3074">
        <v>1.5</v>
      </c>
      <c r="O36" s="3075"/>
      <c r="P36" s="3080" t="e">
        <f>'[23]原始记录（数字电桥）'!O36</f>
        <v>#REF!</v>
      </c>
      <c r="Q36" s="3081"/>
      <c r="R36" s="3086" t="e">
        <f>'[23]原始记录（数字电桥）'!Q36:R36</f>
        <v>#REF!</v>
      </c>
      <c r="S36" s="3087"/>
      <c r="T36" s="3086" t="e">
        <f>'[23]原始记录（数字电桥）'!S36:T36</f>
        <v>#REF!</v>
      </c>
      <c r="U36" s="3087"/>
      <c r="V36" s="2957" t="e">
        <f>'[23]原始记录（数字电桥）'!U36:V36</f>
        <v>#REF!</v>
      </c>
      <c r="W36" s="2958"/>
      <c r="AA36" s="3074">
        <v>1.5</v>
      </c>
      <c r="AB36" s="3075"/>
      <c r="AC36" s="3080" t="e">
        <f>'[23]原始记录（数字电桥）'!AB36</f>
        <v>#REF!</v>
      </c>
      <c r="AD36" s="3081"/>
      <c r="AE36" s="3086" t="e">
        <f>'[23]原始记录（数字电桥）'!AD36:AE36</f>
        <v>#REF!</v>
      </c>
      <c r="AF36" s="3087"/>
      <c r="AG36" s="3086" t="e">
        <f>'[23]原始记录（数字电桥）'!AF36:AG36</f>
        <v>#REF!</v>
      </c>
      <c r="AH36" s="3087"/>
      <c r="AI36" s="2957" t="e">
        <f>'[23]原始记录（数字电桥）'!AH36:AI36</f>
        <v>#REF!</v>
      </c>
      <c r="AJ36" s="2958"/>
      <c r="AK36" s="3061">
        <v>5.0000000000000001E-4</v>
      </c>
      <c r="AL36" s="2740"/>
    </row>
    <row r="37" spans="1:38">
      <c r="A37" s="3076"/>
      <c r="B37" s="3077"/>
      <c r="C37" s="3082"/>
      <c r="D37" s="3083"/>
      <c r="E37" s="3086">
        <v>4</v>
      </c>
      <c r="F37" s="3087"/>
      <c r="G37" s="3086">
        <v>4.0010000000000003</v>
      </c>
      <c r="H37" s="3087"/>
      <c r="I37" s="2957">
        <f>(G37-E37)/E37*100</f>
        <v>2.5000000000008349E-2</v>
      </c>
      <c r="J37" s="2958"/>
      <c r="K37" s="2741"/>
      <c r="L37" s="2742"/>
      <c r="M37" s="8"/>
      <c r="N37" s="3076"/>
      <c r="O37" s="3077"/>
      <c r="P37" s="3082"/>
      <c r="Q37" s="3083"/>
      <c r="R37" s="3086" t="e">
        <f>'[23]原始记录（数字电桥）'!Q37:R37</f>
        <v>#REF!</v>
      </c>
      <c r="S37" s="3087"/>
      <c r="T37" s="3086" t="e">
        <f>'[23]原始记录（数字电桥）'!S37:T37</f>
        <v>#REF!</v>
      </c>
      <c r="U37" s="3087"/>
      <c r="V37" s="2957" t="e">
        <f>'[23]原始记录（数字电桥）'!U37:V37</f>
        <v>#REF!</v>
      </c>
      <c r="W37" s="2958"/>
      <c r="AA37" s="3076"/>
      <c r="AB37" s="3077"/>
      <c r="AC37" s="3082"/>
      <c r="AD37" s="3083"/>
      <c r="AE37" s="3086" t="e">
        <f>'[23]原始记录（数字电桥）'!AD37:AE37</f>
        <v>#REF!</v>
      </c>
      <c r="AF37" s="3087"/>
      <c r="AG37" s="3086" t="e">
        <f>'[23]原始记录（数字电桥）'!AF37:AG37</f>
        <v>#REF!</v>
      </c>
      <c r="AH37" s="3087"/>
      <c r="AI37" s="2957" t="e">
        <f>'[23]原始记录（数字电桥）'!AH37:AI37</f>
        <v>#REF!</v>
      </c>
      <c r="AJ37" s="2958"/>
      <c r="AK37" s="2741"/>
      <c r="AL37" s="2742"/>
    </row>
    <row r="38" spans="1:38">
      <c r="A38" s="3076"/>
      <c r="B38" s="3077"/>
      <c r="C38" s="3082"/>
      <c r="D38" s="3083"/>
      <c r="E38" s="3086">
        <v>6</v>
      </c>
      <c r="F38" s="3087"/>
      <c r="G38" s="3086">
        <v>6.0019999999999998</v>
      </c>
      <c r="H38" s="3087"/>
      <c r="I38" s="2957">
        <f t="shared" ref="I38:I46" si="3">(G38-E38)/E38*100</f>
        <v>3.3333333333329662E-2</v>
      </c>
      <c r="J38" s="2958"/>
      <c r="K38" s="2741"/>
      <c r="L38" s="2742"/>
      <c r="M38" s="8"/>
      <c r="N38" s="3076"/>
      <c r="O38" s="3077"/>
      <c r="P38" s="3082"/>
      <c r="Q38" s="3083"/>
      <c r="R38" s="3086" t="e">
        <f>'[23]原始记录（数字电桥）'!Q38:R38</f>
        <v>#REF!</v>
      </c>
      <c r="S38" s="3087"/>
      <c r="T38" s="3086" t="e">
        <f>'[23]原始记录（数字电桥）'!S38:T38</f>
        <v>#REF!</v>
      </c>
      <c r="U38" s="3087"/>
      <c r="V38" s="2957" t="e">
        <f>'[23]原始记录（数字电桥）'!U38:V38</f>
        <v>#REF!</v>
      </c>
      <c r="W38" s="2958"/>
      <c r="AA38" s="3076"/>
      <c r="AB38" s="3077"/>
      <c r="AC38" s="3082"/>
      <c r="AD38" s="3083"/>
      <c r="AE38" s="3086" t="e">
        <f>'[23]原始记录（数字电桥）'!AD38:AE38</f>
        <v>#REF!</v>
      </c>
      <c r="AF38" s="3087"/>
      <c r="AG38" s="3086" t="e">
        <f>'[23]原始记录（数字电桥）'!AF38:AG38</f>
        <v>#REF!</v>
      </c>
      <c r="AH38" s="3087"/>
      <c r="AI38" s="2957" t="e">
        <f>'[23]原始记录（数字电桥）'!AH38:AI38</f>
        <v>#REF!</v>
      </c>
      <c r="AJ38" s="2958"/>
      <c r="AK38" s="2741"/>
      <c r="AL38" s="2742"/>
    </row>
    <row r="39" spans="1:38">
      <c r="A39" s="3076"/>
      <c r="B39" s="3077"/>
      <c r="C39" s="3082"/>
      <c r="D39" s="3083"/>
      <c r="E39" s="3086">
        <v>8</v>
      </c>
      <c r="F39" s="3087"/>
      <c r="G39" s="3086">
        <v>8.0030000000000001</v>
      </c>
      <c r="H39" s="3087"/>
      <c r="I39" s="2957">
        <f t="shared" si="3"/>
        <v>3.7500000000001421E-2</v>
      </c>
      <c r="J39" s="2958"/>
      <c r="K39" s="2741"/>
      <c r="L39" s="2742"/>
      <c r="M39" s="8"/>
      <c r="N39" s="3076"/>
      <c r="O39" s="3077"/>
      <c r="P39" s="3082"/>
      <c r="Q39" s="3083"/>
      <c r="R39" s="3086" t="e">
        <f>'[23]原始记录（数字电桥）'!Q39:R39</f>
        <v>#REF!</v>
      </c>
      <c r="S39" s="3087"/>
      <c r="T39" s="3086" t="e">
        <f>'[23]原始记录（数字电桥）'!S39:T39</f>
        <v>#REF!</v>
      </c>
      <c r="U39" s="3087"/>
      <c r="V39" s="2957" t="e">
        <f>'[23]原始记录（数字电桥）'!U39:V39</f>
        <v>#REF!</v>
      </c>
      <c r="W39" s="2958"/>
      <c r="AA39" s="3076"/>
      <c r="AB39" s="3077"/>
      <c r="AC39" s="3082"/>
      <c r="AD39" s="3083"/>
      <c r="AE39" s="3086" t="e">
        <f>'[23]原始记录（数字电桥）'!AD39:AE39</f>
        <v>#REF!</v>
      </c>
      <c r="AF39" s="3087"/>
      <c r="AG39" s="3086" t="e">
        <f>'[23]原始记录（数字电桥）'!AF39:AG39</f>
        <v>#REF!</v>
      </c>
      <c r="AH39" s="3087"/>
      <c r="AI39" s="2957" t="e">
        <f>'[23]原始记录（数字电桥）'!AH39:AI39</f>
        <v>#REF!</v>
      </c>
      <c r="AJ39" s="2958"/>
      <c r="AK39" s="2741"/>
      <c r="AL39" s="2742"/>
    </row>
    <row r="40" spans="1:38">
      <c r="A40" s="3078"/>
      <c r="B40" s="3079"/>
      <c r="C40" s="3084"/>
      <c r="D40" s="3085"/>
      <c r="E40" s="3088">
        <v>10</v>
      </c>
      <c r="F40" s="3089"/>
      <c r="G40" s="3088">
        <v>9.9969999999999999</v>
      </c>
      <c r="H40" s="3089"/>
      <c r="I40" s="2957">
        <f t="shared" si="3"/>
        <v>-3.0000000000001137E-2</v>
      </c>
      <c r="J40" s="2958"/>
      <c r="K40" s="2743"/>
      <c r="L40" s="2744"/>
      <c r="M40" s="8"/>
      <c r="N40" s="3078"/>
      <c r="O40" s="3079"/>
      <c r="P40" s="3084"/>
      <c r="Q40" s="3085"/>
      <c r="R40" s="3088" t="e">
        <f>'[23]原始记录（数字电桥）'!Q40:R40</f>
        <v>#REF!</v>
      </c>
      <c r="S40" s="3089"/>
      <c r="T40" s="3088" t="e">
        <f>'[23]原始记录（数字电桥）'!S40:T40</f>
        <v>#REF!</v>
      </c>
      <c r="U40" s="3089"/>
      <c r="V40" s="2957" t="e">
        <f>'[23]原始记录（数字电桥）'!U40:V40</f>
        <v>#REF!</v>
      </c>
      <c r="W40" s="2958"/>
      <c r="AA40" s="3078"/>
      <c r="AB40" s="3079"/>
      <c r="AC40" s="3084"/>
      <c r="AD40" s="3085"/>
      <c r="AE40" s="3088" t="e">
        <f>'[23]原始记录（数字电桥）'!AD40:AE40</f>
        <v>#REF!</v>
      </c>
      <c r="AF40" s="3089"/>
      <c r="AG40" s="3088" t="e">
        <f>'[23]原始记录（数字电桥）'!AF40:AG40</f>
        <v>#REF!</v>
      </c>
      <c r="AH40" s="3089"/>
      <c r="AI40" s="2957" t="e">
        <f>'[23]原始记录（数字电桥）'!AH40:AI40</f>
        <v>#REF!</v>
      </c>
      <c r="AJ40" s="2958"/>
      <c r="AK40" s="2743"/>
      <c r="AL40" s="2744"/>
    </row>
    <row r="41" spans="1:38">
      <c r="A41" s="3067">
        <v>1.5</v>
      </c>
      <c r="B41" s="3068"/>
      <c r="C41" s="3066">
        <v>29.7</v>
      </c>
      <c r="D41" s="3066"/>
      <c r="E41" s="3062">
        <v>500</v>
      </c>
      <c r="F41" s="3063"/>
      <c r="G41" s="3062">
        <v>500</v>
      </c>
      <c r="H41" s="3063"/>
      <c r="I41" s="2957">
        <f t="shared" si="3"/>
        <v>0</v>
      </c>
      <c r="J41" s="2958"/>
      <c r="K41" s="3061">
        <v>1E-4</v>
      </c>
      <c r="L41" s="2740"/>
      <c r="M41" s="8"/>
      <c r="N41" s="3067">
        <v>1.5</v>
      </c>
      <c r="O41" s="3068"/>
      <c r="P41" s="3064" t="e">
        <f>'[23]原始记录（数字电桥）'!O41:P41</f>
        <v>#REF!</v>
      </c>
      <c r="Q41" s="3065"/>
      <c r="R41" s="3062" t="e">
        <f>'[23]原始记录（数字电桥）'!Q41:R41</f>
        <v>#REF!</v>
      </c>
      <c r="S41" s="3063"/>
      <c r="T41" s="3062" t="e">
        <f>'[23]原始记录（数字电桥）'!S41:T41</f>
        <v>#REF!</v>
      </c>
      <c r="U41" s="3063"/>
      <c r="V41" s="2957" t="e">
        <f>'[23]原始记录（数字电桥）'!U41:V41</f>
        <v>#REF!</v>
      </c>
      <c r="W41" s="2958"/>
      <c r="AA41" s="3067">
        <v>1.5</v>
      </c>
      <c r="AB41" s="3068"/>
      <c r="AC41" s="3064" t="e">
        <f>'[23]原始记录（数字电桥）'!AB41:AC41</f>
        <v>#REF!</v>
      </c>
      <c r="AD41" s="3065"/>
      <c r="AE41" s="3062" t="e">
        <f>'[23]原始记录（数字电桥）'!AD41:AE41</f>
        <v>#REF!</v>
      </c>
      <c r="AF41" s="3063"/>
      <c r="AG41" s="3062" t="e">
        <f>'[23]原始记录（数字电桥）'!AF41:AG41</f>
        <v>#REF!</v>
      </c>
      <c r="AH41" s="3063"/>
      <c r="AI41" s="2957" t="e">
        <f>'[23]原始记录（数字电桥）'!AH41:AI41</f>
        <v>#REF!</v>
      </c>
      <c r="AJ41" s="2958"/>
      <c r="AK41" s="3061">
        <v>1E-4</v>
      </c>
      <c r="AL41" s="2740"/>
    </row>
    <row r="42" spans="1:38">
      <c r="A42" s="3069"/>
      <c r="B42" s="3070"/>
      <c r="C42" s="3066">
        <v>14.8</v>
      </c>
      <c r="D42" s="3066"/>
      <c r="E42" s="3059">
        <v>1</v>
      </c>
      <c r="F42" s="3060"/>
      <c r="G42" s="3059">
        <v>1.0029999999999999</v>
      </c>
      <c r="H42" s="3060"/>
      <c r="I42" s="2957">
        <f t="shared" si="3"/>
        <v>0.29999999999998916</v>
      </c>
      <c r="J42" s="2958"/>
      <c r="K42" s="2741"/>
      <c r="L42" s="2742"/>
      <c r="M42" s="8"/>
      <c r="N42" s="3069"/>
      <c r="O42" s="3070"/>
      <c r="P42" s="3064" t="e">
        <f>'[23]原始记录（数字电桥）'!O42:P42</f>
        <v>#REF!</v>
      </c>
      <c r="Q42" s="3065"/>
      <c r="R42" s="3059" t="e">
        <f>'[23]原始记录（数字电桥）'!Q42:R42</f>
        <v>#REF!</v>
      </c>
      <c r="S42" s="3060"/>
      <c r="T42" s="3059" t="e">
        <f>'[23]原始记录（数字电桥）'!S42:T42</f>
        <v>#REF!</v>
      </c>
      <c r="U42" s="3060"/>
      <c r="V42" s="2957" t="e">
        <f>'[23]原始记录（数字电桥）'!U42:V42</f>
        <v>#REF!</v>
      </c>
      <c r="W42" s="2958"/>
      <c r="AA42" s="3069"/>
      <c r="AB42" s="3070"/>
      <c r="AC42" s="3064" t="e">
        <f>'[23]原始记录（数字电桥）'!AB42:AC42</f>
        <v>#REF!</v>
      </c>
      <c r="AD42" s="3065"/>
      <c r="AE42" s="3059" t="e">
        <f>'[23]原始记录（数字电桥）'!AD42:AE42</f>
        <v>#REF!</v>
      </c>
      <c r="AF42" s="3060"/>
      <c r="AG42" s="3059" t="e">
        <f>'[23]原始记录（数字电桥）'!AF42:AG42</f>
        <v>#REF!</v>
      </c>
      <c r="AH42" s="3060"/>
      <c r="AI42" s="2957" t="e">
        <f>'[23]原始记录（数字电桥）'!AH42:AI42</f>
        <v>#REF!</v>
      </c>
      <c r="AJ42" s="2958"/>
      <c r="AK42" s="2741"/>
      <c r="AL42" s="2742"/>
    </row>
    <row r="43" spans="1:38">
      <c r="A43" s="3071"/>
      <c r="B43" s="3072"/>
      <c r="C43" s="3073">
        <v>9.27</v>
      </c>
      <c r="D43" s="3073"/>
      <c r="E43" s="3059">
        <v>1.5</v>
      </c>
      <c r="F43" s="3060"/>
      <c r="G43" s="3059">
        <v>1.5002</v>
      </c>
      <c r="H43" s="3060"/>
      <c r="I43" s="2957">
        <f t="shared" si="3"/>
        <v>1.3333333333331865E-2</v>
      </c>
      <c r="J43" s="2958"/>
      <c r="K43" s="2743"/>
      <c r="L43" s="2744"/>
      <c r="M43" s="8"/>
      <c r="N43" s="3071"/>
      <c r="O43" s="3072"/>
      <c r="P43" s="3056" t="e">
        <f>'[23]原始记录（数字电桥）'!O43:P43</f>
        <v>#REF!</v>
      </c>
      <c r="Q43" s="3057"/>
      <c r="R43" s="3059" t="e">
        <f>'[23]原始记录（数字电桥）'!Q43:R43</f>
        <v>#REF!</v>
      </c>
      <c r="S43" s="3060"/>
      <c r="T43" s="3059" t="e">
        <f>'[23]原始记录（数字电桥）'!S43:T43</f>
        <v>#REF!</v>
      </c>
      <c r="U43" s="3060"/>
      <c r="V43" s="2957" t="e">
        <f>'[23]原始记录（数字电桥）'!U43:V43</f>
        <v>#REF!</v>
      </c>
      <c r="W43" s="2958"/>
      <c r="AA43" s="3071"/>
      <c r="AB43" s="3072"/>
      <c r="AC43" s="3056" t="e">
        <f>'[23]原始记录（数字电桥）'!AB43:AC43</f>
        <v>#REF!</v>
      </c>
      <c r="AD43" s="3057"/>
      <c r="AE43" s="3059" t="e">
        <f>'[23]原始记录（数字电桥）'!AD43:AE43</f>
        <v>#REF!</v>
      </c>
      <c r="AF43" s="3060"/>
      <c r="AG43" s="3059" t="e">
        <f>'[23]原始记录（数字电桥）'!AF43:AG43</f>
        <v>#REF!</v>
      </c>
      <c r="AH43" s="3060"/>
      <c r="AI43" s="2957" t="e">
        <f>'[23]原始记录（数字电桥）'!AH43:AI43</f>
        <v>#REF!</v>
      </c>
      <c r="AJ43" s="2958"/>
      <c r="AK43" s="2743"/>
      <c r="AL43" s="2744"/>
    </row>
    <row r="44" spans="1:38">
      <c r="A44" s="3050">
        <v>20</v>
      </c>
      <c r="B44" s="3051"/>
      <c r="C44" s="3058">
        <v>1.95</v>
      </c>
      <c r="D44" s="3058"/>
      <c r="E44" s="3059">
        <v>5</v>
      </c>
      <c r="F44" s="3060"/>
      <c r="G44" s="3059">
        <v>4.9989999999999997</v>
      </c>
      <c r="H44" s="3060"/>
      <c r="I44" s="2957">
        <f t="shared" si="3"/>
        <v>-2.0000000000006679E-2</v>
      </c>
      <c r="J44" s="2958"/>
      <c r="K44" s="3061">
        <v>1E-4</v>
      </c>
      <c r="L44" s="2740"/>
      <c r="M44" s="8"/>
      <c r="N44" s="3050">
        <v>20</v>
      </c>
      <c r="O44" s="3051"/>
      <c r="P44" s="3056" t="e">
        <f>'[23]原始记录（数字电桥）'!O44:P44</f>
        <v>#REF!</v>
      </c>
      <c r="Q44" s="3057"/>
      <c r="R44" s="3059" t="e">
        <f>'[23]原始记录（数字电桥）'!Q44:R44</f>
        <v>#REF!</v>
      </c>
      <c r="S44" s="3060"/>
      <c r="T44" s="3059" t="e">
        <f>'[23]原始记录（数字电桥）'!S44:T44</f>
        <v>#REF!</v>
      </c>
      <c r="U44" s="3060"/>
      <c r="V44" s="2957" t="e">
        <f>'[23]原始记录（数字电桥）'!U44:V44</f>
        <v>#REF!</v>
      </c>
      <c r="W44" s="2958"/>
      <c r="AA44" s="3050">
        <v>20</v>
      </c>
      <c r="AB44" s="3051"/>
      <c r="AC44" s="3056" t="e">
        <f>'[23]原始记录（数字电桥）'!AB44:AC44</f>
        <v>#REF!</v>
      </c>
      <c r="AD44" s="3057"/>
      <c r="AE44" s="3059" t="e">
        <f>'[23]原始记录（数字电桥）'!AD44:AE44</f>
        <v>#REF!</v>
      </c>
      <c r="AF44" s="3060"/>
      <c r="AG44" s="3059" t="e">
        <f>'[23]原始记录（数字电桥）'!AF44:AG44</f>
        <v>#REF!</v>
      </c>
      <c r="AH44" s="3060"/>
      <c r="AI44" s="2957" t="e">
        <f>'[23]原始记录（数字电桥）'!AH44:AI44</f>
        <v>#REF!</v>
      </c>
      <c r="AJ44" s="2958"/>
      <c r="AK44" s="3061">
        <v>1E-4</v>
      </c>
      <c r="AL44" s="2740"/>
    </row>
    <row r="45" spans="1:38">
      <c r="A45" s="3052"/>
      <c r="B45" s="3053"/>
      <c r="C45" s="3058">
        <v>1.28</v>
      </c>
      <c r="D45" s="3058"/>
      <c r="E45" s="3059">
        <v>10</v>
      </c>
      <c r="F45" s="3060"/>
      <c r="G45" s="3059">
        <v>9.9990000000000006</v>
      </c>
      <c r="H45" s="3060"/>
      <c r="I45" s="2957">
        <f>(G45-E45)/E45*100</f>
        <v>-9.9999999999944578E-3</v>
      </c>
      <c r="J45" s="2958"/>
      <c r="K45" s="2741"/>
      <c r="L45" s="2742"/>
      <c r="M45" s="8"/>
      <c r="N45" s="3052"/>
      <c r="O45" s="3053"/>
      <c r="P45" s="3056" t="e">
        <f>'[23]原始记录（数字电桥）'!O45:P45</f>
        <v>#REF!</v>
      </c>
      <c r="Q45" s="3057"/>
      <c r="R45" s="3059" t="e">
        <f>'[23]原始记录（数字电桥）'!Q45:R45</f>
        <v>#REF!</v>
      </c>
      <c r="S45" s="3060"/>
      <c r="T45" s="3059" t="e">
        <f>'[23]原始记录（数字电桥）'!S45:T45</f>
        <v>#REF!</v>
      </c>
      <c r="U45" s="3060"/>
      <c r="V45" s="2957" t="e">
        <f>'[23]原始记录（数字电桥）'!U45:V45</f>
        <v>#REF!</v>
      </c>
      <c r="W45" s="2958"/>
      <c r="AA45" s="3052"/>
      <c r="AB45" s="3053"/>
      <c r="AC45" s="3056" t="e">
        <f>'[23]原始记录（数字电桥）'!AB45:AC45</f>
        <v>#REF!</v>
      </c>
      <c r="AD45" s="3057"/>
      <c r="AE45" s="3059" t="e">
        <f>'[23]原始记录（数字电桥）'!AD45:AE45</f>
        <v>#REF!</v>
      </c>
      <c r="AF45" s="3060"/>
      <c r="AG45" s="3059" t="e">
        <f>'[23]原始记录（数字电桥）'!AF45:AG45</f>
        <v>#REF!</v>
      </c>
      <c r="AH45" s="3060"/>
      <c r="AI45" s="2957" t="e">
        <f>'[23]原始记录（数字电桥）'!AH45:AI45</f>
        <v>#REF!</v>
      </c>
      <c r="AJ45" s="2958"/>
      <c r="AK45" s="2741"/>
      <c r="AL45" s="2742"/>
    </row>
    <row r="46" spans="1:38">
      <c r="A46" s="3054"/>
      <c r="B46" s="3055"/>
      <c r="C46" s="3046">
        <v>910</v>
      </c>
      <c r="D46" s="3047"/>
      <c r="E46" s="3048">
        <v>15</v>
      </c>
      <c r="F46" s="3049"/>
      <c r="G46" s="3048">
        <v>14.98</v>
      </c>
      <c r="H46" s="3049"/>
      <c r="I46" s="2957">
        <f t="shared" si="3"/>
        <v>-0.1333333333333305</v>
      </c>
      <c r="J46" s="2958"/>
      <c r="K46" s="2743"/>
      <c r="L46" s="2744"/>
      <c r="M46" s="8"/>
      <c r="N46" s="3054"/>
      <c r="O46" s="3055"/>
      <c r="P46" s="3046" t="e">
        <f>'[23]原始记录（数字电桥）'!O46:P46</f>
        <v>#REF!</v>
      </c>
      <c r="Q46" s="3047"/>
      <c r="R46" s="3048" t="e">
        <f>'[23]原始记录（数字电桥）'!Q46:R46</f>
        <v>#REF!</v>
      </c>
      <c r="S46" s="3049"/>
      <c r="T46" s="3048" t="e">
        <f>'[23]原始记录（数字电桥）'!S46:T46</f>
        <v>#REF!</v>
      </c>
      <c r="U46" s="3049"/>
      <c r="V46" s="2957" t="e">
        <f>'[23]原始记录（数字电桥）'!U46:V46</f>
        <v>#REF!</v>
      </c>
      <c r="W46" s="2958"/>
      <c r="AA46" s="3054"/>
      <c r="AB46" s="3055"/>
      <c r="AC46" s="3046" t="e">
        <f>'[23]原始记录（数字电桥）'!AB46:AC46</f>
        <v>#REF!</v>
      </c>
      <c r="AD46" s="3047"/>
      <c r="AE46" s="3048" t="e">
        <f>'[23]原始记录（数字电桥）'!AD46:AE46</f>
        <v>#REF!</v>
      </c>
      <c r="AF46" s="3049"/>
      <c r="AG46" s="3048" t="e">
        <f>'[23]原始记录（数字电桥）'!AF46:AG46</f>
        <v>#REF!</v>
      </c>
      <c r="AH46" s="3049"/>
      <c r="AI46" s="2957" t="e">
        <f>'[23]原始记录（数字电桥）'!AH46:AI46</f>
        <v>#REF!</v>
      </c>
      <c r="AJ46" s="2958"/>
      <c r="AK46" s="2743"/>
      <c r="AL46" s="2744"/>
    </row>
    <row r="47" spans="1:38">
      <c r="M47" s="28"/>
    </row>
    <row r="48" spans="1:38">
      <c r="B48" s="1749" t="s">
        <v>2965</v>
      </c>
      <c r="C48" s="2917"/>
      <c r="D48" s="2917"/>
      <c r="E48" s="2917"/>
      <c r="F48" s="2917"/>
      <c r="G48" s="2917"/>
      <c r="M48" s="28"/>
    </row>
    <row r="49" spans="2:13">
      <c r="B49" s="2917"/>
      <c r="C49" s="2917"/>
      <c r="D49" s="2917"/>
      <c r="E49" s="2917"/>
      <c r="F49" s="2917"/>
      <c r="G49" s="2917"/>
      <c r="M49" s="28"/>
    </row>
    <row r="50" spans="2:13">
      <c r="B50" s="2917"/>
      <c r="C50" s="2917"/>
      <c r="D50" s="2917"/>
      <c r="E50" s="2917"/>
      <c r="F50" s="2917"/>
      <c r="G50" s="2917"/>
      <c r="M50" s="28"/>
    </row>
    <row r="51" spans="2:13">
      <c r="M51" s="28"/>
    </row>
  </sheetData>
  <mergeCells count="359">
    <mergeCell ref="F11:G11"/>
    <mergeCell ref="H11:I11"/>
    <mergeCell ref="F12:G12"/>
    <mergeCell ref="H12:I12"/>
    <mergeCell ref="F13:G13"/>
    <mergeCell ref="H13:I13"/>
    <mergeCell ref="A9:C9"/>
    <mergeCell ref="D9:E9"/>
    <mergeCell ref="F9:G9"/>
    <mergeCell ref="H9:I9"/>
    <mergeCell ref="A10:A19"/>
    <mergeCell ref="B10:B19"/>
    <mergeCell ref="C10:C19"/>
    <mergeCell ref="D10:E19"/>
    <mergeCell ref="F10:G10"/>
    <mergeCell ref="H10:I10"/>
    <mergeCell ref="F17:G17"/>
    <mergeCell ref="H17:I17"/>
    <mergeCell ref="F18:G18"/>
    <mergeCell ref="H18:I18"/>
    <mergeCell ref="F19:G19"/>
    <mergeCell ref="H19:I19"/>
    <mergeCell ref="F14:G14"/>
    <mergeCell ref="H14:I14"/>
    <mergeCell ref="F15:G15"/>
    <mergeCell ref="H15:I15"/>
    <mergeCell ref="F16:G16"/>
    <mergeCell ref="H16:I16"/>
    <mergeCell ref="A25:A28"/>
    <mergeCell ref="B25:B28"/>
    <mergeCell ref="C25:C28"/>
    <mergeCell ref="D25:E28"/>
    <mergeCell ref="F25:G25"/>
    <mergeCell ref="H25:I25"/>
    <mergeCell ref="A20:A24"/>
    <mergeCell ref="B20:B24"/>
    <mergeCell ref="C20:C24"/>
    <mergeCell ref="D20:E24"/>
    <mergeCell ref="F20:G20"/>
    <mergeCell ref="H20:I20"/>
    <mergeCell ref="F21:G21"/>
    <mergeCell ref="H21:I21"/>
    <mergeCell ref="F22:G22"/>
    <mergeCell ref="H22:I22"/>
    <mergeCell ref="F26:G26"/>
    <mergeCell ref="H26:I26"/>
    <mergeCell ref="F27:G27"/>
    <mergeCell ref="H27:I27"/>
    <mergeCell ref="F28:G28"/>
    <mergeCell ref="H28:I28"/>
    <mergeCell ref="F23:G23"/>
    <mergeCell ref="H23:I23"/>
    <mergeCell ref="F24:G24"/>
    <mergeCell ref="H24:I24"/>
    <mergeCell ref="F32:G32"/>
    <mergeCell ref="H32:I32"/>
    <mergeCell ref="A29:A32"/>
    <mergeCell ref="B29:B32"/>
    <mergeCell ref="C29:C32"/>
    <mergeCell ref="D29:E32"/>
    <mergeCell ref="F29:G29"/>
    <mergeCell ref="H29:I29"/>
    <mergeCell ref="F30:G30"/>
    <mergeCell ref="H30:I30"/>
    <mergeCell ref="F31:G31"/>
    <mergeCell ref="H31:I31"/>
    <mergeCell ref="AK10:AK19"/>
    <mergeCell ref="AF9:AG9"/>
    <mergeCell ref="AH9:AI9"/>
    <mergeCell ref="L10:L19"/>
    <mergeCell ref="O10:O19"/>
    <mergeCell ref="P10:P19"/>
    <mergeCell ref="Q10:Q19"/>
    <mergeCell ref="R10:S19"/>
    <mergeCell ref="T10:U10"/>
    <mergeCell ref="V10:W10"/>
    <mergeCell ref="AA10:AA19"/>
    <mergeCell ref="O9:Q9"/>
    <mergeCell ref="R9:S9"/>
    <mergeCell ref="T9:U9"/>
    <mergeCell ref="V9:W9"/>
    <mergeCell ref="AA9:AC9"/>
    <mergeCell ref="T11:U11"/>
    <mergeCell ref="V11:W11"/>
    <mergeCell ref="T17:U17"/>
    <mergeCell ref="AD9:AE9"/>
    <mergeCell ref="AF13:AG13"/>
    <mergeCell ref="AH13:AI13"/>
    <mergeCell ref="T14:U14"/>
    <mergeCell ref="V14:W14"/>
    <mergeCell ref="AF14:AG14"/>
    <mergeCell ref="AH14:AI14"/>
    <mergeCell ref="AD10:AE19"/>
    <mergeCell ref="AF10:AG10"/>
    <mergeCell ref="T15:U15"/>
    <mergeCell ref="V15:W15"/>
    <mergeCell ref="AF11:AG11"/>
    <mergeCell ref="AH11:AI11"/>
    <mergeCell ref="T12:U12"/>
    <mergeCell ref="V12:W12"/>
    <mergeCell ref="AF12:AG12"/>
    <mergeCell ref="AH12:AI12"/>
    <mergeCell ref="AB10:AB19"/>
    <mergeCell ref="AC10:AC19"/>
    <mergeCell ref="T13:U13"/>
    <mergeCell ref="V13:W13"/>
    <mergeCell ref="AH10:AI10"/>
    <mergeCell ref="V17:W17"/>
    <mergeCell ref="AF17:AG17"/>
    <mergeCell ref="AH17:AI17"/>
    <mergeCell ref="T18:U18"/>
    <mergeCell ref="V18:W18"/>
    <mergeCell ref="AF18:AG18"/>
    <mergeCell ref="AH18:AI18"/>
    <mergeCell ref="AF15:AG15"/>
    <mergeCell ref="AH15:AI15"/>
    <mergeCell ref="T16:U16"/>
    <mergeCell ref="V16:W16"/>
    <mergeCell ref="AF16:AG16"/>
    <mergeCell ref="AH16:AI16"/>
    <mergeCell ref="T19:U19"/>
    <mergeCell ref="V19:W19"/>
    <mergeCell ref="AF19:AG19"/>
    <mergeCell ref="AH19:AI19"/>
    <mergeCell ref="L20:L24"/>
    <mergeCell ref="O20:O24"/>
    <mergeCell ref="P20:P24"/>
    <mergeCell ref="Q20:Q24"/>
    <mergeCell ref="R20:S24"/>
    <mergeCell ref="T20:U20"/>
    <mergeCell ref="AK20:AK24"/>
    <mergeCell ref="T21:U21"/>
    <mergeCell ref="V21:W21"/>
    <mergeCell ref="AF21:AG21"/>
    <mergeCell ref="AH21:AI21"/>
    <mergeCell ref="T22:U22"/>
    <mergeCell ref="V22:W22"/>
    <mergeCell ref="AF22:AG22"/>
    <mergeCell ref="AH22:AI22"/>
    <mergeCell ref="V20:W20"/>
    <mergeCell ref="AA20:AA24"/>
    <mergeCell ref="AB20:AB24"/>
    <mergeCell ref="AC20:AC24"/>
    <mergeCell ref="AD20:AE24"/>
    <mergeCell ref="AF20:AG20"/>
    <mergeCell ref="T23:U23"/>
    <mergeCell ref="V23:W23"/>
    <mergeCell ref="AF23:AG23"/>
    <mergeCell ref="AH23:AI23"/>
    <mergeCell ref="T24:U24"/>
    <mergeCell ref="V24:W24"/>
    <mergeCell ref="AF24:AG24"/>
    <mergeCell ref="AH24:AI24"/>
    <mergeCell ref="AH20:AI20"/>
    <mergeCell ref="AH25:AI25"/>
    <mergeCell ref="AK25:AK28"/>
    <mergeCell ref="T26:U26"/>
    <mergeCell ref="V26:W26"/>
    <mergeCell ref="AF26:AG26"/>
    <mergeCell ref="AH26:AI26"/>
    <mergeCell ref="T27:U27"/>
    <mergeCell ref="V27:W27"/>
    <mergeCell ref="AF27:AG27"/>
    <mergeCell ref="AH27:AI27"/>
    <mergeCell ref="V25:W25"/>
    <mergeCell ref="AA25:AA28"/>
    <mergeCell ref="AB25:AB28"/>
    <mergeCell ref="AC25:AC28"/>
    <mergeCell ref="AD25:AE28"/>
    <mergeCell ref="AF25:AG25"/>
    <mergeCell ref="V28:W28"/>
    <mergeCell ref="AF28:AG28"/>
    <mergeCell ref="T25:U25"/>
    <mergeCell ref="T28:U28"/>
    <mergeCell ref="AH28:AI28"/>
    <mergeCell ref="L29:L32"/>
    <mergeCell ref="O29:O32"/>
    <mergeCell ref="P29:P32"/>
    <mergeCell ref="Q29:Q32"/>
    <mergeCell ref="R29:S32"/>
    <mergeCell ref="T29:U29"/>
    <mergeCell ref="V29:W29"/>
    <mergeCell ref="AA29:AA32"/>
    <mergeCell ref="AB29:AB32"/>
    <mergeCell ref="L25:L28"/>
    <mergeCell ref="O25:O28"/>
    <mergeCell ref="P25:P28"/>
    <mergeCell ref="Q25:Q28"/>
    <mergeCell ref="R25:S28"/>
    <mergeCell ref="V32:W32"/>
    <mergeCell ref="AF32:AG32"/>
    <mergeCell ref="AH32:AI32"/>
    <mergeCell ref="AC29:AC32"/>
    <mergeCell ref="AD29:AE32"/>
    <mergeCell ref="AF29:AG29"/>
    <mergeCell ref="AH29:AI29"/>
    <mergeCell ref="AK29:AK32"/>
    <mergeCell ref="T30:U30"/>
    <mergeCell ref="V30:W30"/>
    <mergeCell ref="AF30:AG30"/>
    <mergeCell ref="AH30:AI30"/>
    <mergeCell ref="T31:U31"/>
    <mergeCell ref="V31:W31"/>
    <mergeCell ref="AF31:AG31"/>
    <mergeCell ref="AH31:AI31"/>
    <mergeCell ref="T32:U32"/>
    <mergeCell ref="N35:O35"/>
    <mergeCell ref="P35:Q35"/>
    <mergeCell ref="R35:S35"/>
    <mergeCell ref="T35:U35"/>
    <mergeCell ref="A35:B35"/>
    <mergeCell ref="C35:D35"/>
    <mergeCell ref="E35:F35"/>
    <mergeCell ref="G35:H35"/>
    <mergeCell ref="I35:J35"/>
    <mergeCell ref="K35:L35"/>
    <mergeCell ref="AC35:AD35"/>
    <mergeCell ref="AE35:AF35"/>
    <mergeCell ref="AG35:AH35"/>
    <mergeCell ref="AI35:AJ35"/>
    <mergeCell ref="V35:W35"/>
    <mergeCell ref="AA35:AB35"/>
    <mergeCell ref="AA36:AB40"/>
    <mergeCell ref="AC36:AD40"/>
    <mergeCell ref="AK35:AL35"/>
    <mergeCell ref="AE36:AF36"/>
    <mergeCell ref="AG36:AH36"/>
    <mergeCell ref="AI36:AJ36"/>
    <mergeCell ref="AK36:AL40"/>
    <mergeCell ref="AE37:AF37"/>
    <mergeCell ref="AG37:AH37"/>
    <mergeCell ref="AI37:AJ37"/>
    <mergeCell ref="AE38:AF38"/>
    <mergeCell ref="AG38:AH38"/>
    <mergeCell ref="AI38:AJ38"/>
    <mergeCell ref="AE39:AF39"/>
    <mergeCell ref="AG39:AH39"/>
    <mergeCell ref="AI39:AJ39"/>
    <mergeCell ref="AG40:AH40"/>
    <mergeCell ref="AI40:AJ40"/>
    <mergeCell ref="R38:S38"/>
    <mergeCell ref="T38:U38"/>
    <mergeCell ref="V38:W38"/>
    <mergeCell ref="E37:F37"/>
    <mergeCell ref="G37:H37"/>
    <mergeCell ref="I37:J37"/>
    <mergeCell ref="R37:S37"/>
    <mergeCell ref="T37:U37"/>
    <mergeCell ref="V37:W37"/>
    <mergeCell ref="K36:L40"/>
    <mergeCell ref="N36:O40"/>
    <mergeCell ref="P36:Q40"/>
    <mergeCell ref="R36:S36"/>
    <mergeCell ref="T36:U36"/>
    <mergeCell ref="V36:W36"/>
    <mergeCell ref="E36:F36"/>
    <mergeCell ref="G36:H36"/>
    <mergeCell ref="I36:J36"/>
    <mergeCell ref="E40:F40"/>
    <mergeCell ref="G40:H40"/>
    <mergeCell ref="I40:J40"/>
    <mergeCell ref="R40:S40"/>
    <mergeCell ref="T40:U40"/>
    <mergeCell ref="V40:W40"/>
    <mergeCell ref="T39:U39"/>
    <mergeCell ref="V39:W39"/>
    <mergeCell ref="I41:J41"/>
    <mergeCell ref="K41:L43"/>
    <mergeCell ref="N41:O43"/>
    <mergeCell ref="P41:Q41"/>
    <mergeCell ref="AC41:AD41"/>
    <mergeCell ref="AE41:AF41"/>
    <mergeCell ref="AE43:AF43"/>
    <mergeCell ref="AI42:AJ42"/>
    <mergeCell ref="C43:D43"/>
    <mergeCell ref="R43:S43"/>
    <mergeCell ref="AC43:AD43"/>
    <mergeCell ref="AG43:AH43"/>
    <mergeCell ref="AI43:AJ43"/>
    <mergeCell ref="A36:B40"/>
    <mergeCell ref="C36:D40"/>
    <mergeCell ref="E43:F43"/>
    <mergeCell ref="G43:H43"/>
    <mergeCell ref="I43:J43"/>
    <mergeCell ref="P43:Q43"/>
    <mergeCell ref="E38:F38"/>
    <mergeCell ref="G38:H38"/>
    <mergeCell ref="I38:J38"/>
    <mergeCell ref="A41:B43"/>
    <mergeCell ref="C41:D41"/>
    <mergeCell ref="E41:F41"/>
    <mergeCell ref="G41:H41"/>
    <mergeCell ref="AE40:AF40"/>
    <mergeCell ref="E39:F39"/>
    <mergeCell ref="G39:H39"/>
    <mergeCell ref="I39:J39"/>
    <mergeCell ref="R39:S39"/>
    <mergeCell ref="C42:D42"/>
    <mergeCell ref="E42:F42"/>
    <mergeCell ref="G42:H42"/>
    <mergeCell ref="I42:J42"/>
    <mergeCell ref="P42:Q42"/>
    <mergeCell ref="R41:S41"/>
    <mergeCell ref="T41:U41"/>
    <mergeCell ref="V41:W41"/>
    <mergeCell ref="AA41:AB43"/>
    <mergeCell ref="R42:S42"/>
    <mergeCell ref="T42:U42"/>
    <mergeCell ref="V42:W42"/>
    <mergeCell ref="T43:U43"/>
    <mergeCell ref="V43:W43"/>
    <mergeCell ref="AG41:AH41"/>
    <mergeCell ref="AI41:AJ41"/>
    <mergeCell ref="AK44:AL46"/>
    <mergeCell ref="AC45:AD45"/>
    <mergeCell ref="AE45:AF45"/>
    <mergeCell ref="AG45:AH45"/>
    <mergeCell ref="AI45:AJ45"/>
    <mergeCell ref="T44:U44"/>
    <mergeCell ref="V44:W44"/>
    <mergeCell ref="T45:U45"/>
    <mergeCell ref="V45:W45"/>
    <mergeCell ref="T46:U46"/>
    <mergeCell ref="V46:W46"/>
    <mergeCell ref="AC46:AD46"/>
    <mergeCell ref="AE46:AF46"/>
    <mergeCell ref="AG46:AH46"/>
    <mergeCell ref="AI46:AJ46"/>
    <mergeCell ref="AE44:AF44"/>
    <mergeCell ref="AG44:AH44"/>
    <mergeCell ref="AI44:AJ44"/>
    <mergeCell ref="AK41:AL43"/>
    <mergeCell ref="AC42:AD42"/>
    <mergeCell ref="AE42:AF42"/>
    <mergeCell ref="AG42:AH42"/>
    <mergeCell ref="B48:G50"/>
    <mergeCell ref="C46:D46"/>
    <mergeCell ref="E46:F46"/>
    <mergeCell ref="G46:H46"/>
    <mergeCell ref="I46:J46"/>
    <mergeCell ref="P46:Q46"/>
    <mergeCell ref="R46:S46"/>
    <mergeCell ref="AA44:AB46"/>
    <mergeCell ref="AC44:AD44"/>
    <mergeCell ref="A44:B46"/>
    <mergeCell ref="C44:D44"/>
    <mergeCell ref="E44:F44"/>
    <mergeCell ref="G44:H44"/>
    <mergeCell ref="I44:J44"/>
    <mergeCell ref="R44:S44"/>
    <mergeCell ref="C45:D45"/>
    <mergeCell ref="E45:F45"/>
    <mergeCell ref="G45:H45"/>
    <mergeCell ref="I45:J45"/>
    <mergeCell ref="P45:Q45"/>
    <mergeCell ref="R45:S45"/>
    <mergeCell ref="K44:L46"/>
    <mergeCell ref="N44:O46"/>
    <mergeCell ref="P44:Q44"/>
  </mergeCells>
  <phoneticPr fontId="25" type="noConversion"/>
  <conditionalFormatting sqref="J10:J32">
    <cfRule type="expression" dxfId="42" priority="6" stopIfTrue="1">
      <formula>$J10&gt;$K10</formula>
    </cfRule>
  </conditionalFormatting>
  <conditionalFormatting sqref="X10:X32">
    <cfRule type="expression" dxfId="41" priority="5" stopIfTrue="1">
      <formula>$J10&gt;$K10</formula>
    </cfRule>
  </conditionalFormatting>
  <conditionalFormatting sqref="C46:D46">
    <cfRule type="expression" dxfId="40" priority="4" stopIfTrue="1">
      <formula>$I$32&gt;500</formula>
    </cfRule>
  </conditionalFormatting>
  <conditionalFormatting sqref="P46:Q46">
    <cfRule type="expression" dxfId="39" priority="3" stopIfTrue="1">
      <formula>$K$30&gt;500</formula>
    </cfRule>
  </conditionalFormatting>
  <conditionalFormatting sqref="AC46:AD46">
    <cfRule type="expression" dxfId="38" priority="2" stopIfTrue="1">
      <formula>$K$30&gt;500</formula>
    </cfRule>
  </conditionalFormatting>
  <conditionalFormatting sqref="AJ10:AJ32">
    <cfRule type="expression" dxfId="37" priority="1" stopIfTrue="1">
      <formula>$J10&gt;$K10</formula>
    </cfRule>
  </conditionalFormatting>
  <pageMargins left="0.75" right="0.75" top="1" bottom="1" header="0.5" footer="0.5"/>
  <drawing r:id="rId1"/>
  <legacyDrawing r:id="rId2"/>
</worksheet>
</file>

<file path=xl/worksheets/sheet51.xml><?xml version="1.0" encoding="utf-8"?>
<worksheet xmlns="http://schemas.openxmlformats.org/spreadsheetml/2006/main" xmlns:r="http://schemas.openxmlformats.org/officeDocument/2006/relationships">
  <dimension ref="C3:V20"/>
  <sheetViews>
    <sheetView workbookViewId="0"/>
  </sheetViews>
  <sheetFormatPr defaultRowHeight="14.25"/>
  <sheetData>
    <row r="3" spans="3:22">
      <c r="D3" s="454" t="s">
        <v>1165</v>
      </c>
      <c r="E3" s="435" t="s">
        <v>1197</v>
      </c>
      <c r="F3" s="2704" t="s">
        <v>1396</v>
      </c>
      <c r="G3" s="2704"/>
      <c r="H3" s="507"/>
      <c r="I3" s="8"/>
      <c r="J3" s="315"/>
      <c r="K3" s="315"/>
      <c r="L3" s="315"/>
      <c r="M3" s="315"/>
      <c r="N3" s="315"/>
      <c r="O3" s="508"/>
      <c r="P3" s="508"/>
      <c r="Q3" s="508"/>
      <c r="R3" s="508"/>
      <c r="S3" s="508"/>
      <c r="T3" s="508"/>
      <c r="U3" s="508"/>
    </row>
    <row r="4" spans="3:22">
      <c r="D4" s="13"/>
      <c r="E4" s="509"/>
      <c r="F4" s="395"/>
      <c r="G4" s="395"/>
      <c r="H4" s="395"/>
      <c r="I4" s="496"/>
      <c r="J4" s="315"/>
      <c r="K4" s="315"/>
      <c r="L4" s="315"/>
      <c r="M4" s="315"/>
      <c r="N4" s="315"/>
      <c r="O4" s="13"/>
      <c r="P4" s="13"/>
      <c r="Q4" s="13"/>
      <c r="R4" s="13"/>
      <c r="S4" s="13"/>
      <c r="T4" s="13"/>
      <c r="U4" s="13"/>
    </row>
    <row r="5" spans="3:22">
      <c r="D5" s="13"/>
      <c r="E5" s="510" t="s">
        <v>1167</v>
      </c>
      <c r="F5" s="13"/>
      <c r="G5" s="13" t="s">
        <v>1168</v>
      </c>
      <c r="H5" s="13"/>
      <c r="I5" s="13"/>
      <c r="J5" s="13"/>
      <c r="K5" s="13"/>
      <c r="L5" s="13"/>
      <c r="M5" s="13"/>
      <c r="N5" s="13"/>
      <c r="O5" s="13"/>
      <c r="P5" s="13"/>
      <c r="Q5" s="13"/>
      <c r="R5" s="13"/>
      <c r="S5" s="13"/>
      <c r="T5" s="13"/>
      <c r="U5" s="13"/>
    </row>
    <row r="6" spans="3:22">
      <c r="D6" s="13"/>
      <c r="E6" s="510"/>
      <c r="F6" s="510" t="s">
        <v>1199</v>
      </c>
      <c r="G6" s="510">
        <v>10</v>
      </c>
      <c r="H6" s="510" t="s">
        <v>1200</v>
      </c>
      <c r="I6" s="13"/>
      <c r="J6" s="13"/>
      <c r="K6" s="13"/>
      <c r="L6" s="13"/>
      <c r="M6" s="13"/>
      <c r="N6" s="13"/>
      <c r="O6" s="13"/>
      <c r="P6" s="13"/>
      <c r="Q6" s="13"/>
      <c r="R6" s="13"/>
      <c r="S6" s="13"/>
      <c r="T6" s="13"/>
      <c r="U6" s="13"/>
    </row>
    <row r="7" spans="3:22" ht="15.75">
      <c r="D7" s="13"/>
      <c r="E7" s="347" t="s">
        <v>1239</v>
      </c>
      <c r="F7" s="347" t="s">
        <v>1240</v>
      </c>
      <c r="G7" s="347" t="s">
        <v>1241</v>
      </c>
      <c r="H7" s="347" t="s">
        <v>1242</v>
      </c>
      <c r="I7" s="347" t="s">
        <v>1243</v>
      </c>
      <c r="J7" s="347" t="s">
        <v>1244</v>
      </c>
      <c r="K7" s="347" t="s">
        <v>1245</v>
      </c>
      <c r="L7" s="348" t="s">
        <v>1246</v>
      </c>
      <c r="M7" s="348" t="s">
        <v>1247</v>
      </c>
      <c r="N7" s="347" t="s">
        <v>1248</v>
      </c>
      <c r="O7" s="13"/>
      <c r="P7" s="13"/>
      <c r="Q7" s="13"/>
      <c r="R7" s="13"/>
      <c r="S7" s="13"/>
      <c r="T7" s="13"/>
      <c r="U7" s="13"/>
    </row>
    <row r="8" spans="3:22">
      <c r="D8" s="13"/>
      <c r="E8" s="523">
        <v>9.9969999999999999</v>
      </c>
      <c r="F8" s="523">
        <v>10</v>
      </c>
      <c r="G8" s="524">
        <v>9.9979999999999993</v>
      </c>
      <c r="H8" s="525">
        <v>10</v>
      </c>
      <c r="I8" s="524">
        <v>9.9990000000000006</v>
      </c>
      <c r="J8" s="523">
        <v>9.9979999999999993</v>
      </c>
      <c r="K8" s="524">
        <v>9.9969999999999999</v>
      </c>
      <c r="L8" s="525">
        <v>9.9979999999999993</v>
      </c>
      <c r="M8" s="524">
        <v>9.9990000000000006</v>
      </c>
      <c r="N8" s="524">
        <v>9.9969999999999999</v>
      </c>
      <c r="O8" s="13"/>
      <c r="P8" s="13"/>
      <c r="Q8" s="13"/>
      <c r="R8" s="13"/>
      <c r="S8" s="13"/>
      <c r="T8" s="13"/>
      <c r="U8" s="13"/>
    </row>
    <row r="9" spans="3:22" ht="18.75">
      <c r="D9" s="13"/>
      <c r="E9" s="394" t="s">
        <v>1174</v>
      </c>
      <c r="F9" s="2705">
        <f>STDEV(E8:N8)/G6</f>
        <v>1.1595018087285803E-4</v>
      </c>
      <c r="G9" s="2706"/>
      <c r="H9" s="2706"/>
      <c r="I9" s="2706"/>
      <c r="J9" s="2706"/>
      <c r="K9" s="2706"/>
      <c r="L9" s="2706"/>
      <c r="M9" s="2706"/>
      <c r="N9" s="2707"/>
      <c r="O9" s="13"/>
      <c r="P9" s="13"/>
      <c r="Q9" s="13"/>
      <c r="R9" s="13"/>
      <c r="S9" s="13"/>
      <c r="T9" s="13"/>
      <c r="U9" s="13"/>
    </row>
    <row r="11" spans="3:22">
      <c r="D11" s="512" t="s">
        <v>1175</v>
      </c>
      <c r="E11" s="153" t="s">
        <v>1176</v>
      </c>
    </row>
    <row r="13" spans="3:22">
      <c r="C13" s="513" t="s">
        <v>1177</v>
      </c>
      <c r="D13" s="2708" t="s">
        <v>1178</v>
      </c>
      <c r="E13" s="2709"/>
      <c r="F13" s="2709"/>
      <c r="G13" s="2709"/>
      <c r="H13" s="2709"/>
      <c r="I13" s="2709"/>
      <c r="J13" s="2709"/>
      <c r="K13" s="2710"/>
      <c r="L13" s="2711" t="s">
        <v>1249</v>
      </c>
      <c r="M13" s="2711"/>
      <c r="N13" s="2711" t="s">
        <v>1180</v>
      </c>
      <c r="O13" s="2711"/>
      <c r="P13" s="2711"/>
      <c r="Q13" s="2712" t="s">
        <v>1181</v>
      </c>
      <c r="R13" s="2712"/>
      <c r="S13" s="2712" t="s">
        <v>1182</v>
      </c>
      <c r="T13" s="2711"/>
      <c r="U13" s="2711"/>
      <c r="V13" s="2711"/>
    </row>
    <row r="14" spans="3:22">
      <c r="C14" s="513">
        <v>1</v>
      </c>
      <c r="D14" s="2713" t="s">
        <v>1250</v>
      </c>
      <c r="E14" s="2714"/>
      <c r="F14" s="2714"/>
      <c r="G14" s="2714"/>
      <c r="H14" s="2714"/>
      <c r="I14" s="2714"/>
      <c r="J14" s="2714"/>
      <c r="K14" s="2715"/>
      <c r="L14" s="2716">
        <v>5.3E-3</v>
      </c>
      <c r="M14" s="2716"/>
      <c r="N14" s="2713" t="s">
        <v>1251</v>
      </c>
      <c r="O14" s="2714"/>
      <c r="P14" s="2715"/>
      <c r="S14" s="2717">
        <f>L14/SQRT(3)</f>
        <v>3.0599564267050168E-3</v>
      </c>
      <c r="T14" s="2718"/>
      <c r="U14" s="2718"/>
      <c r="V14" s="2719"/>
    </row>
    <row r="15" spans="3:22">
      <c r="C15" s="513">
        <v>2</v>
      </c>
      <c r="D15" s="2708" t="s">
        <v>1252</v>
      </c>
      <c r="E15" s="2709"/>
      <c r="F15" s="2709"/>
      <c r="G15" s="2709"/>
      <c r="H15" s="2709"/>
      <c r="I15" s="2709"/>
      <c r="J15" s="2709"/>
      <c r="K15" s="2710"/>
      <c r="L15" s="2720">
        <v>1E-3</v>
      </c>
      <c r="M15" s="2720"/>
      <c r="N15" s="2713" t="s">
        <v>1184</v>
      </c>
      <c r="O15" s="2714"/>
      <c r="P15" s="2715"/>
      <c r="Q15" s="2711">
        <v>3</v>
      </c>
      <c r="R15" s="2711"/>
      <c r="S15" s="2717">
        <f>L15/Q15</f>
        <v>3.3333333333333332E-4</v>
      </c>
      <c r="T15" s="2718"/>
      <c r="U15" s="2718"/>
      <c r="V15" s="2719"/>
    </row>
    <row r="16" spans="3:22">
      <c r="C16" s="516" t="s">
        <v>1253</v>
      </c>
      <c r="D16" s="516"/>
      <c r="E16" s="516"/>
      <c r="F16" s="2721">
        <f>SQRT(SUMSQ(S14:V15))/G6</f>
        <v>3.0780585511722234E-4</v>
      </c>
      <c r="G16" s="2721"/>
      <c r="H16" s="2721"/>
      <c r="I16" s="2721"/>
      <c r="J16" s="2721"/>
      <c r="K16" s="2721"/>
      <c r="L16" s="2721"/>
      <c r="M16" s="2721"/>
      <c r="N16" s="2721"/>
      <c r="O16" s="2721"/>
      <c r="P16" s="2721"/>
      <c r="Q16" s="2721"/>
      <c r="R16" s="2721"/>
      <c r="S16" s="2721"/>
      <c r="T16" s="2721"/>
      <c r="U16" s="2721"/>
      <c r="V16" s="2721"/>
    </row>
    <row r="17" spans="4:9" ht="15.75">
      <c r="D17" s="505" t="s">
        <v>1186</v>
      </c>
      <c r="F17" s="526"/>
      <c r="G17" s="527"/>
      <c r="H17" s="528"/>
      <c r="I17" s="528"/>
    </row>
    <row r="18" spans="4:9" ht="18.75">
      <c r="D18" s="529"/>
      <c r="E18" s="517"/>
      <c r="F18" s="516" t="s">
        <v>1187</v>
      </c>
      <c r="G18" s="2722">
        <f>SQRT(SUMSQ(F9,F16))</f>
        <v>3.2892079424823989E-4</v>
      </c>
      <c r="H18" s="2722"/>
      <c r="I18" s="2722"/>
    </row>
    <row r="19" spans="4:9" ht="15.75">
      <c r="D19" s="505" t="s">
        <v>1188</v>
      </c>
      <c r="E19" s="28"/>
      <c r="F19" s="526"/>
      <c r="G19" s="527"/>
      <c r="H19" s="528"/>
      <c r="I19" s="528"/>
    </row>
    <row r="20" spans="4:9">
      <c r="D20" s="518" t="s">
        <v>1189</v>
      </c>
      <c r="E20" s="392">
        <f>G18*2</f>
        <v>6.5784158849647978E-4</v>
      </c>
      <c r="F20" s="527"/>
      <c r="G20" s="527"/>
      <c r="H20" s="527"/>
      <c r="I20" s="527"/>
    </row>
  </sheetData>
  <mergeCells count="18">
    <mergeCell ref="F16:V16"/>
    <mergeCell ref="G18:I18"/>
    <mergeCell ref="S13:V13"/>
    <mergeCell ref="D14:K14"/>
    <mergeCell ref="L14:M14"/>
    <mergeCell ref="N14:P14"/>
    <mergeCell ref="S14:V14"/>
    <mergeCell ref="D15:K15"/>
    <mergeCell ref="L15:M15"/>
    <mergeCell ref="N15:P15"/>
    <mergeCell ref="Q15:R15"/>
    <mergeCell ref="S15:V15"/>
    <mergeCell ref="Q13:R13"/>
    <mergeCell ref="F3:G3"/>
    <mergeCell ref="F9:N9"/>
    <mergeCell ref="D13:K13"/>
    <mergeCell ref="L13:M13"/>
    <mergeCell ref="N13:P13"/>
  </mergeCells>
  <phoneticPr fontId="107" type="noConversion"/>
  <pageMargins left="0.75" right="0.75" top="1" bottom="1" header="0.5" footer="0.5"/>
  <legacyDrawing r:id="rId1"/>
  <oleObjects>
    <oleObject progId="Equation.3" shapeId="125953" r:id="rId2"/>
  </oleObjects>
</worksheet>
</file>

<file path=xl/worksheets/sheet52.xml><?xml version="1.0" encoding="utf-8"?>
<worksheet xmlns="http://schemas.openxmlformats.org/spreadsheetml/2006/main" xmlns:r="http://schemas.openxmlformats.org/officeDocument/2006/relationships">
  <dimension ref="A1:T58"/>
  <sheetViews>
    <sheetView topLeftCell="A25" workbookViewId="0"/>
  </sheetViews>
  <sheetFormatPr defaultRowHeight="14.25"/>
  <cols>
    <col min="1" max="1" width="15.75" customWidth="1"/>
    <col min="4" max="4" width="23.25" customWidth="1"/>
  </cols>
  <sheetData>
    <row r="1" spans="1:20">
      <c r="A1" s="2432" t="s">
        <v>2966</v>
      </c>
      <c r="B1" s="2433"/>
      <c r="C1" s="2433"/>
      <c r="D1" s="2433"/>
    </row>
    <row r="3" spans="1:20" ht="18.75" customHeight="1">
      <c r="A3" s="699" t="s">
        <v>1920</v>
      </c>
      <c r="B3" s="699"/>
      <c r="C3" s="6"/>
      <c r="D3" s="6"/>
      <c r="F3" s="3148" t="s">
        <v>2967</v>
      </c>
      <c r="G3" s="3148"/>
      <c r="H3" s="3148"/>
      <c r="I3" s="3148"/>
      <c r="J3" s="1158"/>
      <c r="K3" s="1158"/>
    </row>
    <row r="4" spans="1:20">
      <c r="A4" s="698" t="s">
        <v>2968</v>
      </c>
      <c r="B4" s="698" t="s">
        <v>2969</v>
      </c>
      <c r="C4" s="6"/>
      <c r="D4" s="6"/>
      <c r="F4" s="3148"/>
      <c r="G4" s="3148"/>
      <c r="H4" s="3148"/>
      <c r="I4" s="3148"/>
    </row>
    <row r="5" spans="1:20">
      <c r="A5" s="700" t="s">
        <v>2970</v>
      </c>
      <c r="B5" s="700" t="s">
        <v>2971</v>
      </c>
      <c r="C5" s="2"/>
      <c r="D5" s="2"/>
      <c r="F5" s="3148"/>
      <c r="G5" s="3148"/>
      <c r="H5" s="3148"/>
      <c r="I5" s="3148"/>
      <c r="M5" s="1749" t="s">
        <v>2972</v>
      </c>
      <c r="N5" s="1749"/>
      <c r="O5" s="1749"/>
      <c r="P5" s="3157"/>
    </row>
    <row r="6" spans="1:20">
      <c r="F6" s="3148"/>
      <c r="G6" s="3148"/>
      <c r="H6" s="3148"/>
      <c r="I6" s="3148"/>
    </row>
    <row r="7" spans="1:20">
      <c r="L7" s="768" t="s">
        <v>2973</v>
      </c>
      <c r="M7" s="1132"/>
      <c r="N7" s="1132"/>
      <c r="O7" s="1132"/>
      <c r="P7" s="398"/>
      <c r="Q7" s="398"/>
      <c r="R7" s="672"/>
      <c r="S7" s="1132"/>
      <c r="T7" s="638"/>
    </row>
    <row r="8" spans="1:20" ht="53.25" customHeight="1">
      <c r="A8" s="3160" t="s">
        <v>2974</v>
      </c>
      <c r="B8" s="1184" t="s">
        <v>2975</v>
      </c>
      <c r="C8" s="3162" t="s">
        <v>2976</v>
      </c>
      <c r="D8" s="3162"/>
      <c r="E8" s="3162"/>
      <c r="F8" s="3162"/>
      <c r="G8" s="3162"/>
      <c r="H8" s="3163" t="s">
        <v>2977</v>
      </c>
      <c r="I8" s="1787"/>
      <c r="L8" s="768" t="s">
        <v>2978</v>
      </c>
      <c r="M8" s="1185"/>
      <c r="N8" s="3136" t="e">
        <f>[24]原始记录!M23</f>
        <v>#REF!</v>
      </c>
      <c r="O8" s="3136"/>
      <c r="P8" s="1185"/>
      <c r="Q8" s="1185"/>
      <c r="R8" s="28"/>
      <c r="S8" s="28"/>
      <c r="T8" s="410"/>
    </row>
    <row r="9" spans="1:20" ht="18.75">
      <c r="A9" s="3161"/>
      <c r="B9" s="1186" t="s">
        <v>2979</v>
      </c>
      <c r="C9" s="837" t="s">
        <v>2980</v>
      </c>
      <c r="D9" s="837" t="s">
        <v>2981</v>
      </c>
      <c r="E9" s="837" t="s">
        <v>2982</v>
      </c>
      <c r="F9" s="837" t="s">
        <v>2983</v>
      </c>
      <c r="G9" s="837" t="s">
        <v>2984</v>
      </c>
      <c r="H9" s="167" t="s">
        <v>2985</v>
      </c>
      <c r="I9" s="167" t="s">
        <v>2986</v>
      </c>
      <c r="K9" s="321"/>
      <c r="L9" s="3158" t="s">
        <v>2987</v>
      </c>
      <c r="M9" s="3159"/>
      <c r="N9" s="3136" t="e">
        <f>-N8</f>
        <v>#REF!</v>
      </c>
      <c r="O9" s="3136"/>
      <c r="P9" s="1185"/>
      <c r="Q9" s="1185"/>
      <c r="R9" s="1185"/>
      <c r="S9" s="1187"/>
      <c r="T9" s="1188"/>
    </row>
    <row r="10" spans="1:20">
      <c r="A10" s="790">
        <v>1</v>
      </c>
      <c r="B10" s="1189">
        <v>20</v>
      </c>
      <c r="C10" s="1189">
        <v>20.125</v>
      </c>
      <c r="D10" s="1189">
        <v>20.123000000000001</v>
      </c>
      <c r="E10" s="1189">
        <v>20.128</v>
      </c>
      <c r="F10" s="1189">
        <v>20.323</v>
      </c>
      <c r="G10" s="397">
        <v>20.062000000000001</v>
      </c>
      <c r="H10" s="1190">
        <f>MAX(C10:G10)</f>
        <v>20.323</v>
      </c>
      <c r="I10" s="1190">
        <f>MIN(C10:G10)</f>
        <v>20.062000000000001</v>
      </c>
      <c r="L10" s="768" t="s">
        <v>2988</v>
      </c>
      <c r="M10" s="1185"/>
      <c r="N10" s="3136" t="e">
        <f>[24]原始记录!N30</f>
        <v>#REF!</v>
      </c>
      <c r="O10" s="3136"/>
      <c r="P10" s="1185"/>
      <c r="Q10" s="1185"/>
      <c r="R10" s="1185"/>
      <c r="S10" s="1185"/>
      <c r="T10" s="1148"/>
    </row>
    <row r="11" spans="1:20" ht="17.25" customHeight="1">
      <c r="A11" s="790">
        <v>2</v>
      </c>
      <c r="B11" s="1189">
        <v>20</v>
      </c>
      <c r="C11" s="1189">
        <v>20.123000000000001</v>
      </c>
      <c r="D11" s="1189">
        <v>20.148</v>
      </c>
      <c r="E11" s="1189">
        <v>20.238</v>
      </c>
      <c r="F11" s="1189">
        <v>20.253</v>
      </c>
      <c r="G11" s="1189">
        <v>20.056999999999999</v>
      </c>
      <c r="H11" s="1190">
        <f>MAX(C11:G11)</f>
        <v>20.253</v>
      </c>
      <c r="I11" s="1190">
        <f t="shared" ref="I11:I19" si="0">MIN(C11:G11)</f>
        <v>20.056999999999999</v>
      </c>
      <c r="L11" s="768" t="s">
        <v>2989</v>
      </c>
      <c r="M11" s="1185"/>
      <c r="N11" s="3137" t="e">
        <f>[24]原始记录!N36</f>
        <v>#REF!</v>
      </c>
      <c r="O11" s="3137"/>
      <c r="P11" s="1185"/>
      <c r="Q11" s="1185"/>
      <c r="R11" s="1185"/>
      <c r="S11" s="1185"/>
      <c r="T11" s="1148"/>
    </row>
    <row r="12" spans="1:20">
      <c r="A12" s="790">
        <v>3</v>
      </c>
      <c r="B12" s="1189">
        <v>20</v>
      </c>
      <c r="C12" s="1189">
        <v>20.126999999999999</v>
      </c>
      <c r="D12" s="1189">
        <v>20.132999999999999</v>
      </c>
      <c r="E12" s="1189">
        <v>20.312000000000001</v>
      </c>
      <c r="F12" s="1189">
        <v>20.344999999999999</v>
      </c>
      <c r="G12" s="1189">
        <v>20.102</v>
      </c>
      <c r="H12" s="1190">
        <f>MAX(C12:G12)</f>
        <v>20.344999999999999</v>
      </c>
      <c r="I12" s="1190">
        <f t="shared" si="0"/>
        <v>20.102</v>
      </c>
      <c r="L12" t="s">
        <v>3484</v>
      </c>
      <c r="M12" s="1185"/>
      <c r="O12" s="1191"/>
      <c r="P12" s="1185"/>
      <c r="Q12" s="1185"/>
      <c r="R12" s="1185"/>
      <c r="S12" s="1185"/>
      <c r="T12" s="1148"/>
    </row>
    <row r="13" spans="1:20" ht="14.25" customHeight="1">
      <c r="A13" s="790">
        <v>4</v>
      </c>
      <c r="B13" s="1189">
        <v>20</v>
      </c>
      <c r="C13" s="1189">
        <v>20.125</v>
      </c>
      <c r="D13" s="1189">
        <v>20.132000000000001</v>
      </c>
      <c r="E13" s="1189">
        <v>20.231000000000002</v>
      </c>
      <c r="F13" s="1189">
        <v>20.239999999999998</v>
      </c>
      <c r="G13" s="1189">
        <v>20.068000000000001</v>
      </c>
      <c r="H13" s="1190">
        <f>MAX(C13:G13)</f>
        <v>20.239999999999998</v>
      </c>
      <c r="I13" s="1190">
        <f t="shared" si="0"/>
        <v>20.068000000000001</v>
      </c>
      <c r="L13" s="3138" t="s">
        <v>2990</v>
      </c>
      <c r="M13" s="3139"/>
      <c r="N13" s="3139"/>
      <c r="O13" s="3139"/>
      <c r="P13" s="3139"/>
      <c r="Q13" s="3139"/>
      <c r="R13" s="3139"/>
      <c r="S13" s="3139"/>
      <c r="T13" s="3140"/>
    </row>
    <row r="14" spans="1:20" ht="16.5">
      <c r="A14" s="790">
        <v>5</v>
      </c>
      <c r="B14" s="1189">
        <v>20</v>
      </c>
      <c r="C14" s="1189">
        <v>20.126999999999999</v>
      </c>
      <c r="D14" s="1189">
        <v>20.135999999999999</v>
      </c>
      <c r="E14" s="1189">
        <v>20.149000000000001</v>
      </c>
      <c r="F14" s="1189">
        <v>20.114000000000001</v>
      </c>
      <c r="G14" s="1189">
        <v>20.068999999999999</v>
      </c>
      <c r="H14" s="1190">
        <f t="shared" ref="H14:H19" si="1">MAX(C14:G14)</f>
        <v>20.149000000000001</v>
      </c>
      <c r="I14" s="1190">
        <f t="shared" si="0"/>
        <v>20.068999999999999</v>
      </c>
      <c r="L14" s="954" t="s">
        <v>2991</v>
      </c>
      <c r="M14" s="105"/>
      <c r="N14" s="398"/>
      <c r="O14" s="1192"/>
      <c r="P14" s="1193"/>
      <c r="Q14" s="1194"/>
      <c r="R14" s="1195"/>
      <c r="S14" s="1195"/>
      <c r="T14" s="1196"/>
    </row>
    <row r="15" spans="1:20">
      <c r="A15" s="790">
        <v>6</v>
      </c>
      <c r="B15" s="1189">
        <v>20</v>
      </c>
      <c r="C15" s="1189">
        <v>20.138000000000002</v>
      </c>
      <c r="D15" s="1189">
        <v>20.132999999999999</v>
      </c>
      <c r="E15" s="1189">
        <v>20.254000000000001</v>
      </c>
      <c r="F15" s="1189">
        <v>20.350999999999999</v>
      </c>
      <c r="G15" s="1189">
        <v>20.058</v>
      </c>
      <c r="H15" s="1190">
        <f t="shared" si="1"/>
        <v>20.350999999999999</v>
      </c>
      <c r="I15" s="1190">
        <f t="shared" si="0"/>
        <v>20.058</v>
      </c>
      <c r="L15" s="1197"/>
      <c r="M15" s="28"/>
      <c r="N15" s="1108" t="s">
        <v>2992</v>
      </c>
      <c r="O15" s="1198"/>
      <c r="P15" s="1199"/>
      <c r="Q15" s="3141"/>
      <c r="R15" s="3142"/>
      <c r="S15" s="1201"/>
      <c r="T15" s="1202"/>
    </row>
    <row r="16" spans="1:20">
      <c r="A16" s="790">
        <v>7</v>
      </c>
      <c r="B16" s="1189">
        <v>20</v>
      </c>
      <c r="C16" s="1189">
        <v>20.132000000000001</v>
      </c>
      <c r="D16" s="1189">
        <v>20.125</v>
      </c>
      <c r="E16" s="1189">
        <v>20.334</v>
      </c>
      <c r="F16" s="1189">
        <v>20.123000000000001</v>
      </c>
      <c r="G16" s="1189">
        <v>20.087</v>
      </c>
      <c r="H16" s="1190">
        <f t="shared" si="1"/>
        <v>20.334</v>
      </c>
      <c r="I16" s="1190">
        <f t="shared" si="0"/>
        <v>20.087</v>
      </c>
      <c r="L16" s="1203"/>
      <c r="M16" s="3143">
        <v>600</v>
      </c>
      <c r="N16" s="3143"/>
      <c r="O16" s="3143"/>
      <c r="P16" s="1204"/>
      <c r="Q16" s="3144"/>
      <c r="R16" s="3144"/>
      <c r="S16" s="1201"/>
      <c r="T16" s="1202"/>
    </row>
    <row r="17" spans="1:20">
      <c r="A17" s="790">
        <v>8</v>
      </c>
      <c r="B17" s="1189">
        <v>20</v>
      </c>
      <c r="C17" s="1189">
        <v>20.137</v>
      </c>
      <c r="D17" s="1189">
        <v>20.119</v>
      </c>
      <c r="E17" s="1189">
        <v>20.231000000000002</v>
      </c>
      <c r="F17" s="1189">
        <v>20.123999999999999</v>
      </c>
      <c r="G17" s="1189">
        <v>20.064</v>
      </c>
      <c r="H17" s="1190">
        <f t="shared" si="1"/>
        <v>20.231000000000002</v>
      </c>
      <c r="I17" s="1190">
        <f t="shared" si="0"/>
        <v>20.064</v>
      </c>
      <c r="L17" s="1203"/>
      <c r="M17" s="860">
        <v>120</v>
      </c>
      <c r="N17" s="860"/>
      <c r="O17" s="1044">
        <v>120</v>
      </c>
      <c r="P17" s="1204"/>
      <c r="Q17" s="1205"/>
      <c r="R17" s="1205"/>
      <c r="S17" s="1201"/>
      <c r="T17" s="1202"/>
    </row>
    <row r="18" spans="1:20">
      <c r="A18" s="790">
        <v>9</v>
      </c>
      <c r="B18" s="1189">
        <v>20</v>
      </c>
      <c r="C18" s="1189">
        <v>20.134</v>
      </c>
      <c r="D18" s="1189">
        <v>20.114000000000001</v>
      </c>
      <c r="E18" s="1189">
        <v>20.323</v>
      </c>
      <c r="F18" s="1189">
        <v>20.215</v>
      </c>
      <c r="G18" s="1189">
        <v>20.056000000000001</v>
      </c>
      <c r="H18" s="1190">
        <f t="shared" si="1"/>
        <v>20.323</v>
      </c>
      <c r="I18" s="1190">
        <f t="shared" si="0"/>
        <v>20.056000000000001</v>
      </c>
      <c r="L18" s="1203"/>
      <c r="M18" s="861"/>
      <c r="N18" s="860"/>
      <c r="O18" s="1206"/>
      <c r="P18" s="1207"/>
      <c r="Q18" s="1200"/>
      <c r="R18" s="28"/>
      <c r="S18" s="1201"/>
      <c r="T18" s="1202"/>
    </row>
    <row r="19" spans="1:20" ht="14.25" customHeight="1">
      <c r="A19" s="790">
        <v>10</v>
      </c>
      <c r="B19" s="1189">
        <v>20</v>
      </c>
      <c r="C19" s="1189">
        <v>20.132000000000001</v>
      </c>
      <c r="D19" s="1189">
        <v>20.125</v>
      </c>
      <c r="E19" s="1189">
        <v>20.167999999999999</v>
      </c>
      <c r="F19" s="1189">
        <v>20.283999999999999</v>
      </c>
      <c r="G19" s="1189">
        <v>20.074000000000002</v>
      </c>
      <c r="H19" s="1190">
        <f t="shared" si="1"/>
        <v>20.283999999999999</v>
      </c>
      <c r="I19" s="1190">
        <f t="shared" si="0"/>
        <v>20.074000000000002</v>
      </c>
      <c r="L19" s="3145">
        <v>120</v>
      </c>
      <c r="M19" s="861"/>
      <c r="N19" s="1208"/>
      <c r="O19" s="1208"/>
      <c r="P19" s="3146">
        <v>120</v>
      </c>
      <c r="Q19" s="1209"/>
      <c r="R19" s="1209"/>
      <c r="S19" s="1201"/>
      <c r="T19" s="1202"/>
    </row>
    <row r="20" spans="1:20">
      <c r="A20" s="698" t="s">
        <v>2993</v>
      </c>
      <c r="B20" s="1190">
        <v>20</v>
      </c>
      <c r="C20" s="1210">
        <f t="shared" ref="C20:I20" si="2">AVERAGE(C10:C19)</f>
        <v>20.130000000000003</v>
      </c>
      <c r="D20" s="1210">
        <f>AVERAGE(D10:D19)</f>
        <v>20.128800000000002</v>
      </c>
      <c r="E20" s="1210">
        <f>AVERAGE(E10:E19)</f>
        <v>20.236799999999999</v>
      </c>
      <c r="F20" s="1210">
        <f t="shared" si="2"/>
        <v>20.237199999999998</v>
      </c>
      <c r="G20" s="1210">
        <f t="shared" si="2"/>
        <v>20.069700000000001</v>
      </c>
      <c r="H20" s="1211">
        <f t="shared" si="2"/>
        <v>20.283300000000001</v>
      </c>
      <c r="I20" s="1157">
        <f t="shared" si="2"/>
        <v>20.069700000000001</v>
      </c>
      <c r="L20" s="3145"/>
      <c r="M20" s="861"/>
      <c r="P20" s="3146"/>
      <c r="Q20" s="1209"/>
      <c r="R20" s="1209"/>
      <c r="S20" s="1201"/>
      <c r="T20" s="1202"/>
    </row>
    <row r="21" spans="1:20" ht="14.25" customHeight="1">
      <c r="A21" s="698" t="s">
        <v>2985</v>
      </c>
      <c r="B21" s="1190">
        <f>MAX(B10:B19)</f>
        <v>20</v>
      </c>
      <c r="C21" s="1212">
        <f>MAX(C10:C15)</f>
        <v>20.138000000000002</v>
      </c>
      <c r="D21" s="1212">
        <f>MAX(D10:D15)</f>
        <v>20.148</v>
      </c>
      <c r="E21" s="1212">
        <f>MAX(E10:E15)</f>
        <v>20.312000000000001</v>
      </c>
      <c r="F21" s="1212">
        <f>MAX(F10:F15)</f>
        <v>20.350999999999999</v>
      </c>
      <c r="G21" s="1212">
        <f>MAX(G10:G19)</f>
        <v>20.102</v>
      </c>
      <c r="H21" s="1213" t="s">
        <v>2994</v>
      </c>
      <c r="I21" s="1214" t="s">
        <v>2994</v>
      </c>
      <c r="L21" s="1749">
        <v>450</v>
      </c>
      <c r="M21" s="861"/>
      <c r="Q21" s="1209"/>
      <c r="R21" s="1209"/>
      <c r="S21" s="1201"/>
      <c r="T21" s="1202"/>
    </row>
    <row r="22" spans="1:20">
      <c r="A22" s="698" t="s">
        <v>2986</v>
      </c>
      <c r="B22" s="1190">
        <f>MIN(B10:B19)</f>
        <v>20</v>
      </c>
      <c r="C22" s="1190">
        <f>MIN(C10:C15)</f>
        <v>20.123000000000001</v>
      </c>
      <c r="D22" s="1190">
        <f>MIN(D10:D15)</f>
        <v>20.123000000000001</v>
      </c>
      <c r="E22" s="1190">
        <f>MIN(E10:E15)</f>
        <v>20.128</v>
      </c>
      <c r="F22" s="1190">
        <f>MIN(F10:F15)</f>
        <v>20.114000000000001</v>
      </c>
      <c r="G22" s="1190">
        <f>MIN(G10:G19)</f>
        <v>20.056000000000001</v>
      </c>
      <c r="H22" s="1213" t="s">
        <v>2994</v>
      </c>
      <c r="I22" s="1214" t="s">
        <v>2994</v>
      </c>
      <c r="L22" s="1749"/>
      <c r="M22" s="1208"/>
      <c r="N22" s="1208"/>
      <c r="O22" s="1208"/>
      <c r="Q22" s="1209"/>
      <c r="R22" s="1209"/>
      <c r="S22" s="1201"/>
      <c r="T22" s="1202"/>
    </row>
    <row r="23" spans="1:20">
      <c r="A23" s="1215" t="s">
        <v>2978</v>
      </c>
      <c r="B23" s="3147">
        <f>B20-G20</f>
        <v>-6.9700000000000983E-2</v>
      </c>
      <c r="C23" s="3147"/>
      <c r="D23" s="1216"/>
      <c r="E23" s="1217"/>
      <c r="F23" s="1217"/>
      <c r="G23" s="398"/>
      <c r="H23" s="1217"/>
      <c r="I23" s="1218"/>
      <c r="L23" s="1749"/>
      <c r="M23" s="1749"/>
      <c r="Q23" s="1209"/>
      <c r="R23" s="1209"/>
      <c r="S23" s="1201"/>
      <c r="T23" s="1202"/>
    </row>
    <row r="24" spans="1:20">
      <c r="A24" s="1219"/>
      <c r="B24" s="1220"/>
      <c r="C24" s="1221"/>
      <c r="D24" s="1221"/>
      <c r="E24" s="28"/>
      <c r="F24" s="28"/>
      <c r="G24" s="28"/>
      <c r="H24" s="1220"/>
      <c r="I24" s="1222"/>
      <c r="L24" s="317">
        <v>120</v>
      </c>
      <c r="M24" s="1749"/>
      <c r="N24" s="28"/>
      <c r="O24" s="28"/>
      <c r="P24">
        <v>120</v>
      </c>
      <c r="Q24" s="1209"/>
      <c r="R24" s="1209"/>
      <c r="S24" s="1201"/>
      <c r="T24" s="1202"/>
    </row>
    <row r="25" spans="1:20" ht="18.75">
      <c r="A25" s="1219"/>
      <c r="B25" s="1220"/>
      <c r="C25" s="1221"/>
      <c r="E25" s="399" t="s">
        <v>2995</v>
      </c>
      <c r="F25" s="1223"/>
      <c r="G25" s="1223"/>
      <c r="H25" s="1220"/>
      <c r="I25" s="1222"/>
      <c r="L25" s="317"/>
      <c r="M25">
        <v>120</v>
      </c>
      <c r="N25" s="28"/>
      <c r="O25">
        <v>120</v>
      </c>
      <c r="Q25" s="1209"/>
      <c r="R25" s="1209"/>
      <c r="S25" s="1201"/>
      <c r="T25" s="1202"/>
    </row>
    <row r="26" spans="1:20" ht="18.75">
      <c r="A26" s="1219"/>
      <c r="B26" s="1220"/>
      <c r="C26" s="1221"/>
      <c r="E26" s="400" t="s">
        <v>2996</v>
      </c>
      <c r="F26" s="1224"/>
      <c r="G26" s="1224"/>
      <c r="H26" s="1220"/>
      <c r="I26" s="1222"/>
      <c r="L26" s="317"/>
      <c r="M26" s="860"/>
      <c r="N26" t="s">
        <v>2997</v>
      </c>
      <c r="O26" s="1044"/>
      <c r="S26" s="1201"/>
      <c r="T26" s="1202"/>
    </row>
    <row r="27" spans="1:20" ht="18.75">
      <c r="A27" s="1225"/>
      <c r="B27" s="1226"/>
      <c r="C27" s="1227"/>
      <c r="D27" s="107"/>
      <c r="E27" s="1228" t="s">
        <v>2998</v>
      </c>
      <c r="F27" s="1228"/>
      <c r="G27" s="1228"/>
      <c r="H27" s="1226"/>
      <c r="I27" s="1229"/>
      <c r="L27" s="389"/>
      <c r="M27" s="107"/>
      <c r="N27" s="107"/>
      <c r="O27" s="107"/>
      <c r="P27" s="107"/>
      <c r="Q27" s="107"/>
      <c r="R27" s="107"/>
      <c r="S27" s="107"/>
      <c r="T27" s="149"/>
    </row>
    <row r="28" spans="1:20">
      <c r="A28" s="1230" t="s">
        <v>2999</v>
      </c>
      <c r="B28" s="3151">
        <f>-B23</f>
        <v>6.9700000000000983E-2</v>
      </c>
      <c r="C28" s="3151"/>
      <c r="E28" s="1231"/>
      <c r="F28" s="1231"/>
      <c r="G28" s="1231"/>
      <c r="H28" s="1220"/>
      <c r="I28" s="1222"/>
    </row>
    <row r="29" spans="1:20" ht="18.75">
      <c r="A29" s="389"/>
      <c r="B29" s="1232"/>
      <c r="C29" s="1232"/>
      <c r="E29" s="1232" t="s">
        <v>3000</v>
      </c>
      <c r="F29" s="1231"/>
      <c r="G29" s="1231"/>
      <c r="H29" s="1220"/>
      <c r="I29" s="1222"/>
    </row>
    <row r="30" spans="1:20">
      <c r="A30" s="1215" t="s">
        <v>3001</v>
      </c>
      <c r="B30" s="1217"/>
      <c r="C30" s="3152">
        <f>(SUM(H10:H19)-SUM(I10:I19))/A19</f>
        <v>0.21359999999999957</v>
      </c>
      <c r="D30" s="3152"/>
      <c r="E30" s="398"/>
      <c r="F30" s="1217"/>
      <c r="G30" s="1217"/>
      <c r="H30" s="1217"/>
      <c r="I30" s="1218"/>
    </row>
    <row r="31" spans="1:20">
      <c r="A31" s="1219"/>
      <c r="B31" s="1220"/>
      <c r="C31" s="1221"/>
      <c r="D31" s="1221"/>
      <c r="E31" s="28"/>
      <c r="F31" s="1220"/>
      <c r="G31" s="1220"/>
      <c r="H31" s="1220"/>
      <c r="I31" s="1222"/>
    </row>
    <row r="32" spans="1:20" ht="18.75">
      <c r="A32" s="1219"/>
      <c r="B32" s="1220"/>
      <c r="C32" s="1221"/>
      <c r="D32" s="1221"/>
      <c r="E32" s="28" t="s">
        <v>3002</v>
      </c>
      <c r="F32" s="1220"/>
      <c r="G32" s="1220"/>
      <c r="H32" s="1220"/>
      <c r="I32" s="1222"/>
    </row>
    <row r="33" spans="1:9" ht="18.75">
      <c r="A33" s="1219"/>
      <c r="B33" s="1220"/>
      <c r="C33" s="1221"/>
      <c r="D33" s="1221"/>
      <c r="E33" s="1233" t="s">
        <v>3003</v>
      </c>
      <c r="F33" s="1220"/>
      <c r="G33" s="1220"/>
      <c r="H33" s="1220"/>
      <c r="I33" s="1222"/>
    </row>
    <row r="34" spans="1:9" ht="18.75">
      <c r="A34" s="1219"/>
      <c r="B34" s="1220"/>
      <c r="C34" s="1221"/>
      <c r="D34" s="1221"/>
      <c r="E34" s="1233" t="s">
        <v>3004</v>
      </c>
      <c r="F34" s="1220"/>
      <c r="G34" s="1220"/>
      <c r="H34" s="1220"/>
      <c r="I34" s="1222"/>
    </row>
    <row r="35" spans="1:9">
      <c r="A35" s="1225"/>
      <c r="B35" s="1226"/>
      <c r="C35" s="1227"/>
      <c r="D35" s="1227"/>
      <c r="E35" s="889" t="s">
        <v>3005</v>
      </c>
      <c r="F35" s="1226"/>
      <c r="G35" s="1226"/>
      <c r="H35" s="1226"/>
      <c r="I35" s="1229"/>
    </row>
    <row r="36" spans="1:9">
      <c r="A36" s="1215" t="s">
        <v>3006</v>
      </c>
      <c r="B36" s="1217"/>
      <c r="C36" s="3153">
        <f>(MAX(G10:G19)-MIN(G10:G19))/2</f>
        <v>2.2999999999999687E-2</v>
      </c>
      <c r="D36" s="3153"/>
      <c r="E36" s="398"/>
      <c r="F36" s="398"/>
      <c r="G36" s="1217"/>
      <c r="H36" s="1217"/>
      <c r="I36" s="1218"/>
    </row>
    <row r="37" spans="1:9">
      <c r="A37" s="1219"/>
      <c r="B37" s="1220"/>
      <c r="C37" s="1234"/>
      <c r="D37" s="1234"/>
      <c r="E37" s="28"/>
      <c r="F37" s="28"/>
      <c r="G37" s="1235"/>
      <c r="H37" s="1220"/>
      <c r="I37" s="1222"/>
    </row>
    <row r="38" spans="1:9" ht="18.75">
      <c r="A38" s="1219"/>
      <c r="B38" s="1220"/>
      <c r="C38" s="1234"/>
      <c r="D38" s="1234"/>
      <c r="E38" s="29" t="s">
        <v>3007</v>
      </c>
      <c r="F38" s="28"/>
      <c r="G38" s="1220"/>
      <c r="H38" s="1220"/>
      <c r="I38" s="1222"/>
    </row>
    <row r="39" spans="1:9" ht="18.75">
      <c r="A39" s="1219"/>
      <c r="B39" s="1220"/>
      <c r="C39" s="1234"/>
      <c r="D39" s="1234"/>
      <c r="E39" s="1233" t="s">
        <v>3008</v>
      </c>
      <c r="F39" s="1220"/>
      <c r="G39" s="1220"/>
      <c r="H39" s="1220"/>
      <c r="I39" s="1222"/>
    </row>
    <row r="40" spans="1:9" ht="18.75">
      <c r="A40" s="1219"/>
      <c r="B40" s="1220"/>
      <c r="C40" s="1234"/>
      <c r="D40" s="1234"/>
      <c r="E40" s="1233" t="s">
        <v>3009</v>
      </c>
      <c r="F40" s="1220"/>
      <c r="G40" s="1220"/>
      <c r="H40" s="1220"/>
      <c r="I40" s="1222"/>
    </row>
    <row r="41" spans="1:9">
      <c r="A41" s="1225"/>
      <c r="B41" s="1226"/>
      <c r="C41" s="1236"/>
      <c r="D41" s="1236"/>
      <c r="E41" s="1237"/>
      <c r="F41" s="1226"/>
      <c r="G41" s="1226"/>
      <c r="H41" s="1226"/>
      <c r="I41" s="1229"/>
    </row>
    <row r="44" spans="1:9">
      <c r="A44" s="3154" t="s">
        <v>3010</v>
      </c>
      <c r="B44" s="3155"/>
      <c r="C44" s="3155"/>
      <c r="D44" s="3155"/>
      <c r="E44" s="1238"/>
      <c r="F44" s="1238"/>
      <c r="G44" s="1238"/>
      <c r="H44" s="1238"/>
      <c r="I44" s="1238"/>
    </row>
    <row r="45" spans="1:9" ht="16.5">
      <c r="A45" s="401" t="s">
        <v>3011</v>
      </c>
      <c r="C45" s="105"/>
      <c r="D45" s="402"/>
      <c r="E45" s="403"/>
      <c r="F45" s="1195"/>
      <c r="G45" s="1195"/>
      <c r="H45" s="105"/>
      <c r="I45" s="1239"/>
    </row>
    <row r="46" spans="1:9">
      <c r="A46" s="1197"/>
      <c r="B46" s="2751" t="s">
        <v>3012</v>
      </c>
      <c r="C46" s="2751"/>
      <c r="D46" s="2751"/>
      <c r="E46" s="1199"/>
      <c r="F46" s="3141"/>
      <c r="G46" s="3141"/>
      <c r="H46" s="3141"/>
      <c r="I46" s="3156"/>
    </row>
    <row r="47" spans="1:9">
      <c r="A47" s="1203"/>
      <c r="B47" s="3143">
        <v>600</v>
      </c>
      <c r="C47" s="3143"/>
      <c r="D47" s="3143"/>
      <c r="E47" s="1204"/>
      <c r="F47" s="3144"/>
      <c r="G47" s="3144"/>
      <c r="H47" s="1240"/>
      <c r="I47" s="1241"/>
    </row>
    <row r="48" spans="1:9">
      <c r="A48" s="1203"/>
      <c r="B48" s="860">
        <v>120</v>
      </c>
      <c r="C48" s="860"/>
      <c r="D48" s="1044">
        <v>120</v>
      </c>
      <c r="E48" s="1204"/>
      <c r="F48" s="1205"/>
      <c r="G48" s="1205"/>
      <c r="H48" s="1240"/>
      <c r="I48" s="1241"/>
    </row>
    <row r="49" spans="1:9">
      <c r="A49" s="1203"/>
      <c r="B49" s="861"/>
      <c r="C49" s="860"/>
      <c r="D49" s="1206"/>
      <c r="E49" s="1207"/>
      <c r="F49" s="1200"/>
      <c r="G49" s="28"/>
      <c r="H49" s="28"/>
      <c r="I49" s="1241"/>
    </row>
    <row r="50" spans="1:9">
      <c r="A50" s="3145">
        <v>120</v>
      </c>
      <c r="B50" s="861"/>
      <c r="C50" s="1208"/>
      <c r="D50" s="1208"/>
      <c r="E50" s="3146">
        <v>120</v>
      </c>
      <c r="F50" s="1209"/>
      <c r="G50" s="1209"/>
      <c r="H50" s="1209"/>
      <c r="I50" s="1242"/>
    </row>
    <row r="51" spans="1:9">
      <c r="A51" s="3145"/>
      <c r="B51" s="861"/>
      <c r="C51" s="1243"/>
      <c r="D51" s="1243"/>
      <c r="E51" s="3146"/>
      <c r="F51" s="1209"/>
      <c r="G51" s="1209"/>
      <c r="H51" s="1209"/>
      <c r="I51" s="1242"/>
    </row>
    <row r="52" spans="1:9">
      <c r="A52" s="3149">
        <v>450</v>
      </c>
      <c r="B52" s="861"/>
      <c r="C52" s="1243"/>
      <c r="D52" s="1243"/>
      <c r="E52" s="1244"/>
      <c r="F52" s="1209"/>
      <c r="G52" s="1209"/>
      <c r="H52" s="1209"/>
      <c r="I52" s="1242"/>
    </row>
    <row r="53" spans="1:9">
      <c r="A53" s="3149"/>
      <c r="B53" s="1208"/>
      <c r="C53" s="1208"/>
      <c r="D53" s="1208"/>
      <c r="E53" s="1245"/>
      <c r="F53" s="1209"/>
      <c r="G53" s="1209"/>
      <c r="H53" s="1209"/>
      <c r="I53" s="1242"/>
    </row>
    <row r="54" spans="1:9">
      <c r="A54" s="3149"/>
      <c r="B54" s="3150"/>
      <c r="C54" s="1246"/>
      <c r="D54" s="1246"/>
      <c r="E54" s="1247"/>
      <c r="F54" s="1209"/>
      <c r="G54" s="1209"/>
      <c r="H54" s="1209"/>
      <c r="I54" s="1242"/>
    </row>
    <row r="55" spans="1:9" ht="17.25">
      <c r="A55" s="1248">
        <v>120</v>
      </c>
      <c r="B55" s="3150"/>
      <c r="C55" s="28"/>
      <c r="D55" s="28"/>
      <c r="E55" s="1249">
        <v>120</v>
      </c>
      <c r="F55" s="1209"/>
      <c r="G55" s="1209"/>
      <c r="H55" s="1209"/>
      <c r="I55" s="1242"/>
    </row>
    <row r="56" spans="1:9">
      <c r="A56" s="317"/>
      <c r="B56" s="1250">
        <v>120</v>
      </c>
      <c r="C56" s="28"/>
      <c r="D56" s="1251">
        <v>120</v>
      </c>
      <c r="E56" s="827"/>
      <c r="F56" s="1209"/>
      <c r="G56" s="1209"/>
      <c r="H56" s="1209"/>
      <c r="I56" s="1242"/>
    </row>
    <row r="57" spans="1:9">
      <c r="A57" s="317"/>
      <c r="B57" s="860"/>
      <c r="C57" s="1252"/>
      <c r="D57" s="1044"/>
      <c r="E57" s="1253"/>
      <c r="F57" s="1253"/>
      <c r="G57" s="1245"/>
      <c r="H57" s="779"/>
      <c r="I57" s="1254"/>
    </row>
    <row r="58" spans="1:9">
      <c r="A58" s="389"/>
      <c r="B58" s="1255"/>
      <c r="C58" s="990" t="s">
        <v>3013</v>
      </c>
      <c r="D58" s="1256"/>
      <c r="E58" s="1256"/>
      <c r="F58" s="1256"/>
      <c r="G58" s="990"/>
      <c r="H58" s="107"/>
      <c r="I58" s="149"/>
    </row>
  </sheetData>
  <mergeCells count="33">
    <mergeCell ref="M5:P5"/>
    <mergeCell ref="N8:O8"/>
    <mergeCell ref="L9:M9"/>
    <mergeCell ref="A1:D1"/>
    <mergeCell ref="A8:A9"/>
    <mergeCell ref="C8:G8"/>
    <mergeCell ref="H8:I8"/>
    <mergeCell ref="B23:C23"/>
    <mergeCell ref="F3:I6"/>
    <mergeCell ref="A52:A54"/>
    <mergeCell ref="B54:B55"/>
    <mergeCell ref="B28:C28"/>
    <mergeCell ref="C30:D30"/>
    <mergeCell ref="C36:D36"/>
    <mergeCell ref="A44:D44"/>
    <mergeCell ref="B46:D46"/>
    <mergeCell ref="H46:I46"/>
    <mergeCell ref="B47:D47"/>
    <mergeCell ref="F47:G47"/>
    <mergeCell ref="A50:A51"/>
    <mergeCell ref="E50:E51"/>
    <mergeCell ref="F46:G46"/>
    <mergeCell ref="M23:M24"/>
    <mergeCell ref="N9:O9"/>
    <mergeCell ref="N10:O10"/>
    <mergeCell ref="N11:O11"/>
    <mergeCell ref="L13:T13"/>
    <mergeCell ref="Q15:R15"/>
    <mergeCell ref="M16:O16"/>
    <mergeCell ref="Q16:R16"/>
    <mergeCell ref="L19:L20"/>
    <mergeCell ref="P19:P20"/>
    <mergeCell ref="L21:L23"/>
  </mergeCells>
  <phoneticPr fontId="92" type="noConversion"/>
  <pageMargins left="0.75" right="0.75" top="1" bottom="1" header="0.5" footer="0.5"/>
  <drawing r:id="rId1"/>
  <legacyDrawing r:id="rId2"/>
  <oleObjects>
    <oleObject progId="Equation.3" shapeId="190365" r:id="rId3"/>
    <oleObject progId="Equation.3" shapeId="190366" r:id="rId4"/>
    <oleObject progId="Equation.3" shapeId="190367" r:id="rId5"/>
  </oleObjects>
</worksheet>
</file>

<file path=xl/worksheets/sheet53.xml><?xml version="1.0" encoding="utf-8"?>
<worksheet xmlns="http://schemas.openxmlformats.org/spreadsheetml/2006/main" xmlns:r="http://schemas.openxmlformats.org/officeDocument/2006/relationships">
  <dimension ref="A1:S31"/>
  <sheetViews>
    <sheetView workbookViewId="0"/>
  </sheetViews>
  <sheetFormatPr defaultRowHeight="14.25"/>
  <cols>
    <col min="1" max="1" width="17.25" customWidth="1"/>
  </cols>
  <sheetData>
    <row r="1" spans="1:19">
      <c r="B1" t="s">
        <v>966</v>
      </c>
    </row>
    <row r="2" spans="1:19" ht="18.75">
      <c r="A2" s="699" t="s">
        <v>1920</v>
      </c>
      <c r="B2" s="699"/>
      <c r="C2" s="6"/>
      <c r="D2" s="6"/>
    </row>
    <row r="3" spans="1:19">
      <c r="A3" s="698" t="s">
        <v>3014</v>
      </c>
      <c r="B3" s="698" t="s">
        <v>3015</v>
      </c>
      <c r="C3" s="6"/>
      <c r="D3" s="6"/>
    </row>
    <row r="4" spans="1:19">
      <c r="A4" s="700" t="s">
        <v>3016</v>
      </c>
      <c r="B4" s="698" t="s">
        <v>2941</v>
      </c>
      <c r="C4" s="2"/>
      <c r="D4" s="2"/>
    </row>
    <row r="5" spans="1:19">
      <c r="K5" s="1367" t="s">
        <v>3485</v>
      </c>
      <c r="P5" s="1367" t="s">
        <v>3486</v>
      </c>
    </row>
    <row r="6" spans="1:19">
      <c r="B6" s="702" t="s">
        <v>3017</v>
      </c>
    </row>
    <row r="7" spans="1:19" ht="57">
      <c r="A7" s="731" t="s">
        <v>3018</v>
      </c>
      <c r="B7" s="731" t="s">
        <v>3019</v>
      </c>
      <c r="C7" s="2385" t="s">
        <v>3020</v>
      </c>
      <c r="D7" s="2386"/>
      <c r="E7" s="2386"/>
      <c r="F7" s="2386"/>
      <c r="G7" s="2379"/>
      <c r="H7" s="1176" t="s">
        <v>3021</v>
      </c>
      <c r="I7" s="1257" t="s">
        <v>3022</v>
      </c>
      <c r="K7" s="885" t="s">
        <v>3018</v>
      </c>
      <c r="L7" s="731" t="s">
        <v>3019</v>
      </c>
      <c r="M7" s="731" t="s">
        <v>3021</v>
      </c>
      <c r="P7" s="885" t="s">
        <v>3018</v>
      </c>
      <c r="Q7" s="731" t="s">
        <v>3019</v>
      </c>
      <c r="R7" s="731" t="s">
        <v>3021</v>
      </c>
      <c r="S7" s="1385" t="s">
        <v>3023</v>
      </c>
    </row>
    <row r="8" spans="1:19">
      <c r="A8" s="2776">
        <v>1</v>
      </c>
      <c r="B8" s="2776">
        <v>1</v>
      </c>
      <c r="C8" s="6" t="s">
        <v>3024</v>
      </c>
      <c r="D8" s="6" t="s">
        <v>3025</v>
      </c>
      <c r="E8" s="6" t="s">
        <v>3026</v>
      </c>
      <c r="F8" s="6" t="s">
        <v>3027</v>
      </c>
      <c r="G8" s="6" t="s">
        <v>3028</v>
      </c>
      <c r="H8" s="3165">
        <f>100*(MAX(C9,D9,E9,F9,G9,C11,D11,E11,F11,G11,C13,D13,E13,F13,G13)-MIN(C9,D9,E9,F9,G9,C11,D11,E11,F11,G11,C13,D13,E13,F13,G13))/(B8*0.001*1000)</f>
        <v>6.9999999999992291E-2</v>
      </c>
      <c r="I8" s="2298"/>
      <c r="K8" s="2730">
        <v>1</v>
      </c>
      <c r="L8" s="2730">
        <v>1</v>
      </c>
      <c r="M8" s="3165" t="e">
        <f>100*(MAX(H9,I9,J9,K9,L9,H11,I11,J11,K11,L11,H13,I13,J13,K13,L13)-MIN(H9,I9,J9,K9,L9,H11,I11,J11,K11,L11,H13,I13,J13,K13,L13))/(G8*0.001*1000)</f>
        <v>#VALUE!</v>
      </c>
      <c r="P8" s="2730">
        <v>1</v>
      </c>
      <c r="Q8" s="2730">
        <v>1</v>
      </c>
      <c r="R8" s="2234" t="e">
        <f>[25]原始记录数据!W6</f>
        <v>#REF!</v>
      </c>
      <c r="S8" s="3165" t="e">
        <f>100*(MAX(N9,O9,P9,Q9,R9,N11,O11,P11,Q11,R11,N13,O13,P13,Q13,R13)-MIN(N9,O9,P9,Q9,R9,N11,O11,P11,Q11,R11,N13,O13,P13,Q13,R13))/(M8*0.001*1000)</f>
        <v>#VALUE!</v>
      </c>
    </row>
    <row r="9" spans="1:19">
      <c r="A9" s="2777"/>
      <c r="B9" s="2777"/>
      <c r="C9" s="35">
        <v>1.0146999999999999</v>
      </c>
      <c r="D9" s="35">
        <v>1.0147999999999999</v>
      </c>
      <c r="E9" s="35">
        <v>1.0143</v>
      </c>
      <c r="F9" s="35">
        <v>1.0143</v>
      </c>
      <c r="G9" s="35">
        <v>1.0145</v>
      </c>
      <c r="H9" s="3165"/>
      <c r="I9" s="2298"/>
      <c r="K9" s="2731"/>
      <c r="L9" s="2731"/>
      <c r="M9" s="3165"/>
      <c r="P9" s="2731"/>
      <c r="Q9" s="2731"/>
      <c r="R9" s="2234"/>
      <c r="S9" s="3165"/>
    </row>
    <row r="10" spans="1:19">
      <c r="A10" s="2777"/>
      <c r="B10" s="2777"/>
      <c r="C10" s="6" t="s">
        <v>3029</v>
      </c>
      <c r="D10" s="6" t="s">
        <v>3030</v>
      </c>
      <c r="E10" s="6" t="s">
        <v>3031</v>
      </c>
      <c r="F10" s="6" t="s">
        <v>3032</v>
      </c>
      <c r="G10" s="6" t="s">
        <v>3033</v>
      </c>
      <c r="H10" s="3165"/>
      <c r="I10" s="2298"/>
      <c r="K10" s="2731"/>
      <c r="L10" s="2731"/>
      <c r="M10" s="3165"/>
      <c r="P10" s="2731"/>
      <c r="Q10" s="2731"/>
      <c r="R10" s="2234"/>
      <c r="S10" s="3165"/>
    </row>
    <row r="11" spans="1:19">
      <c r="A11" s="2777"/>
      <c r="B11" s="2777"/>
      <c r="C11" s="35">
        <v>1.0144</v>
      </c>
      <c r="D11" s="35">
        <v>1.0143</v>
      </c>
      <c r="E11" s="35">
        <v>1.0147999999999999</v>
      </c>
      <c r="F11" s="35">
        <v>1.0145999999999999</v>
      </c>
      <c r="G11" s="35">
        <v>1.0145</v>
      </c>
      <c r="H11" s="3165"/>
      <c r="I11" s="2298"/>
      <c r="K11" s="2731"/>
      <c r="L11" s="2731"/>
      <c r="M11" s="3165"/>
      <c r="P11" s="2731"/>
      <c r="Q11" s="2731"/>
      <c r="R11" s="2234"/>
      <c r="S11" s="3165"/>
    </row>
    <row r="12" spans="1:19">
      <c r="A12" s="2777"/>
      <c r="B12" s="2777"/>
      <c r="C12" s="6" t="s">
        <v>3034</v>
      </c>
      <c r="D12" s="6" t="s">
        <v>3035</v>
      </c>
      <c r="E12" s="6" t="s">
        <v>3036</v>
      </c>
      <c r="F12" s="6" t="s">
        <v>3037</v>
      </c>
      <c r="G12" s="6" t="s">
        <v>3038</v>
      </c>
      <c r="H12" s="3165"/>
      <c r="I12" s="2298"/>
      <c r="K12" s="2731"/>
      <c r="L12" s="2731"/>
      <c r="M12" s="3165"/>
      <c r="P12" s="2731"/>
      <c r="Q12" s="2731"/>
      <c r="R12" s="2234"/>
      <c r="S12" s="3165"/>
    </row>
    <row r="13" spans="1:19">
      <c r="A13" s="2778"/>
      <c r="B13" s="2778"/>
      <c r="C13" s="35">
        <v>1.0145999999999999</v>
      </c>
      <c r="D13" s="35">
        <v>1.0145999999999999</v>
      </c>
      <c r="E13" s="35">
        <v>1.0142</v>
      </c>
      <c r="F13" s="35">
        <v>1.0148999999999999</v>
      </c>
      <c r="G13" s="35">
        <v>1.0146999999999999</v>
      </c>
      <c r="H13" s="3165"/>
      <c r="I13" s="2298"/>
      <c r="K13" s="2430"/>
      <c r="L13" s="2430"/>
      <c r="M13" s="3165"/>
      <c r="P13" s="2430"/>
      <c r="Q13" s="2430"/>
      <c r="R13" s="2234"/>
      <c r="S13" s="3165"/>
    </row>
    <row r="14" spans="1:19">
      <c r="A14" s="2776">
        <v>5</v>
      </c>
      <c r="B14" s="2776">
        <v>2</v>
      </c>
      <c r="C14" s="6" t="s">
        <v>3039</v>
      </c>
      <c r="D14" s="6" t="s">
        <v>3040</v>
      </c>
      <c r="E14" s="6" t="s">
        <v>3041</v>
      </c>
      <c r="F14" s="6" t="s">
        <v>3042</v>
      </c>
      <c r="G14" s="6" t="s">
        <v>3043</v>
      </c>
      <c r="H14" s="3164">
        <f>100*(MAX(C15,D15,E15,F15,G15,C17,D17,E17,F17,G17,C19,D19,E19,F19,G19)-MIN(C15,D15,E15,F15,G15,C17,D17,E17,F17,G17,C19,D19,E19,F19,G19))/(B14*0.001*1000)</f>
        <v>9.5000000000000639E-2</v>
      </c>
      <c r="I14" s="2298"/>
      <c r="K14" s="2730">
        <v>5</v>
      </c>
      <c r="L14" s="2730">
        <v>2</v>
      </c>
      <c r="M14" s="3164" t="e">
        <f>100*(MAX(H15,I15,J15,K15,L15,H17,I17,J17,K17,L17,H19,I19,J19,K19,L19)-MIN(H15,I15,J15,K15,L15,H17,I17,J17,K17,L17,H19,I19,J19,K19,L19))/(G14*0.001*1000)</f>
        <v>#VALUE!</v>
      </c>
      <c r="P14" s="2730">
        <v>5</v>
      </c>
      <c r="Q14" s="2730">
        <v>2</v>
      </c>
      <c r="R14" s="2234" t="e">
        <f>[25]原始记录数据!W12</f>
        <v>#REF!</v>
      </c>
      <c r="S14" s="3164" t="e">
        <f>100*(MAX(N15,O15,P15,Q15,R15,N17,O17,P17,Q17,R17,N19,O19,P19,Q19,R19)-MIN(N15,O15,P15,Q15,R15,N17,O17,P17,Q17,R17,N19,O19,P19,Q19,R19))/(M14*0.001*1000)</f>
        <v>#VALUE!</v>
      </c>
    </row>
    <row r="15" spans="1:19">
      <c r="A15" s="2777"/>
      <c r="B15" s="2777"/>
      <c r="C15" s="6">
        <v>2.0158</v>
      </c>
      <c r="D15" s="6">
        <v>2.0150999999999999</v>
      </c>
      <c r="E15" s="6">
        <v>2.0146999999999999</v>
      </c>
      <c r="F15" s="6">
        <v>2.0162</v>
      </c>
      <c r="G15" s="6">
        <v>2.0162</v>
      </c>
      <c r="H15" s="3164"/>
      <c r="I15" s="2298"/>
      <c r="K15" s="2731"/>
      <c r="L15" s="2731"/>
      <c r="M15" s="3164"/>
      <c r="P15" s="2731"/>
      <c r="Q15" s="2731"/>
      <c r="R15" s="2234"/>
      <c r="S15" s="3164"/>
    </row>
    <row r="16" spans="1:19">
      <c r="A16" s="2777"/>
      <c r="B16" s="2777"/>
      <c r="C16" s="6" t="s">
        <v>3044</v>
      </c>
      <c r="D16" s="6" t="s">
        <v>3045</v>
      </c>
      <c r="E16" s="6" t="s">
        <v>3046</v>
      </c>
      <c r="F16" s="6" t="s">
        <v>3047</v>
      </c>
      <c r="G16" s="6" t="s">
        <v>3048</v>
      </c>
      <c r="H16" s="3164"/>
      <c r="I16" s="2298"/>
      <c r="K16" s="2731"/>
      <c r="L16" s="2731"/>
      <c r="M16" s="3164"/>
      <c r="P16" s="2731"/>
      <c r="Q16" s="2731"/>
      <c r="R16" s="2234"/>
      <c r="S16" s="3164"/>
    </row>
    <row r="17" spans="1:19">
      <c r="A17" s="2777"/>
      <c r="B17" s="2777"/>
      <c r="C17" s="6">
        <v>2.0156000000000001</v>
      </c>
      <c r="D17" s="6">
        <v>2.0146999999999999</v>
      </c>
      <c r="E17" s="6">
        <v>2.0154000000000001</v>
      </c>
      <c r="F17" s="6">
        <v>2.0152000000000001</v>
      </c>
      <c r="G17" s="6">
        <v>2.0154000000000001</v>
      </c>
      <c r="H17" s="3164"/>
      <c r="I17" s="2298"/>
      <c r="K17" s="2731"/>
      <c r="L17" s="2731"/>
      <c r="M17" s="3164"/>
      <c r="P17" s="2731"/>
      <c r="Q17" s="2731"/>
      <c r="R17" s="2234"/>
      <c r="S17" s="3164"/>
    </row>
    <row r="18" spans="1:19">
      <c r="A18" s="2777"/>
      <c r="B18" s="2777"/>
      <c r="C18" s="6" t="s">
        <v>3049</v>
      </c>
      <c r="D18" s="6" t="s">
        <v>3050</v>
      </c>
      <c r="E18" s="6" t="s">
        <v>3051</v>
      </c>
      <c r="F18" s="6" t="s">
        <v>3052</v>
      </c>
      <c r="G18" s="6" t="s">
        <v>3053</v>
      </c>
      <c r="H18" s="3164"/>
      <c r="I18" s="2298"/>
      <c r="K18" s="2731"/>
      <c r="L18" s="2731"/>
      <c r="M18" s="3164"/>
      <c r="P18" s="2731"/>
      <c r="Q18" s="2731"/>
      <c r="R18" s="2234"/>
      <c r="S18" s="3164"/>
    </row>
    <row r="19" spans="1:19">
      <c r="A19" s="2777"/>
      <c r="B19" s="2778"/>
      <c r="C19" s="6">
        <v>2.0165000000000002</v>
      </c>
      <c r="D19" s="6">
        <v>2.0165999999999999</v>
      </c>
      <c r="E19" s="6">
        <v>2.016</v>
      </c>
      <c r="F19" s="6">
        <v>2.0156000000000001</v>
      </c>
      <c r="G19" s="6">
        <v>2.0165000000000002</v>
      </c>
      <c r="H19" s="3164"/>
      <c r="I19" s="2298"/>
      <c r="K19" s="2731"/>
      <c r="L19" s="2430"/>
      <c r="M19" s="3164"/>
      <c r="P19" s="2731"/>
      <c r="Q19" s="2430"/>
      <c r="R19" s="2234"/>
      <c r="S19" s="3164"/>
    </row>
    <row r="20" spans="1:19">
      <c r="A20" s="2777"/>
      <c r="B20" s="2776">
        <v>5</v>
      </c>
      <c r="C20" s="6" t="s">
        <v>3054</v>
      </c>
      <c r="D20" s="6" t="s">
        <v>3055</v>
      </c>
      <c r="E20" s="6" t="s">
        <v>3056</v>
      </c>
      <c r="F20" s="6" t="s">
        <v>3057</v>
      </c>
      <c r="G20" s="6" t="s">
        <v>3058</v>
      </c>
      <c r="H20" s="3164">
        <f>100*(MAX(C21,D21,E21,F21,G21,C23,D23,E23,F23,G23,C25,D25,E25,F25,G25)-MIN(C21,D21,E21,F21,G21,C23,D23,E23,F23,G23,C25,D25,E25,F25,G25))/(B20*0.001*1000)</f>
        <v>5.2000000000003155E-2</v>
      </c>
      <c r="I20" s="2298"/>
      <c r="K20" s="2731"/>
      <c r="L20" s="2730">
        <v>5</v>
      </c>
      <c r="M20" s="3164" t="e">
        <f>100*(MAX(H21,I21,J21,K21,L21,H23,I23,J23,K23,L23,H25,I25,J25,K25,L25)-MIN(H21,I21,J21,K21,L21,H23,I23,J23,K23,L23,H25,I25,J25,K25,L25))/(G20*0.001*1000)</f>
        <v>#VALUE!</v>
      </c>
      <c r="P20" s="2731"/>
      <c r="Q20" s="2730">
        <v>5</v>
      </c>
      <c r="R20" s="2234" t="e">
        <f>[25]原始记录数据!W18</f>
        <v>#REF!</v>
      </c>
      <c r="S20" s="3164" t="e">
        <f>100*(MAX(N21,O21,P21,Q21,R21,N23,O23,P23,Q23,R23,N25,O25,P25,Q25,R25)-MIN(N21,O21,P21,Q21,R21,N23,O23,P23,Q23,R23,N25,O25,P25,Q25,R25))/(M20*0.001*1000)</f>
        <v>#VALUE!</v>
      </c>
    </row>
    <row r="21" spans="1:19">
      <c r="A21" s="2777"/>
      <c r="B21" s="2777"/>
      <c r="C21" s="6">
        <v>5.0156000000000001</v>
      </c>
      <c r="D21" s="6">
        <v>5.0163000000000002</v>
      </c>
      <c r="E21" s="6">
        <v>5.0155000000000003</v>
      </c>
      <c r="F21" s="6">
        <v>5.0153999999999996</v>
      </c>
      <c r="G21" s="6">
        <v>5.0152000000000001</v>
      </c>
      <c r="H21" s="3164"/>
      <c r="I21" s="2298"/>
      <c r="K21" s="2731"/>
      <c r="L21" s="2731"/>
      <c r="M21" s="3164"/>
      <c r="P21" s="2731"/>
      <c r="Q21" s="2731"/>
      <c r="R21" s="2234"/>
      <c r="S21" s="3164"/>
    </row>
    <row r="22" spans="1:19">
      <c r="A22" s="2777"/>
      <c r="B22" s="2777"/>
      <c r="C22" s="6" t="s">
        <v>3059</v>
      </c>
      <c r="D22" s="6" t="s">
        <v>3060</v>
      </c>
      <c r="E22" s="6" t="s">
        <v>3061</v>
      </c>
      <c r="F22" s="6" t="s">
        <v>3062</v>
      </c>
      <c r="G22" s="6" t="s">
        <v>3063</v>
      </c>
      <c r="H22" s="3164"/>
      <c r="I22" s="2298"/>
      <c r="K22" s="2731"/>
      <c r="L22" s="2731"/>
      <c r="M22" s="3164"/>
      <c r="P22" s="2731"/>
      <c r="Q22" s="2731"/>
      <c r="R22" s="2234"/>
      <c r="S22" s="3164"/>
    </row>
    <row r="23" spans="1:19">
      <c r="A23" s="2777"/>
      <c r="B23" s="2777"/>
      <c r="C23" s="6">
        <v>5.0156000000000001</v>
      </c>
      <c r="D23" s="6">
        <v>5.0166000000000004</v>
      </c>
      <c r="E23" s="6">
        <v>5.0163000000000002</v>
      </c>
      <c r="F23" s="6">
        <v>5.0167000000000002</v>
      </c>
      <c r="G23" s="6">
        <v>5.0164</v>
      </c>
      <c r="H23" s="3164"/>
      <c r="I23" s="2298"/>
      <c r="K23" s="2731"/>
      <c r="L23" s="2731"/>
      <c r="M23" s="3164"/>
      <c r="P23" s="2731"/>
      <c r="Q23" s="2731"/>
      <c r="R23" s="2234"/>
      <c r="S23" s="3164"/>
    </row>
    <row r="24" spans="1:19">
      <c r="A24" s="2777"/>
      <c r="B24" s="2777"/>
      <c r="C24" s="6" t="s">
        <v>3064</v>
      </c>
      <c r="D24" s="6" t="s">
        <v>3065</v>
      </c>
      <c r="E24" s="6" t="s">
        <v>3066</v>
      </c>
      <c r="F24" s="6" t="s">
        <v>3067</v>
      </c>
      <c r="G24" s="6" t="s">
        <v>3068</v>
      </c>
      <c r="H24" s="3164"/>
      <c r="I24" s="2298"/>
      <c r="K24" s="2731"/>
      <c r="L24" s="2731"/>
      <c r="M24" s="3164"/>
      <c r="P24" s="2731"/>
      <c r="Q24" s="2731"/>
      <c r="R24" s="2234"/>
      <c r="S24" s="3164"/>
    </row>
    <row r="25" spans="1:19">
      <c r="A25" s="2778"/>
      <c r="B25" s="2778"/>
      <c r="C25" s="6">
        <v>5.0156000000000001</v>
      </c>
      <c r="D25" s="6">
        <v>5.0162000000000004</v>
      </c>
      <c r="E25" s="6">
        <v>5.0178000000000003</v>
      </c>
      <c r="F25" s="6">
        <v>5.0152999999999999</v>
      </c>
      <c r="G25" s="6">
        <v>5.0152000000000001</v>
      </c>
      <c r="H25" s="3164"/>
      <c r="I25" s="2298"/>
      <c r="K25" s="2430"/>
      <c r="L25" s="2430"/>
      <c r="M25" s="3164"/>
      <c r="P25" s="2430"/>
      <c r="Q25" s="2430"/>
      <c r="R25" s="2234"/>
      <c r="S25" s="3164"/>
    </row>
    <row r="26" spans="1:19">
      <c r="A26" s="2776">
        <v>10</v>
      </c>
      <c r="B26" s="2776">
        <v>10</v>
      </c>
      <c r="C26" s="6" t="s">
        <v>3069</v>
      </c>
      <c r="D26" s="6" t="s">
        <v>3070</v>
      </c>
      <c r="E26" s="6" t="s">
        <v>3071</v>
      </c>
      <c r="F26" s="6" t="s">
        <v>3072</v>
      </c>
      <c r="G26" s="6" t="s">
        <v>3073</v>
      </c>
      <c r="H26" s="3164">
        <f>100*(MAX(C27,D27,E27,F27,G27,C29,D29,E29,F29,G29,C31,D31,E31,F31,G31)-MIN(C27,D27,E27,F27,G27,C29,D29,E29,F29,G29,C31,D31,E31,F31,G31))/(B26*0.001*1000)</f>
        <v>1.5999999999998238E-2</v>
      </c>
      <c r="I26" s="2298"/>
      <c r="K26" s="2434">
        <v>10</v>
      </c>
      <c r="L26" s="2434">
        <v>10</v>
      </c>
      <c r="M26" s="3164" t="e">
        <f>100*(MAX(H27,I27,J27,K27,L27,H29,I29,J29,K29,L29,H31,I31,J31,K31,L31)-MIN(H27,I27,J27,K27,L27,H29,I29,J29,K29,L29,H31,I31,J31,K31,L31))/(G26*0.001*1000)</f>
        <v>#VALUE!</v>
      </c>
      <c r="P26" s="2434">
        <v>10</v>
      </c>
      <c r="Q26" s="2434">
        <v>10</v>
      </c>
      <c r="R26" s="2234" t="e">
        <f>[25]原始记录数据!W24</f>
        <v>#REF!</v>
      </c>
      <c r="S26" s="3164" t="e">
        <f>100*(MAX(N27,O27,P27,Q27,R27,N29,O29,P29,Q29,R29,N31,O31,P31,Q31,R31)-MIN(N27,O27,P27,Q27,R27,N29,O29,P29,Q29,R29,N31,O31,P31,Q31,R31))/(M26*0.001*1000)</f>
        <v>#VALUE!</v>
      </c>
    </row>
    <row r="27" spans="1:19">
      <c r="A27" s="2777"/>
      <c r="B27" s="2777"/>
      <c r="C27" s="6">
        <v>10.103199999999999</v>
      </c>
      <c r="D27" s="6">
        <v>10.103199999999999</v>
      </c>
      <c r="E27" s="6">
        <v>10.1036</v>
      </c>
      <c r="F27" s="6">
        <v>10.1044</v>
      </c>
      <c r="G27" s="6">
        <v>10.1037</v>
      </c>
      <c r="H27" s="3164"/>
      <c r="I27" s="2298"/>
      <c r="K27" s="2434"/>
      <c r="L27" s="2434"/>
      <c r="M27" s="3164"/>
      <c r="P27" s="2434"/>
      <c r="Q27" s="2434"/>
      <c r="R27" s="2234"/>
      <c r="S27" s="3164"/>
    </row>
    <row r="28" spans="1:19">
      <c r="A28" s="2777"/>
      <c r="B28" s="2777"/>
      <c r="C28" s="6" t="s">
        <v>3074</v>
      </c>
      <c r="D28" s="6" t="s">
        <v>3075</v>
      </c>
      <c r="E28" s="6" t="s">
        <v>3076</v>
      </c>
      <c r="F28" s="6" t="s">
        <v>3077</v>
      </c>
      <c r="G28" s="6" t="s">
        <v>3078</v>
      </c>
      <c r="H28" s="3164"/>
      <c r="I28" s="2298"/>
      <c r="K28" s="2434"/>
      <c r="L28" s="2434"/>
      <c r="M28" s="3164"/>
      <c r="P28" s="2434"/>
      <c r="Q28" s="2434"/>
      <c r="R28" s="2234"/>
      <c r="S28" s="3164"/>
    </row>
    <row r="29" spans="1:19">
      <c r="A29" s="2777"/>
      <c r="B29" s="2777"/>
      <c r="C29" s="6">
        <v>10.1043</v>
      </c>
      <c r="D29" s="6">
        <v>10.103199999999999</v>
      </c>
      <c r="E29" s="6">
        <v>10.104200000000001</v>
      </c>
      <c r="F29" s="6">
        <v>10.103300000000001</v>
      </c>
      <c r="G29" s="6">
        <v>10.104200000000001</v>
      </c>
      <c r="H29" s="3164"/>
      <c r="I29" s="2298"/>
      <c r="K29" s="2434"/>
      <c r="L29" s="2434"/>
      <c r="M29" s="3164"/>
      <c r="P29" s="2434"/>
      <c r="Q29" s="2434"/>
      <c r="R29" s="2234"/>
      <c r="S29" s="3164"/>
    </row>
    <row r="30" spans="1:19">
      <c r="A30" s="2777"/>
      <c r="B30" s="2777"/>
      <c r="C30" s="6" t="s">
        <v>3079</v>
      </c>
      <c r="D30" s="6" t="s">
        <v>3080</v>
      </c>
      <c r="E30" s="6" t="s">
        <v>3081</v>
      </c>
      <c r="F30" s="6" t="s">
        <v>3082</v>
      </c>
      <c r="G30" s="6" t="s">
        <v>3083</v>
      </c>
      <c r="H30" s="3164"/>
      <c r="I30" s="2298"/>
      <c r="K30" s="2434"/>
      <c r="L30" s="2434"/>
      <c r="M30" s="3164"/>
      <c r="P30" s="2434"/>
      <c r="Q30" s="2434"/>
      <c r="R30" s="2234"/>
      <c r="S30" s="3164"/>
    </row>
    <row r="31" spans="1:19">
      <c r="A31" s="2778"/>
      <c r="B31" s="2778"/>
      <c r="C31" s="6">
        <v>10.1046</v>
      </c>
      <c r="D31" s="6">
        <v>10.104799999999999</v>
      </c>
      <c r="E31" s="6">
        <v>10.1045</v>
      </c>
      <c r="F31" s="6">
        <v>10.1036</v>
      </c>
      <c r="G31" s="6">
        <v>10.1036</v>
      </c>
      <c r="H31" s="3164"/>
      <c r="I31" s="2298"/>
      <c r="K31" s="2434"/>
      <c r="L31" s="2434"/>
      <c r="M31" s="3164"/>
      <c r="P31" s="2434"/>
      <c r="Q31" s="2434"/>
      <c r="R31" s="2234"/>
      <c r="S31" s="3164"/>
    </row>
  </sheetData>
  <mergeCells count="41">
    <mergeCell ref="C7:G7"/>
    <mergeCell ref="A8:A13"/>
    <mergeCell ref="B8:B13"/>
    <mergeCell ref="H8:H13"/>
    <mergeCell ref="A14:A25"/>
    <mergeCell ref="B20:B25"/>
    <mergeCell ref="H20:H25"/>
    <mergeCell ref="A26:A31"/>
    <mergeCell ref="B26:B31"/>
    <mergeCell ref="H26:H31"/>
    <mergeCell ref="B14:B19"/>
    <mergeCell ref="H14:H19"/>
    <mergeCell ref="I8:I13"/>
    <mergeCell ref="K8:K13"/>
    <mergeCell ref="L8:L13"/>
    <mergeCell ref="P8:P13"/>
    <mergeCell ref="Q8:Q13"/>
    <mergeCell ref="R8:R13"/>
    <mergeCell ref="S8:S13"/>
    <mergeCell ref="I14:I25"/>
    <mergeCell ref="K14:K25"/>
    <mergeCell ref="L14:L19"/>
    <mergeCell ref="M14:M19"/>
    <mergeCell ref="P14:P25"/>
    <mergeCell ref="Q14:Q19"/>
    <mergeCell ref="M8:M13"/>
    <mergeCell ref="R14:R19"/>
    <mergeCell ref="S14:S19"/>
    <mergeCell ref="L20:L25"/>
    <mergeCell ref="M20:M25"/>
    <mergeCell ref="Q20:Q25"/>
    <mergeCell ref="R20:R25"/>
    <mergeCell ref="S20:S25"/>
    <mergeCell ref="R26:R31"/>
    <mergeCell ref="S26:S31"/>
    <mergeCell ref="I26:I31"/>
    <mergeCell ref="K26:K31"/>
    <mergeCell ref="L26:L31"/>
    <mergeCell ref="M26:M31"/>
    <mergeCell ref="P26:P31"/>
    <mergeCell ref="Q26:Q31"/>
  </mergeCells>
  <phoneticPr fontId="92" type="noConversion"/>
  <pageMargins left="0.75" right="0.75" top="1" bottom="1" header="0.5" footer="0.5"/>
  <drawing r:id="rId1"/>
  <legacyDrawing r:id="rId2"/>
</worksheet>
</file>

<file path=xl/worksheets/sheet54.xml><?xml version="1.0" encoding="utf-8"?>
<worksheet xmlns="http://schemas.openxmlformats.org/spreadsheetml/2006/main" xmlns:r="http://schemas.openxmlformats.org/officeDocument/2006/relationships">
  <dimension ref="C3:T21"/>
  <sheetViews>
    <sheetView workbookViewId="0"/>
  </sheetViews>
  <sheetFormatPr defaultRowHeight="14.25"/>
  <sheetData>
    <row r="3" spans="3:20">
      <c r="C3" s="530" t="s">
        <v>1165</v>
      </c>
      <c r="D3" s="506" t="s">
        <v>1197</v>
      </c>
      <c r="E3" s="2704" t="s">
        <v>1397</v>
      </c>
      <c r="F3" s="2704"/>
      <c r="G3" s="507"/>
    </row>
    <row r="4" spans="3:20">
      <c r="C4" s="13"/>
      <c r="D4" s="509"/>
      <c r="E4" s="395"/>
      <c r="F4" s="395"/>
      <c r="G4" s="395"/>
    </row>
    <row r="5" spans="3:20">
      <c r="C5" s="13"/>
      <c r="D5" s="510" t="s">
        <v>1167</v>
      </c>
      <c r="E5" s="13"/>
      <c r="F5" s="13" t="s">
        <v>1168</v>
      </c>
      <c r="G5" s="13"/>
    </row>
    <row r="6" spans="3:20">
      <c r="D6" s="347" t="s">
        <v>1239</v>
      </c>
      <c r="E6" s="347" t="s">
        <v>1240</v>
      </c>
      <c r="F6" s="347" t="s">
        <v>1241</v>
      </c>
      <c r="G6" s="347" t="s">
        <v>1242</v>
      </c>
      <c r="H6" s="347" t="s">
        <v>1243</v>
      </c>
      <c r="I6" s="347" t="s">
        <v>1244</v>
      </c>
      <c r="J6" s="347" t="s">
        <v>1245</v>
      </c>
      <c r="K6" s="348" t="s">
        <v>1246</v>
      </c>
      <c r="L6" s="348" t="s">
        <v>1247</v>
      </c>
      <c r="M6" s="347" t="s">
        <v>1248</v>
      </c>
    </row>
    <row r="7" spans="3:20">
      <c r="D7" s="550">
        <v>8.9999999999999998E-4</v>
      </c>
      <c r="E7" s="550">
        <v>8.9999999999999998E-4</v>
      </c>
      <c r="F7" s="550">
        <v>8.9999999999999998E-4</v>
      </c>
      <c r="G7" s="550">
        <v>8.9999999999999998E-4</v>
      </c>
      <c r="H7" s="550">
        <v>8.9999999999999998E-4</v>
      </c>
      <c r="I7" s="550">
        <v>8.9999999999999998E-4</v>
      </c>
      <c r="J7" s="550">
        <v>8.9999999999999998E-4</v>
      </c>
      <c r="K7" s="550">
        <v>8.9999999999999998E-4</v>
      </c>
      <c r="L7" s="550">
        <v>8.9999999999999998E-4</v>
      </c>
      <c r="M7" s="550">
        <v>8.9999999999999998E-4</v>
      </c>
    </row>
    <row r="8" spans="3:20" ht="18.75">
      <c r="D8" s="394" t="s">
        <v>1174</v>
      </c>
      <c r="E8" s="2705">
        <f>STDEV(D7:M7)</f>
        <v>0</v>
      </c>
      <c r="F8" s="2706"/>
      <c r="G8" s="2706"/>
      <c r="H8" s="2706"/>
      <c r="I8" s="2706"/>
      <c r="J8" s="2706"/>
      <c r="K8" s="2706"/>
      <c r="L8" s="2706"/>
      <c r="M8" s="2707"/>
    </row>
    <row r="10" spans="3:20">
      <c r="C10" s="512" t="s">
        <v>1175</v>
      </c>
      <c r="D10" s="153" t="s">
        <v>1176</v>
      </c>
    </row>
    <row r="12" spans="3:20">
      <c r="D12" s="2882" t="s">
        <v>1178</v>
      </c>
      <c r="E12" s="2883"/>
      <c r="F12" s="2883"/>
      <c r="G12" s="2883"/>
      <c r="H12" s="2883"/>
      <c r="I12" s="2883"/>
      <c r="J12" s="2883"/>
      <c r="K12" s="2883"/>
      <c r="L12" s="2884"/>
      <c r="M12" s="2711" t="s">
        <v>1398</v>
      </c>
      <c r="N12" s="2888" t="s">
        <v>1180</v>
      </c>
      <c r="O12" s="2888"/>
      <c r="P12" s="2889" t="s">
        <v>959</v>
      </c>
      <c r="Q12" s="2882" t="s">
        <v>1182</v>
      </c>
      <c r="R12" s="2883"/>
      <c r="S12" s="2883"/>
      <c r="T12" s="2884"/>
    </row>
    <row r="13" spans="3:20">
      <c r="D13" s="2885"/>
      <c r="E13" s="2886"/>
      <c r="F13" s="2886"/>
      <c r="G13" s="2886"/>
      <c r="H13" s="2886"/>
      <c r="I13" s="2886"/>
      <c r="J13" s="2886"/>
      <c r="K13" s="2886"/>
      <c r="L13" s="2887"/>
      <c r="M13" s="2711"/>
      <c r="N13" s="2888"/>
      <c r="O13" s="2888"/>
      <c r="P13" s="2889"/>
      <c r="Q13" s="2885"/>
      <c r="R13" s="2886"/>
      <c r="S13" s="2886"/>
      <c r="T13" s="2887"/>
    </row>
    <row r="14" spans="3:20">
      <c r="D14" s="2892" t="s">
        <v>1399</v>
      </c>
      <c r="E14" s="2893"/>
      <c r="F14" s="2893"/>
      <c r="G14" s="2893"/>
      <c r="H14" s="2893"/>
      <c r="I14" s="2893"/>
      <c r="J14" s="2893"/>
      <c r="K14" s="2893"/>
      <c r="L14" s="2894"/>
      <c r="M14" s="544">
        <v>1.0000000000000001E-5</v>
      </c>
      <c r="N14" s="2888" t="s">
        <v>1333</v>
      </c>
      <c r="O14" s="2888"/>
      <c r="P14" s="514"/>
      <c r="Q14" s="2895">
        <f>M14/SQRT(3)</f>
        <v>5.7735026918962587E-6</v>
      </c>
      <c r="R14" s="2895"/>
      <c r="S14" s="2895"/>
      <c r="T14" s="2895"/>
    </row>
    <row r="15" spans="3:20">
      <c r="D15" s="2892" t="s">
        <v>1400</v>
      </c>
      <c r="E15" s="2893"/>
      <c r="F15" s="2893"/>
      <c r="G15" s="2893"/>
      <c r="H15" s="2893"/>
      <c r="I15" s="2893"/>
      <c r="J15" s="2893"/>
      <c r="K15" s="2893"/>
      <c r="L15" s="2894"/>
      <c r="M15" s="544">
        <v>1.0000000000000001E-5</v>
      </c>
      <c r="N15" s="2888" t="s">
        <v>1333</v>
      </c>
      <c r="O15" s="2888"/>
      <c r="P15" s="514"/>
      <c r="Q15" s="2895">
        <f>M15/SQRT(3)</f>
        <v>5.7735026918962587E-6</v>
      </c>
      <c r="R15" s="2895"/>
      <c r="S15" s="2895"/>
      <c r="T15" s="2895"/>
    </row>
    <row r="16" spans="3:20">
      <c r="D16" s="2867" t="s">
        <v>1253</v>
      </c>
      <c r="E16" s="2867"/>
      <c r="F16" s="2890">
        <f>SQRT(SUMSQ(Q14:T15))</f>
        <v>8.1649658092772615E-6</v>
      </c>
      <c r="G16" s="2891"/>
      <c r="H16" s="2891"/>
      <c r="I16" s="2891"/>
      <c r="J16" s="2891"/>
      <c r="K16" s="2891"/>
      <c r="L16" s="2891"/>
      <c r="M16" s="2891"/>
      <c r="N16" s="2891"/>
      <c r="O16" s="2891"/>
      <c r="P16" s="2891"/>
      <c r="Q16" s="2891"/>
      <c r="R16" s="2891"/>
      <c r="S16" s="2891"/>
      <c r="T16" s="2891"/>
    </row>
    <row r="18" spans="3:8" ht="15.75">
      <c r="C18" s="505" t="s">
        <v>1186</v>
      </c>
      <c r="E18" s="526"/>
      <c r="F18" s="527"/>
      <c r="G18" s="528"/>
      <c r="H18" s="528"/>
    </row>
    <row r="19" spans="3:8" ht="18.75">
      <c r="C19" s="529"/>
      <c r="D19" s="517"/>
      <c r="E19" s="516" t="s">
        <v>1187</v>
      </c>
      <c r="F19" s="2722">
        <f>SQRT(SUMSQ(E8,F16))</f>
        <v>8.1649658092772615E-6</v>
      </c>
      <c r="G19" s="2722"/>
      <c r="H19" s="2722"/>
    </row>
    <row r="20" spans="3:8" ht="15.75">
      <c r="C20" s="505" t="s">
        <v>1188</v>
      </c>
      <c r="D20" s="28"/>
      <c r="E20" s="526"/>
      <c r="F20" s="527"/>
      <c r="G20" s="528"/>
      <c r="H20" s="528"/>
    </row>
    <row r="21" spans="3:8">
      <c r="C21" s="518" t="s">
        <v>1189</v>
      </c>
      <c r="D21" s="393">
        <f>F19*2</f>
        <v>1.6329931618554523E-5</v>
      </c>
      <c r="E21" s="527"/>
      <c r="F21" s="527"/>
      <c r="G21" s="527"/>
      <c r="H21" s="527"/>
    </row>
  </sheetData>
  <mergeCells count="16">
    <mergeCell ref="P12:P13"/>
    <mergeCell ref="D16:E16"/>
    <mergeCell ref="F16:T16"/>
    <mergeCell ref="F19:H19"/>
    <mergeCell ref="Q12:T13"/>
    <mergeCell ref="D14:L14"/>
    <mergeCell ref="N14:O14"/>
    <mergeCell ref="Q14:T14"/>
    <mergeCell ref="D15:L15"/>
    <mergeCell ref="N15:O15"/>
    <mergeCell ref="Q15:T15"/>
    <mergeCell ref="E3:F3"/>
    <mergeCell ref="E8:M8"/>
    <mergeCell ref="D12:L13"/>
    <mergeCell ref="M12:M13"/>
    <mergeCell ref="N12:O13"/>
  </mergeCells>
  <phoneticPr fontId="107" type="noConversion"/>
  <pageMargins left="0.75" right="0.75" top="1" bottom="1" header="0.5" footer="0.5"/>
  <legacyDrawing r:id="rId1"/>
  <oleObjects>
    <oleObject progId="Equation.3" shapeId="126977" r:id="rId2"/>
    <oleObject progId="Equation.3" shapeId="126978" r:id="rId3"/>
  </oleObjects>
</worksheet>
</file>

<file path=xl/worksheets/sheet55.xml><?xml version="1.0" encoding="utf-8"?>
<worksheet xmlns="http://schemas.openxmlformats.org/spreadsheetml/2006/main" xmlns:r="http://schemas.openxmlformats.org/officeDocument/2006/relationships">
  <dimension ref="A1:AU33"/>
  <sheetViews>
    <sheetView topLeftCell="A13" workbookViewId="0"/>
  </sheetViews>
  <sheetFormatPr defaultRowHeight="14.25"/>
  <cols>
    <col min="1" max="1" width="15" customWidth="1"/>
    <col min="4" max="4" width="13.125" customWidth="1"/>
    <col min="8" max="8" width="12.625" customWidth="1"/>
    <col min="29" max="29" width="9" hidden="1" customWidth="1"/>
    <col min="31" max="31" width="0.125" customWidth="1"/>
  </cols>
  <sheetData>
    <row r="1" spans="1:47">
      <c r="A1" t="s">
        <v>51</v>
      </c>
      <c r="B1" s="702" t="s">
        <v>3084</v>
      </c>
      <c r="F1" s="702" t="s">
        <v>3085</v>
      </c>
    </row>
    <row r="3" spans="1:47">
      <c r="A3" s="2298" t="s">
        <v>32</v>
      </c>
      <c r="B3" s="2298"/>
      <c r="C3" s="2298"/>
      <c r="D3" s="2"/>
    </row>
    <row r="4" spans="1:47" ht="18.75">
      <c r="A4" s="699" t="s">
        <v>1920</v>
      </c>
      <c r="B4" s="6" t="s">
        <v>69</v>
      </c>
      <c r="C4" s="6" t="s">
        <v>70</v>
      </c>
      <c r="D4" s="700" t="s">
        <v>3086</v>
      </c>
    </row>
    <row r="5" spans="1:47" ht="14.25" customHeight="1">
      <c r="A5" s="698" t="s">
        <v>3087</v>
      </c>
      <c r="B5" s="6" t="s">
        <v>72</v>
      </c>
      <c r="C5" s="6" t="s">
        <v>72</v>
      </c>
      <c r="D5" s="700" t="s">
        <v>3088</v>
      </c>
    </row>
    <row r="6" spans="1:47" ht="14.25" customHeight="1">
      <c r="A6" s="698" t="s">
        <v>3089</v>
      </c>
      <c r="B6" s="6" t="s">
        <v>72</v>
      </c>
      <c r="C6" s="6" t="s">
        <v>72</v>
      </c>
      <c r="D6" s="700" t="s">
        <v>3088</v>
      </c>
      <c r="U6" s="1749" t="s">
        <v>3090</v>
      </c>
      <c r="V6" s="1749"/>
      <c r="W6" s="1749"/>
      <c r="X6" s="1749"/>
      <c r="Y6" s="1749"/>
      <c r="Z6" s="1749"/>
      <c r="AA6" s="1749"/>
      <c r="AB6" s="1749"/>
    </row>
    <row r="7" spans="1:47" ht="14.25" customHeight="1">
      <c r="A7" s="698" t="s">
        <v>3091</v>
      </c>
      <c r="B7" s="6" t="s">
        <v>72</v>
      </c>
      <c r="C7" s="6" t="s">
        <v>84</v>
      </c>
      <c r="D7" s="700" t="s">
        <v>3088</v>
      </c>
      <c r="U7" s="1749"/>
      <c r="V7" s="1749"/>
      <c r="W7" s="1749"/>
      <c r="X7" s="1749"/>
      <c r="Y7" s="1749"/>
      <c r="Z7" s="1749"/>
      <c r="AA7" s="1749"/>
      <c r="AB7" s="1749"/>
    </row>
    <row r="8" spans="1:47" ht="14.25" customHeight="1">
      <c r="A8" s="6" t="s">
        <v>116</v>
      </c>
      <c r="B8" s="6" t="s">
        <v>72</v>
      </c>
      <c r="C8" s="6" t="s">
        <v>72</v>
      </c>
      <c r="D8" s="700" t="s">
        <v>3092</v>
      </c>
      <c r="U8" s="1749"/>
      <c r="V8" s="1749"/>
      <c r="W8" s="1749"/>
      <c r="X8" s="1749"/>
      <c r="Y8" s="1749"/>
      <c r="Z8" s="1749"/>
      <c r="AA8" s="1749"/>
      <c r="AB8" s="1749"/>
    </row>
    <row r="9" spans="1:47" ht="14.25" customHeight="1">
      <c r="A9" s="698" t="s">
        <v>3093</v>
      </c>
      <c r="B9" s="6" t="s">
        <v>72</v>
      </c>
      <c r="C9" s="6" t="s">
        <v>72</v>
      </c>
      <c r="D9" s="700" t="s">
        <v>3092</v>
      </c>
      <c r="U9" s="1749"/>
      <c r="V9" s="1749"/>
      <c r="W9" s="1749"/>
      <c r="X9" s="1749"/>
      <c r="Y9" s="1749"/>
      <c r="Z9" s="1749"/>
      <c r="AA9" s="1749"/>
      <c r="AB9" s="1749"/>
    </row>
    <row r="10" spans="1:47" ht="14.25" customHeight="1">
      <c r="A10" s="698" t="s">
        <v>2353</v>
      </c>
      <c r="B10" s="6" t="s">
        <v>72</v>
      </c>
      <c r="C10" s="6" t="s">
        <v>72</v>
      </c>
      <c r="D10" s="700" t="s">
        <v>3094</v>
      </c>
      <c r="U10" s="1749"/>
      <c r="V10" s="1749"/>
      <c r="W10" s="1749"/>
      <c r="X10" s="1749"/>
      <c r="Y10" s="1749"/>
      <c r="Z10" s="1749"/>
      <c r="AA10" s="1749"/>
      <c r="AB10" s="1749"/>
    </row>
    <row r="11" spans="1:47">
      <c r="A11" s="698" t="s">
        <v>3095</v>
      </c>
      <c r="B11" s="6"/>
      <c r="C11" s="6"/>
      <c r="D11" s="700" t="s">
        <v>3088</v>
      </c>
    </row>
    <row r="12" spans="1:47">
      <c r="A12" t="s">
        <v>73</v>
      </c>
    </row>
    <row r="14" spans="1:47">
      <c r="A14" s="713" t="s">
        <v>3096</v>
      </c>
      <c r="R14" s="702" t="s">
        <v>2315</v>
      </c>
      <c r="AG14" s="702" t="s">
        <v>2314</v>
      </c>
    </row>
    <row r="15" spans="1:47" ht="28.5">
      <c r="A15" s="1258" t="s">
        <v>3097</v>
      </c>
      <c r="B15" s="1108"/>
      <c r="C15" s="1108"/>
      <c r="D15" s="999"/>
      <c r="E15" s="999"/>
      <c r="F15" s="999"/>
      <c r="G15" s="999"/>
      <c r="H15" s="999"/>
      <c r="I15" s="999"/>
      <c r="J15" s="999"/>
      <c r="K15" s="999"/>
      <c r="L15" s="999"/>
      <c r="M15" s="999"/>
      <c r="N15" s="996"/>
      <c r="R15" s="2394" t="s">
        <v>2589</v>
      </c>
      <c r="S15" s="2462"/>
      <c r="T15" s="704"/>
      <c r="U15" s="1006" t="s">
        <v>90</v>
      </c>
      <c r="V15" s="1006">
        <v>10</v>
      </c>
      <c r="W15" s="1057" t="s">
        <v>3098</v>
      </c>
      <c r="X15" s="2975" t="s">
        <v>90</v>
      </c>
      <c r="Y15" s="2976"/>
      <c r="Z15" s="1009">
        <v>1</v>
      </c>
      <c r="AA15" s="1259" t="s">
        <v>3098</v>
      </c>
      <c r="AB15" s="2975" t="s">
        <v>90</v>
      </c>
      <c r="AC15" s="2976"/>
      <c r="AD15" s="1009">
        <v>100</v>
      </c>
      <c r="AE15" s="1259" t="s">
        <v>61</v>
      </c>
      <c r="AG15" s="2394" t="s">
        <v>2589</v>
      </c>
      <c r="AH15" s="2462"/>
      <c r="AI15" s="704"/>
      <c r="AJ15" s="1006" t="s">
        <v>90</v>
      </c>
      <c r="AK15" s="1006">
        <v>10</v>
      </c>
      <c r="AL15" s="1057" t="s">
        <v>3098</v>
      </c>
      <c r="AM15" s="2975" t="s">
        <v>90</v>
      </c>
      <c r="AN15" s="2976"/>
      <c r="AO15" s="1009">
        <v>1</v>
      </c>
      <c r="AP15" s="1259" t="s">
        <v>3098</v>
      </c>
      <c r="AQ15" s="2975" t="s">
        <v>90</v>
      </c>
      <c r="AR15" s="2976"/>
      <c r="AS15" s="1009">
        <v>100</v>
      </c>
      <c r="AT15" s="1259" t="s">
        <v>61</v>
      </c>
      <c r="AU15" s="1749" t="s">
        <v>3482</v>
      </c>
    </row>
    <row r="16" spans="1:47" ht="18.75" customHeight="1">
      <c r="A16" s="2394" t="s">
        <v>2589</v>
      </c>
      <c r="B16" s="2462"/>
      <c r="C16" s="704"/>
      <c r="D16" s="1006" t="s">
        <v>90</v>
      </c>
      <c r="E16" s="1006">
        <v>10</v>
      </c>
      <c r="F16" s="1057" t="s">
        <v>3098</v>
      </c>
      <c r="G16" s="2975" t="s">
        <v>90</v>
      </c>
      <c r="H16" s="2976"/>
      <c r="I16" s="1009">
        <v>1</v>
      </c>
      <c r="J16" s="1259" t="s">
        <v>3098</v>
      </c>
      <c r="K16" s="2975" t="s">
        <v>90</v>
      </c>
      <c r="L16" s="2976"/>
      <c r="M16" s="1009">
        <v>100</v>
      </c>
      <c r="N16" s="1259" t="s">
        <v>61</v>
      </c>
      <c r="R16" s="2463"/>
      <c r="S16" s="2464"/>
      <c r="T16" s="2693" t="s">
        <v>3100</v>
      </c>
      <c r="U16" s="2694"/>
      <c r="V16" s="2788" t="s">
        <v>2719</v>
      </c>
      <c r="W16" s="2789"/>
      <c r="X16" s="2693" t="s">
        <v>3100</v>
      </c>
      <c r="Y16" s="2694"/>
      <c r="Z16" s="2693" t="s">
        <v>100</v>
      </c>
      <c r="AA16" s="2694"/>
      <c r="AB16" s="2693" t="s">
        <v>3101</v>
      </c>
      <c r="AC16" s="2694"/>
      <c r="AD16" s="2693" t="s">
        <v>100</v>
      </c>
      <c r="AE16" s="2694"/>
      <c r="AG16" s="2463"/>
      <c r="AH16" s="2464"/>
      <c r="AI16" s="2693" t="s">
        <v>3100</v>
      </c>
      <c r="AJ16" s="2694"/>
      <c r="AK16" s="879" t="s">
        <v>2719</v>
      </c>
      <c r="AL16" t="s">
        <v>3483</v>
      </c>
      <c r="AM16" s="2693" t="s">
        <v>3100</v>
      </c>
      <c r="AN16" s="2694"/>
      <c r="AO16" s="939" t="s">
        <v>100</v>
      </c>
      <c r="AP16" t="s">
        <v>3483</v>
      </c>
      <c r="AQ16" s="2693" t="s">
        <v>3101</v>
      </c>
      <c r="AR16" s="2694"/>
      <c r="AS16" s="2693" t="s">
        <v>100</v>
      </c>
      <c r="AT16" s="2694"/>
      <c r="AU16" s="2338"/>
    </row>
    <row r="17" spans="1:47" ht="18.75" customHeight="1">
      <c r="A17" s="2463"/>
      <c r="B17" s="2464"/>
      <c r="C17" s="2693" t="s">
        <v>3100</v>
      </c>
      <c r="D17" s="2694"/>
      <c r="E17" s="879" t="s">
        <v>2719</v>
      </c>
      <c r="F17" t="s">
        <v>3483</v>
      </c>
      <c r="G17" s="2693" t="s">
        <v>3100</v>
      </c>
      <c r="H17" s="2694"/>
      <c r="I17" s="939" t="s">
        <v>100</v>
      </c>
      <c r="J17" t="s">
        <v>3483</v>
      </c>
      <c r="K17" s="2693" t="s">
        <v>3101</v>
      </c>
      <c r="L17" s="2694"/>
      <c r="M17" s="939" t="s">
        <v>100</v>
      </c>
      <c r="N17" t="s">
        <v>3483</v>
      </c>
      <c r="R17" s="2535">
        <v>1</v>
      </c>
      <c r="S17" s="2535"/>
      <c r="T17" s="3171" t="s">
        <v>3102</v>
      </c>
      <c r="U17" s="3171"/>
      <c r="V17" s="2991" t="e">
        <f>((R17*V$16)-T17)/T17*100</f>
        <v>#VALUE!</v>
      </c>
      <c r="W17" s="2992"/>
      <c r="X17" s="3171" t="s">
        <v>3103</v>
      </c>
      <c r="Y17" s="3171"/>
      <c r="Z17" s="3172">
        <f>((R17*Z$10)-X17)/X17*100</f>
        <v>-100</v>
      </c>
      <c r="AA17" s="3173"/>
      <c r="AB17" s="3171" t="s">
        <v>3104</v>
      </c>
      <c r="AC17" s="3171"/>
      <c r="AD17" s="3172">
        <f>((R17*AD$10)-AB17)/AB17*100</f>
        <v>-100</v>
      </c>
      <c r="AE17" s="3173"/>
      <c r="AG17" s="2535">
        <v>1</v>
      </c>
      <c r="AH17" s="2535"/>
      <c r="AI17" s="3171" t="s">
        <v>3102</v>
      </c>
      <c r="AJ17" s="3171"/>
      <c r="AK17" s="1359" t="e">
        <f>((AG17*AK$16)-AI17)/AI17*100</f>
        <v>#VALUE!</v>
      </c>
      <c r="AL17" s="1749"/>
      <c r="AM17" s="3171" t="s">
        <v>3103</v>
      </c>
      <c r="AN17" s="3171"/>
      <c r="AO17" s="1360">
        <f>((AG17*AO$10)-AM17)/AM17*100</f>
        <v>-100</v>
      </c>
      <c r="AP17" s="1749"/>
      <c r="AQ17" s="3171" t="s">
        <v>3104</v>
      </c>
      <c r="AR17" s="3171"/>
      <c r="AS17" s="3172">
        <f>((AG17*AS$10)-AQ17)/AQ17*100</f>
        <v>-100</v>
      </c>
      <c r="AT17" s="3173"/>
      <c r="AU17" s="2745"/>
    </row>
    <row r="18" spans="1:47" ht="18.75" customHeight="1">
      <c r="A18" s="2535">
        <v>1</v>
      </c>
      <c r="B18" s="2535"/>
      <c r="C18" s="3171" t="s">
        <v>3102</v>
      </c>
      <c r="D18" s="3171"/>
      <c r="E18" s="1359">
        <f>((A18*E$16)-C18)/C18*100</f>
        <v>-0.69513406156901969</v>
      </c>
      <c r="F18" s="1749"/>
      <c r="G18" s="3171" t="s">
        <v>3103</v>
      </c>
      <c r="H18" s="3171"/>
      <c r="I18" s="1360">
        <f>((A18*I$10)-G18)/G18*100</f>
        <v>-100</v>
      </c>
      <c r="J18" s="1749"/>
      <c r="K18" s="3171" t="s">
        <v>3104</v>
      </c>
      <c r="L18" s="3171"/>
      <c r="M18" s="1360">
        <f>((A18*M$10)-K18)/K18*100</f>
        <v>-100</v>
      </c>
      <c r="N18" s="1749"/>
      <c r="R18" s="2535">
        <v>2</v>
      </c>
      <c r="S18" s="2535"/>
      <c r="T18" s="3171" t="s">
        <v>3105</v>
      </c>
      <c r="U18" s="3171"/>
      <c r="V18" s="2991">
        <f t="shared" ref="V18:V26" si="0">((R18*V$10)-T18)/T18*100</f>
        <v>-100</v>
      </c>
      <c r="W18" s="2992"/>
      <c r="X18" s="3171" t="s">
        <v>3106</v>
      </c>
      <c r="Y18" s="3171"/>
      <c r="Z18" s="3172">
        <f t="shared" ref="Z18:Z26" si="1">((R18*Z$10)-X18)/X18*100</f>
        <v>-100</v>
      </c>
      <c r="AA18" s="3173"/>
      <c r="AB18" s="3171" t="s">
        <v>3107</v>
      </c>
      <c r="AC18" s="3171"/>
      <c r="AD18" s="3172">
        <f t="shared" ref="AD18:AD25" si="2">((R18*AD$10)-AB18)/AB18*100</f>
        <v>-100</v>
      </c>
      <c r="AE18" s="3173"/>
      <c r="AG18" s="2535">
        <v>2</v>
      </c>
      <c r="AH18" s="2535"/>
      <c r="AI18" s="3171" t="s">
        <v>3105</v>
      </c>
      <c r="AJ18" s="3171"/>
      <c r="AK18" s="1359">
        <f t="shared" ref="AK18:AK26" si="3">((AG18*AK$10)-AI18)/AI18*100</f>
        <v>-100</v>
      </c>
      <c r="AL18" s="1749"/>
      <c r="AM18" s="3171" t="s">
        <v>3106</v>
      </c>
      <c r="AN18" s="3171"/>
      <c r="AO18" s="1360">
        <f t="shared" ref="AO18:AO26" si="4">((AG18*AO$10)-AM18)/AM18*100</f>
        <v>-100</v>
      </c>
      <c r="AP18" s="1749"/>
      <c r="AQ18" s="3171" t="s">
        <v>3107</v>
      </c>
      <c r="AR18" s="3171"/>
      <c r="AS18" s="3172">
        <f t="shared" ref="AS18:AS25" si="5">((AG18*AS$10)-AQ18)/AQ18*100</f>
        <v>-100</v>
      </c>
      <c r="AT18" s="3173"/>
      <c r="AU18" s="2339"/>
    </row>
    <row r="19" spans="1:47" ht="18.75" customHeight="1">
      <c r="A19" s="2535">
        <v>2</v>
      </c>
      <c r="B19" s="2535"/>
      <c r="C19" s="3171" t="s">
        <v>3105</v>
      </c>
      <c r="D19" s="3171"/>
      <c r="E19" s="1359">
        <f t="shared" ref="E19:E27" si="6">((A19*E$10)-C19)/C19*100</f>
        <v>-100</v>
      </c>
      <c r="F19" s="1749"/>
      <c r="G19" s="3171" t="s">
        <v>3106</v>
      </c>
      <c r="H19" s="3171"/>
      <c r="I19" s="1360">
        <f t="shared" ref="I19:I27" si="7">((A19*I$10)-G19)/G19*100</f>
        <v>-100</v>
      </c>
      <c r="J19" s="1749"/>
      <c r="K19" s="3171" t="s">
        <v>3107</v>
      </c>
      <c r="L19" s="3171"/>
      <c r="M19" s="1360">
        <f t="shared" ref="M19:M26" si="8">((A19*M$10)-K19)/K19*100</f>
        <v>-100</v>
      </c>
      <c r="N19" s="1749"/>
      <c r="P19" s="3178" t="s">
        <v>3108</v>
      </c>
      <c r="Q19" s="3179"/>
      <c r="R19" s="2535">
        <v>3</v>
      </c>
      <c r="S19" s="2535"/>
      <c r="T19" s="3171" t="s">
        <v>3109</v>
      </c>
      <c r="U19" s="3171"/>
      <c r="V19" s="2991">
        <f t="shared" si="0"/>
        <v>-100</v>
      </c>
      <c r="W19" s="2992"/>
      <c r="X19" s="3171" t="s">
        <v>3110</v>
      </c>
      <c r="Y19" s="3171"/>
      <c r="Z19" s="3172">
        <f t="shared" si="1"/>
        <v>-100</v>
      </c>
      <c r="AA19" s="3173"/>
      <c r="AB19" s="3171" t="s">
        <v>3111</v>
      </c>
      <c r="AC19" s="3171"/>
      <c r="AD19" s="3172">
        <f t="shared" si="2"/>
        <v>-100</v>
      </c>
      <c r="AE19" s="3173"/>
      <c r="AG19" s="2535">
        <v>3</v>
      </c>
      <c r="AH19" s="2535"/>
      <c r="AI19" s="3171" t="s">
        <v>3109</v>
      </c>
      <c r="AJ19" s="3171"/>
      <c r="AK19" s="1359">
        <f t="shared" si="3"/>
        <v>-100</v>
      </c>
      <c r="AL19" s="1749"/>
      <c r="AM19" s="3171" t="s">
        <v>3110</v>
      </c>
      <c r="AN19" s="3171"/>
      <c r="AO19" s="1360">
        <f t="shared" si="4"/>
        <v>-100</v>
      </c>
      <c r="AP19" s="1749"/>
      <c r="AQ19" s="3171" t="s">
        <v>3111</v>
      </c>
      <c r="AR19" s="3171"/>
      <c r="AS19" s="3172">
        <f t="shared" si="5"/>
        <v>-100</v>
      </c>
      <c r="AT19" s="3173"/>
      <c r="AU19" s="2339"/>
    </row>
    <row r="20" spans="1:47">
      <c r="A20" s="2535">
        <v>3</v>
      </c>
      <c r="B20" s="2535"/>
      <c r="C20" s="3171" t="s">
        <v>3109</v>
      </c>
      <c r="D20" s="3171"/>
      <c r="E20" s="1359">
        <f t="shared" si="6"/>
        <v>-100</v>
      </c>
      <c r="F20" s="1749"/>
      <c r="G20" s="3171" t="s">
        <v>3110</v>
      </c>
      <c r="H20" s="3171"/>
      <c r="I20" s="1360">
        <f t="shared" si="7"/>
        <v>-100</v>
      </c>
      <c r="J20" s="1749"/>
      <c r="K20" s="3171" t="s">
        <v>3111</v>
      </c>
      <c r="L20" s="3171"/>
      <c r="M20" s="1360">
        <f t="shared" si="8"/>
        <v>-100</v>
      </c>
      <c r="N20" s="1749"/>
      <c r="P20" s="3179"/>
      <c r="Q20" s="3179"/>
      <c r="R20" s="2535">
        <v>4</v>
      </c>
      <c r="S20" s="2535"/>
      <c r="T20" s="3171" t="s">
        <v>3112</v>
      </c>
      <c r="U20" s="3171"/>
      <c r="V20" s="2991">
        <f t="shared" si="0"/>
        <v>-100</v>
      </c>
      <c r="W20" s="2992"/>
      <c r="X20" s="3171" t="s">
        <v>3113</v>
      </c>
      <c r="Y20" s="3171"/>
      <c r="Z20" s="3172">
        <f t="shared" si="1"/>
        <v>-100</v>
      </c>
      <c r="AA20" s="3173"/>
      <c r="AB20" s="3171" t="s">
        <v>3114</v>
      </c>
      <c r="AC20" s="3171"/>
      <c r="AD20" s="3172">
        <f t="shared" si="2"/>
        <v>-100</v>
      </c>
      <c r="AE20" s="3173"/>
      <c r="AG20" s="2535">
        <v>4</v>
      </c>
      <c r="AH20" s="2535"/>
      <c r="AI20" s="3171" t="s">
        <v>3112</v>
      </c>
      <c r="AJ20" s="3171"/>
      <c r="AK20" s="1359">
        <f t="shared" si="3"/>
        <v>-100</v>
      </c>
      <c r="AL20" s="1749"/>
      <c r="AM20" s="3171" t="s">
        <v>3113</v>
      </c>
      <c r="AN20" s="3171"/>
      <c r="AO20" s="1360">
        <f t="shared" si="4"/>
        <v>-100</v>
      </c>
      <c r="AP20" s="1749"/>
      <c r="AQ20" s="3171" t="s">
        <v>3114</v>
      </c>
      <c r="AR20" s="3171"/>
      <c r="AS20" s="3172">
        <f t="shared" si="5"/>
        <v>-100</v>
      </c>
      <c r="AT20" s="3173"/>
      <c r="AU20" s="2339"/>
    </row>
    <row r="21" spans="1:47">
      <c r="A21" s="2535">
        <v>4</v>
      </c>
      <c r="B21" s="2535"/>
      <c r="C21" s="3171" t="s">
        <v>3112</v>
      </c>
      <c r="D21" s="3171"/>
      <c r="E21" s="1359">
        <f t="shared" si="6"/>
        <v>-100</v>
      </c>
      <c r="F21" s="1749"/>
      <c r="G21" s="3171" t="s">
        <v>3113</v>
      </c>
      <c r="H21" s="3171"/>
      <c r="I21" s="1360">
        <f t="shared" si="7"/>
        <v>-100</v>
      </c>
      <c r="J21" s="1749"/>
      <c r="K21" s="3171" t="s">
        <v>3114</v>
      </c>
      <c r="L21" s="3171"/>
      <c r="M21" s="1360">
        <f t="shared" si="8"/>
        <v>-100</v>
      </c>
      <c r="N21" s="1749"/>
      <c r="P21" s="3179"/>
      <c r="Q21" s="3179"/>
      <c r="R21" s="2535">
        <v>5</v>
      </c>
      <c r="S21" s="2535"/>
      <c r="T21" s="3171" t="s">
        <v>3115</v>
      </c>
      <c r="U21" s="3171"/>
      <c r="V21" s="2991">
        <f t="shared" si="0"/>
        <v>-100</v>
      </c>
      <c r="W21" s="2992"/>
      <c r="X21" s="3171" t="s">
        <v>3116</v>
      </c>
      <c r="Y21" s="3171"/>
      <c r="Z21" s="3172">
        <f t="shared" si="1"/>
        <v>-100</v>
      </c>
      <c r="AA21" s="3173"/>
      <c r="AB21" s="3171" t="s">
        <v>3117</v>
      </c>
      <c r="AC21" s="3171"/>
      <c r="AD21" s="3172">
        <f t="shared" si="2"/>
        <v>-100</v>
      </c>
      <c r="AE21" s="3173"/>
      <c r="AG21" s="2535">
        <v>5</v>
      </c>
      <c r="AH21" s="2535"/>
      <c r="AI21" s="3171" t="s">
        <v>3115</v>
      </c>
      <c r="AJ21" s="3171"/>
      <c r="AK21" s="1359">
        <f t="shared" si="3"/>
        <v>-100</v>
      </c>
      <c r="AL21" s="1749"/>
      <c r="AM21" s="3171" t="s">
        <v>3116</v>
      </c>
      <c r="AN21" s="3171"/>
      <c r="AO21" s="1360">
        <f t="shared" si="4"/>
        <v>-100</v>
      </c>
      <c r="AP21" s="1749"/>
      <c r="AQ21" s="3171" t="s">
        <v>3117</v>
      </c>
      <c r="AR21" s="3171"/>
      <c r="AS21" s="3172">
        <f t="shared" si="5"/>
        <v>-100</v>
      </c>
      <c r="AT21" s="3173"/>
      <c r="AU21" s="2339"/>
    </row>
    <row r="22" spans="1:47">
      <c r="A22" s="2535">
        <v>5</v>
      </c>
      <c r="B22" s="2535"/>
      <c r="C22" s="3171" t="s">
        <v>3115</v>
      </c>
      <c r="D22" s="3171"/>
      <c r="E22" s="1359">
        <f t="shared" si="6"/>
        <v>-100</v>
      </c>
      <c r="F22" s="1749"/>
      <c r="G22" s="3171" t="s">
        <v>3116</v>
      </c>
      <c r="H22" s="3171"/>
      <c r="I22" s="1360">
        <f t="shared" si="7"/>
        <v>-100</v>
      </c>
      <c r="J22" s="1749"/>
      <c r="K22" s="3171" t="s">
        <v>3117</v>
      </c>
      <c r="L22" s="3171"/>
      <c r="M22" s="1360">
        <f t="shared" si="8"/>
        <v>-100</v>
      </c>
      <c r="N22" s="1749"/>
      <c r="P22" s="3179"/>
      <c r="Q22" s="3179"/>
      <c r="R22" s="2535">
        <v>6</v>
      </c>
      <c r="S22" s="2535"/>
      <c r="T22" s="3171" t="s">
        <v>3118</v>
      </c>
      <c r="U22" s="3171"/>
      <c r="V22" s="2991">
        <f t="shared" si="0"/>
        <v>-100</v>
      </c>
      <c r="W22" s="2992"/>
      <c r="X22" s="3171" t="s">
        <v>3119</v>
      </c>
      <c r="Y22" s="3171"/>
      <c r="Z22" s="3172">
        <f t="shared" si="1"/>
        <v>-100</v>
      </c>
      <c r="AA22" s="3173"/>
      <c r="AB22" s="3171" t="s">
        <v>3120</v>
      </c>
      <c r="AC22" s="3171"/>
      <c r="AD22" s="3172">
        <f t="shared" si="2"/>
        <v>-100</v>
      </c>
      <c r="AE22" s="3173"/>
      <c r="AG22" s="2535">
        <v>6</v>
      </c>
      <c r="AH22" s="2535"/>
      <c r="AI22" s="3171" t="s">
        <v>3118</v>
      </c>
      <c r="AJ22" s="3171"/>
      <c r="AK22" s="1359">
        <f t="shared" si="3"/>
        <v>-100</v>
      </c>
      <c r="AL22" s="1749"/>
      <c r="AM22" s="3171" t="s">
        <v>3119</v>
      </c>
      <c r="AN22" s="3171"/>
      <c r="AO22" s="1360">
        <f t="shared" si="4"/>
        <v>-100</v>
      </c>
      <c r="AP22" s="1749"/>
      <c r="AQ22" s="3171" t="s">
        <v>3120</v>
      </c>
      <c r="AR22" s="3171"/>
      <c r="AS22" s="3172">
        <f t="shared" si="5"/>
        <v>-100</v>
      </c>
      <c r="AT22" s="3173"/>
      <c r="AU22" s="2339"/>
    </row>
    <row r="23" spans="1:47">
      <c r="A23" s="2535">
        <v>6</v>
      </c>
      <c r="B23" s="2535"/>
      <c r="C23" s="3171" t="s">
        <v>3118</v>
      </c>
      <c r="D23" s="3171"/>
      <c r="E23" s="1359">
        <f t="shared" si="6"/>
        <v>-100</v>
      </c>
      <c r="F23" s="1749"/>
      <c r="G23" s="3171" t="s">
        <v>3119</v>
      </c>
      <c r="H23" s="3171"/>
      <c r="I23" s="1360">
        <f t="shared" si="7"/>
        <v>-100</v>
      </c>
      <c r="J23" s="1749"/>
      <c r="K23" s="3171" t="s">
        <v>3120</v>
      </c>
      <c r="L23" s="3171"/>
      <c r="M23" s="1360">
        <f t="shared" si="8"/>
        <v>-100</v>
      </c>
      <c r="N23" s="1749"/>
      <c r="P23" s="3179"/>
      <c r="Q23" s="3179"/>
      <c r="R23" s="2535">
        <v>7</v>
      </c>
      <c r="S23" s="2535"/>
      <c r="T23" s="3171" t="s">
        <v>3121</v>
      </c>
      <c r="U23" s="3171"/>
      <c r="V23" s="2991">
        <f t="shared" si="0"/>
        <v>-100</v>
      </c>
      <c r="W23" s="2992"/>
      <c r="X23" s="3171" t="s">
        <v>3122</v>
      </c>
      <c r="Y23" s="3171"/>
      <c r="Z23" s="3172">
        <f t="shared" si="1"/>
        <v>-100</v>
      </c>
      <c r="AA23" s="3173"/>
      <c r="AB23" s="3171" t="s">
        <v>3123</v>
      </c>
      <c r="AC23" s="3171"/>
      <c r="AD23" s="3172">
        <f t="shared" si="2"/>
        <v>-100</v>
      </c>
      <c r="AE23" s="3173"/>
      <c r="AG23" s="2535">
        <v>7</v>
      </c>
      <c r="AH23" s="2535"/>
      <c r="AI23" s="3171" t="s">
        <v>3121</v>
      </c>
      <c r="AJ23" s="3171"/>
      <c r="AK23" s="1359">
        <f t="shared" si="3"/>
        <v>-100</v>
      </c>
      <c r="AL23" s="1749"/>
      <c r="AM23" s="3171" t="s">
        <v>3122</v>
      </c>
      <c r="AN23" s="3171"/>
      <c r="AO23" s="1360">
        <f t="shared" si="4"/>
        <v>-100</v>
      </c>
      <c r="AP23" s="1749"/>
      <c r="AQ23" s="3171" t="s">
        <v>3123</v>
      </c>
      <c r="AR23" s="3171"/>
      <c r="AS23" s="3172">
        <f t="shared" si="5"/>
        <v>-100</v>
      </c>
      <c r="AT23" s="3173"/>
      <c r="AU23" s="2339"/>
    </row>
    <row r="24" spans="1:47" ht="18.75" customHeight="1">
      <c r="A24" s="2535">
        <v>7</v>
      </c>
      <c r="B24" s="2535"/>
      <c r="C24" s="3171" t="s">
        <v>3121</v>
      </c>
      <c r="D24" s="3171"/>
      <c r="E24" s="1359">
        <f t="shared" si="6"/>
        <v>-100</v>
      </c>
      <c r="F24" s="1749"/>
      <c r="G24" s="3171" t="s">
        <v>3122</v>
      </c>
      <c r="H24" s="3171"/>
      <c r="I24" s="1360">
        <f t="shared" si="7"/>
        <v>-100</v>
      </c>
      <c r="J24" s="1749"/>
      <c r="K24" s="3171" t="s">
        <v>3123</v>
      </c>
      <c r="L24" s="3171"/>
      <c r="M24" s="1360">
        <f t="shared" si="8"/>
        <v>-100</v>
      </c>
      <c r="N24" s="1749"/>
      <c r="P24" s="3179"/>
      <c r="Q24" s="3179"/>
      <c r="R24" s="2535">
        <v>8</v>
      </c>
      <c r="S24" s="2535"/>
      <c r="T24" s="3171" t="s">
        <v>3124</v>
      </c>
      <c r="U24" s="3171"/>
      <c r="V24" s="2991">
        <f t="shared" si="0"/>
        <v>-100</v>
      </c>
      <c r="W24" s="2992"/>
      <c r="X24" s="3171" t="s">
        <v>3125</v>
      </c>
      <c r="Y24" s="3171"/>
      <c r="Z24" s="3172">
        <f t="shared" si="1"/>
        <v>-100</v>
      </c>
      <c r="AA24" s="3173"/>
      <c r="AB24" s="3171" t="s">
        <v>3126</v>
      </c>
      <c r="AC24" s="3171"/>
      <c r="AD24" s="3172">
        <f t="shared" si="2"/>
        <v>-100</v>
      </c>
      <c r="AE24" s="3173"/>
      <c r="AG24" s="2535">
        <v>8</v>
      </c>
      <c r="AH24" s="2535"/>
      <c r="AI24" s="3171" t="s">
        <v>3124</v>
      </c>
      <c r="AJ24" s="3171"/>
      <c r="AK24" s="1359">
        <f t="shared" si="3"/>
        <v>-100</v>
      </c>
      <c r="AL24" s="1749"/>
      <c r="AM24" s="3171" t="s">
        <v>3125</v>
      </c>
      <c r="AN24" s="3171"/>
      <c r="AO24" s="1360">
        <f t="shared" si="4"/>
        <v>-100</v>
      </c>
      <c r="AP24" s="1749"/>
      <c r="AQ24" s="3171" t="s">
        <v>3126</v>
      </c>
      <c r="AR24" s="3171"/>
      <c r="AS24" s="3172">
        <f t="shared" si="5"/>
        <v>-100</v>
      </c>
      <c r="AT24" s="3173"/>
      <c r="AU24" s="2339"/>
    </row>
    <row r="25" spans="1:47" ht="18.75" customHeight="1">
      <c r="A25" s="2535">
        <v>8</v>
      </c>
      <c r="B25" s="2535"/>
      <c r="C25" s="3171" t="s">
        <v>3124</v>
      </c>
      <c r="D25" s="3171"/>
      <c r="E25" s="1359">
        <f t="shared" si="6"/>
        <v>-100</v>
      </c>
      <c r="F25" s="1749"/>
      <c r="G25" s="3171" t="s">
        <v>3125</v>
      </c>
      <c r="H25" s="3171"/>
      <c r="I25" s="1360">
        <f t="shared" si="7"/>
        <v>-100</v>
      </c>
      <c r="J25" s="1749"/>
      <c r="K25" s="3171" t="s">
        <v>3126</v>
      </c>
      <c r="L25" s="3171"/>
      <c r="M25" s="1360">
        <f t="shared" si="8"/>
        <v>-100</v>
      </c>
      <c r="N25" s="1749"/>
      <c r="P25" s="3179"/>
      <c r="Q25" s="3179"/>
      <c r="R25" s="2535">
        <v>9</v>
      </c>
      <c r="S25" s="2535"/>
      <c r="T25" s="3171" t="s">
        <v>3127</v>
      </c>
      <c r="U25" s="3171"/>
      <c r="V25" s="2991">
        <f t="shared" si="0"/>
        <v>-100</v>
      </c>
      <c r="W25" s="2992"/>
      <c r="X25" s="3171" t="s">
        <v>3128</v>
      </c>
      <c r="Y25" s="3171"/>
      <c r="Z25" s="3172">
        <f t="shared" si="1"/>
        <v>-100</v>
      </c>
      <c r="AA25" s="3173"/>
      <c r="AB25" s="3171" t="s">
        <v>3129</v>
      </c>
      <c r="AC25" s="3171"/>
      <c r="AD25" s="3172">
        <f t="shared" si="2"/>
        <v>-100</v>
      </c>
      <c r="AE25" s="3173"/>
      <c r="AG25" s="2535">
        <v>9</v>
      </c>
      <c r="AH25" s="2535"/>
      <c r="AI25" s="3171" t="s">
        <v>3127</v>
      </c>
      <c r="AJ25" s="3171"/>
      <c r="AK25" s="1359">
        <f t="shared" si="3"/>
        <v>-100</v>
      </c>
      <c r="AL25" s="1749"/>
      <c r="AM25" s="3171" t="s">
        <v>3128</v>
      </c>
      <c r="AN25" s="3171"/>
      <c r="AO25" s="1360">
        <f t="shared" si="4"/>
        <v>-100</v>
      </c>
      <c r="AP25" s="1749"/>
      <c r="AQ25" s="3171" t="s">
        <v>3129</v>
      </c>
      <c r="AR25" s="3171"/>
      <c r="AS25" s="3172">
        <f t="shared" si="5"/>
        <v>-100</v>
      </c>
      <c r="AT25" s="3173"/>
      <c r="AU25" s="2339"/>
    </row>
    <row r="26" spans="1:47" ht="18.75" customHeight="1">
      <c r="A26" s="2535">
        <v>9</v>
      </c>
      <c r="B26" s="2535"/>
      <c r="C26" s="3171" t="s">
        <v>3127</v>
      </c>
      <c r="D26" s="3171"/>
      <c r="E26" s="1359">
        <f t="shared" si="6"/>
        <v>-100</v>
      </c>
      <c r="F26" s="1749"/>
      <c r="G26" s="3171" t="s">
        <v>3128</v>
      </c>
      <c r="H26" s="3171"/>
      <c r="I26" s="1360">
        <f t="shared" si="7"/>
        <v>-100</v>
      </c>
      <c r="J26" s="1749"/>
      <c r="K26" s="3171" t="s">
        <v>3129</v>
      </c>
      <c r="L26" s="3171"/>
      <c r="M26" s="1360">
        <f t="shared" si="8"/>
        <v>-100</v>
      </c>
      <c r="N26" s="1749"/>
      <c r="R26" s="2535">
        <v>10</v>
      </c>
      <c r="S26" s="2535"/>
      <c r="T26" s="3171" t="s">
        <v>3130</v>
      </c>
      <c r="U26" s="3171"/>
      <c r="V26" s="2991">
        <f t="shared" si="0"/>
        <v>-100</v>
      </c>
      <c r="W26" s="2992"/>
      <c r="X26" s="3171" t="s">
        <v>3131</v>
      </c>
      <c r="Y26" s="3171"/>
      <c r="Z26" s="3172">
        <f t="shared" si="1"/>
        <v>-100</v>
      </c>
      <c r="AA26" s="3173"/>
      <c r="AB26" s="3171" t="s">
        <v>3132</v>
      </c>
      <c r="AC26" s="3171"/>
      <c r="AD26" s="3172">
        <f>((R26*AD$10)-AB26)/AB26*100</f>
        <v>-100</v>
      </c>
      <c r="AE26" s="3173"/>
      <c r="AG26" s="2535">
        <v>10</v>
      </c>
      <c r="AH26" s="2535"/>
      <c r="AI26" s="3171" t="s">
        <v>3130</v>
      </c>
      <c r="AJ26" s="3171"/>
      <c r="AK26" s="1359">
        <f t="shared" si="3"/>
        <v>-100</v>
      </c>
      <c r="AL26" s="1749"/>
      <c r="AM26" s="3171" t="s">
        <v>3131</v>
      </c>
      <c r="AN26" s="3171"/>
      <c r="AO26" s="1360">
        <f t="shared" si="4"/>
        <v>-100</v>
      </c>
      <c r="AP26" s="1749"/>
      <c r="AQ26" s="3171" t="s">
        <v>3132</v>
      </c>
      <c r="AR26" s="3171"/>
      <c r="AS26" s="3172">
        <f>((AG26*AS$10)-AQ26)/AQ26*100</f>
        <v>-100</v>
      </c>
      <c r="AT26" s="3173"/>
      <c r="AU26" s="2746"/>
    </row>
    <row r="27" spans="1:47" ht="18.75" customHeight="1">
      <c r="A27" s="2535">
        <v>10</v>
      </c>
      <c r="B27" s="2535"/>
      <c r="C27" s="3171" t="s">
        <v>3130</v>
      </c>
      <c r="D27" s="3171"/>
      <c r="E27" s="1359">
        <f t="shared" si="6"/>
        <v>-100</v>
      </c>
      <c r="F27" s="1749"/>
      <c r="G27" s="3171" t="s">
        <v>3131</v>
      </c>
      <c r="H27" s="3171"/>
      <c r="I27" s="1360">
        <f t="shared" si="7"/>
        <v>-100</v>
      </c>
      <c r="J27" s="1749"/>
      <c r="K27" s="3171" t="s">
        <v>3132</v>
      </c>
      <c r="L27" s="3171"/>
      <c r="M27" s="1360">
        <f>((A27*M$10)-K27)/K27*100</f>
        <v>-100</v>
      </c>
      <c r="N27" s="1749"/>
      <c r="R27" s="2571" t="s">
        <v>3133</v>
      </c>
      <c r="S27" s="2571"/>
      <c r="T27" s="2658" t="s">
        <v>3134</v>
      </c>
      <c r="U27" s="2602"/>
      <c r="V27" s="2602"/>
      <c r="W27" s="2603"/>
      <c r="X27" s="2585" t="s">
        <v>2720</v>
      </c>
      <c r="Y27" s="2651"/>
      <c r="Z27" s="2651"/>
      <c r="AA27" s="2652"/>
      <c r="AB27" s="2585" t="s">
        <v>2758</v>
      </c>
      <c r="AC27" s="2651"/>
      <c r="AD27" s="2651"/>
      <c r="AE27" s="2652"/>
      <c r="AG27" s="2571" t="s">
        <v>3133</v>
      </c>
      <c r="AH27" s="2571"/>
      <c r="AI27" s="2658" t="s">
        <v>3134</v>
      </c>
      <c r="AJ27" s="2602"/>
      <c r="AK27" s="2602"/>
      <c r="AL27" s="2603"/>
      <c r="AM27" s="2585" t="s">
        <v>2720</v>
      </c>
      <c r="AN27" s="2651"/>
      <c r="AO27" s="2651"/>
      <c r="AP27" s="2652"/>
      <c r="AQ27" s="2585" t="s">
        <v>2758</v>
      </c>
      <c r="AR27" s="2651"/>
      <c r="AS27" s="2651"/>
      <c r="AT27" s="2652"/>
      <c r="AU27" s="2"/>
    </row>
    <row r="28" spans="1:47">
      <c r="A28" s="2571" t="s">
        <v>3133</v>
      </c>
      <c r="B28" s="2571"/>
      <c r="C28" s="2658" t="s">
        <v>3134</v>
      </c>
      <c r="D28" s="2602"/>
      <c r="E28" s="2602"/>
      <c r="F28" s="2603"/>
      <c r="G28" s="2585" t="s">
        <v>2720</v>
      </c>
      <c r="H28" s="2651"/>
      <c r="I28" s="2651"/>
      <c r="J28" s="2652"/>
      <c r="K28" s="2585" t="s">
        <v>2758</v>
      </c>
      <c r="L28" s="2651"/>
      <c r="M28" s="2651"/>
      <c r="N28" s="2652"/>
    </row>
    <row r="30" spans="1:47">
      <c r="A30" s="702" t="s">
        <v>3135</v>
      </c>
      <c r="R30" s="702" t="s">
        <v>2315</v>
      </c>
      <c r="AG30" s="702" t="s">
        <v>1987</v>
      </c>
    </row>
    <row r="31" spans="1:47">
      <c r="A31" s="2434" t="s">
        <v>1930</v>
      </c>
      <c r="B31" s="2434"/>
      <c r="C31" s="2434"/>
      <c r="D31" s="2434"/>
      <c r="E31" s="3169" t="s">
        <v>3136</v>
      </c>
      <c r="F31" s="3169"/>
      <c r="G31" s="3169"/>
      <c r="H31" s="3169"/>
      <c r="I31" s="2483" t="s">
        <v>2083</v>
      </c>
      <c r="J31" s="2483"/>
      <c r="K31" s="2483"/>
      <c r="L31" s="1260"/>
      <c r="M31" s="3166" t="s">
        <v>2084</v>
      </c>
      <c r="N31" s="3167"/>
      <c r="O31" s="1374" t="s">
        <v>3483</v>
      </c>
      <c r="P31" s="3178" t="s">
        <v>3137</v>
      </c>
      <c r="Q31" s="3179"/>
      <c r="R31" s="2434" t="s">
        <v>1930</v>
      </c>
      <c r="S31" s="2434"/>
      <c r="T31" s="2434"/>
      <c r="U31" s="2434"/>
      <c r="V31" s="3169" t="s">
        <v>3136</v>
      </c>
      <c r="W31" s="3169"/>
      <c r="X31" s="3169"/>
      <c r="Y31" s="3169"/>
      <c r="Z31" s="2484" t="s">
        <v>2083</v>
      </c>
      <c r="AA31" s="3170"/>
      <c r="AB31" s="3170"/>
      <c r="AC31" s="2959"/>
      <c r="AD31" s="3166" t="s">
        <v>2084</v>
      </c>
      <c r="AE31" s="3167"/>
      <c r="AG31" s="2434" t="s">
        <v>1930</v>
      </c>
      <c r="AH31" s="2434"/>
      <c r="AI31" s="2434"/>
      <c r="AJ31" s="2434"/>
      <c r="AK31" s="3169" t="s">
        <v>3136</v>
      </c>
      <c r="AL31" s="3169"/>
      <c r="AM31" s="3169"/>
      <c r="AN31" s="3169"/>
      <c r="AO31" s="2483" t="s">
        <v>2083</v>
      </c>
      <c r="AP31" s="2483"/>
      <c r="AQ31" s="2483"/>
      <c r="AR31" s="1260"/>
      <c r="AS31" s="3166" t="s">
        <v>2084</v>
      </c>
      <c r="AT31" s="3167"/>
      <c r="AU31" t="s">
        <v>3483</v>
      </c>
    </row>
    <row r="32" spans="1:47" ht="14.25" customHeight="1">
      <c r="A32" s="3174">
        <v>100</v>
      </c>
      <c r="B32" s="3175"/>
      <c r="C32" s="3175"/>
      <c r="D32" s="3176" t="s">
        <v>3138</v>
      </c>
      <c r="E32" s="3174">
        <v>102</v>
      </c>
      <c r="F32" s="3175">
        <v>104</v>
      </c>
      <c r="G32" s="3175" t="s">
        <v>3138</v>
      </c>
      <c r="H32" s="3176"/>
      <c r="I32" s="2991">
        <f>(A32-E32)/E32*100</f>
        <v>-1.9607843137254901</v>
      </c>
      <c r="J32" s="3177"/>
      <c r="K32" s="2992"/>
      <c r="L32" s="1260"/>
      <c r="M32" s="2486" t="s">
        <v>3134</v>
      </c>
      <c r="N32" s="2486"/>
      <c r="O32" s="2"/>
      <c r="P32" s="3179"/>
      <c r="Q32" s="3179"/>
      <c r="R32" s="3168" t="e">
        <f>'[26]原始记录（高阻箱）'!R32:S32</f>
        <v>#REF!</v>
      </c>
      <c r="S32" s="3168"/>
      <c r="T32" s="3168"/>
      <c r="U32" s="3168"/>
      <c r="V32" s="3168" t="e">
        <f>'[26]原始记录（高阻箱）'!W32</f>
        <v>#REF!</v>
      </c>
      <c r="W32" s="3168"/>
      <c r="X32" s="3168"/>
      <c r="Y32" s="3168"/>
      <c r="Z32" s="2483" t="e">
        <f>'[26]原始记录（高阻箱）'!Z32:AB32</f>
        <v>#REF!</v>
      </c>
      <c r="AA32" s="2483"/>
      <c r="AB32" s="2483"/>
      <c r="AC32" s="2483"/>
      <c r="AD32" s="2483" t="s">
        <v>3139</v>
      </c>
      <c r="AE32" s="2483"/>
      <c r="AG32" s="3174">
        <v>100</v>
      </c>
      <c r="AH32" s="3175"/>
      <c r="AI32" s="3175"/>
      <c r="AJ32" s="3176" t="s">
        <v>3098</v>
      </c>
      <c r="AK32" s="3174">
        <v>102</v>
      </c>
      <c r="AL32" s="3175">
        <v>104</v>
      </c>
      <c r="AM32" s="3175" t="s">
        <v>3098</v>
      </c>
      <c r="AN32" s="3176"/>
      <c r="AO32" s="2991">
        <f>(AG32-AK32)/AK32*100</f>
        <v>-1.9607843137254901</v>
      </c>
      <c r="AP32" s="3177"/>
      <c r="AQ32" s="2992"/>
      <c r="AR32" s="1260"/>
      <c r="AS32" s="2486" t="s">
        <v>3134</v>
      </c>
      <c r="AT32" s="2486"/>
      <c r="AU32" s="2"/>
    </row>
    <row r="33" ht="14.25" customHeight="1"/>
  </sheetData>
  <mergeCells count="229">
    <mergeCell ref="P31:Q32"/>
    <mergeCell ref="A32:D32"/>
    <mergeCell ref="E32:H32"/>
    <mergeCell ref="I32:K32"/>
    <mergeCell ref="M32:N32"/>
    <mergeCell ref="A26:B26"/>
    <mergeCell ref="C26:D26"/>
    <mergeCell ref="G26:H26"/>
    <mergeCell ref="K26:L26"/>
    <mergeCell ref="E31:H31"/>
    <mergeCell ref="A31:D31"/>
    <mergeCell ref="M31:N31"/>
    <mergeCell ref="A27:B27"/>
    <mergeCell ref="C27:D27"/>
    <mergeCell ref="G27:H27"/>
    <mergeCell ref="K27:L27"/>
    <mergeCell ref="I31:K31"/>
    <mergeCell ref="A28:B28"/>
    <mergeCell ref="C28:F28"/>
    <mergeCell ref="G28:J28"/>
    <mergeCell ref="K28:N28"/>
    <mergeCell ref="A25:B25"/>
    <mergeCell ref="C25:D25"/>
    <mergeCell ref="G25:H25"/>
    <mergeCell ref="K25:L25"/>
    <mergeCell ref="A24:B24"/>
    <mergeCell ref="C24:D24"/>
    <mergeCell ref="N18:N27"/>
    <mergeCell ref="K23:L23"/>
    <mergeCell ref="A22:B22"/>
    <mergeCell ref="G19:H19"/>
    <mergeCell ref="K19:L19"/>
    <mergeCell ref="J18:J27"/>
    <mergeCell ref="P19:Q25"/>
    <mergeCell ref="A20:B20"/>
    <mergeCell ref="C20:D20"/>
    <mergeCell ref="G20:H20"/>
    <mergeCell ref="K20:L20"/>
    <mergeCell ref="A21:B21"/>
    <mergeCell ref="C21:D21"/>
    <mergeCell ref="G21:H21"/>
    <mergeCell ref="K21:L21"/>
    <mergeCell ref="C22:D22"/>
    <mergeCell ref="G22:H22"/>
    <mergeCell ref="K22:L22"/>
    <mergeCell ref="G24:H24"/>
    <mergeCell ref="K24:L24"/>
    <mergeCell ref="A23:B23"/>
    <mergeCell ref="C23:D23"/>
    <mergeCell ref="G23:H23"/>
    <mergeCell ref="F18:F27"/>
    <mergeCell ref="A18:B18"/>
    <mergeCell ref="C18:D18"/>
    <mergeCell ref="G18:H18"/>
    <mergeCell ref="K18:L18"/>
    <mergeCell ref="A19:B19"/>
    <mergeCell ref="C19:D19"/>
    <mergeCell ref="U6:AB10"/>
    <mergeCell ref="A3:C3"/>
    <mergeCell ref="A16:B17"/>
    <mergeCell ref="G16:H16"/>
    <mergeCell ref="K16:L16"/>
    <mergeCell ref="C17:D17"/>
    <mergeCell ref="G17:H17"/>
    <mergeCell ref="K17:L17"/>
    <mergeCell ref="X15:Y15"/>
    <mergeCell ref="AB15:AC15"/>
    <mergeCell ref="R17:S17"/>
    <mergeCell ref="T17:U17"/>
    <mergeCell ref="V17:W17"/>
    <mergeCell ref="X17:Y17"/>
    <mergeCell ref="Z17:AA17"/>
    <mergeCell ref="T16:U16"/>
    <mergeCell ref="V16:W16"/>
    <mergeCell ref="X16:Y16"/>
    <mergeCell ref="Z16:AA16"/>
    <mergeCell ref="R15:S16"/>
    <mergeCell ref="AG15:AH16"/>
    <mergeCell ref="AM15:AN15"/>
    <mergeCell ref="AQ15:AR15"/>
    <mergeCell ref="AU15:AU16"/>
    <mergeCell ref="AI16:AJ16"/>
    <mergeCell ref="AM16:AN16"/>
    <mergeCell ref="AD32:AE32"/>
    <mergeCell ref="AG26:AH26"/>
    <mergeCell ref="AI26:AJ26"/>
    <mergeCell ref="AU17:AU26"/>
    <mergeCell ref="AG21:AH21"/>
    <mergeCell ref="AI21:AJ21"/>
    <mergeCell ref="AM21:AN21"/>
    <mergeCell ref="AQ21:AR21"/>
    <mergeCell ref="AM22:AN22"/>
    <mergeCell ref="AQ22:AR22"/>
    <mergeCell ref="AS22:AT22"/>
    <mergeCell ref="AM24:AN24"/>
    <mergeCell ref="AQ23:AR23"/>
    <mergeCell ref="AS23:AT23"/>
    <mergeCell ref="AS24:AT24"/>
    <mergeCell ref="AO32:AQ32"/>
    <mergeCell ref="AS32:AT32"/>
    <mergeCell ref="AS31:AT31"/>
    <mergeCell ref="AB26:AC26"/>
    <mergeCell ref="AD26:AE26"/>
    <mergeCell ref="AI27:AL27"/>
    <mergeCell ref="AK31:AN31"/>
    <mergeCell ref="AG32:AJ32"/>
    <mergeCell ref="AK32:AN32"/>
    <mergeCell ref="AG27:AH27"/>
    <mergeCell ref="AQ16:AR16"/>
    <mergeCell ref="AS16:AT16"/>
    <mergeCell ref="AB17:AC17"/>
    <mergeCell ref="AD17:AE17"/>
    <mergeCell ref="AG17:AH17"/>
    <mergeCell ref="AB16:AC16"/>
    <mergeCell ref="AD16:AE16"/>
    <mergeCell ref="AI17:AJ17"/>
    <mergeCell ref="AM17:AN17"/>
    <mergeCell ref="AQ17:AR17"/>
    <mergeCell ref="AS17:AT17"/>
    <mergeCell ref="AM18:AN18"/>
    <mergeCell ref="AQ18:AR18"/>
    <mergeCell ref="AS18:AT18"/>
    <mergeCell ref="AS19:AT19"/>
    <mergeCell ref="AS20:AT20"/>
    <mergeCell ref="AS21:AT21"/>
    <mergeCell ref="R18:S18"/>
    <mergeCell ref="T18:U18"/>
    <mergeCell ref="V18:W18"/>
    <mergeCell ref="X18:Y18"/>
    <mergeCell ref="Z18:AA18"/>
    <mergeCell ref="AB18:AC18"/>
    <mergeCell ref="AD18:AE18"/>
    <mergeCell ref="AG18:AH18"/>
    <mergeCell ref="AI18:AJ18"/>
    <mergeCell ref="AG19:AH19"/>
    <mergeCell ref="AI19:AJ19"/>
    <mergeCell ref="AM20:AN20"/>
    <mergeCell ref="AQ20:AR20"/>
    <mergeCell ref="AG20:AH20"/>
    <mergeCell ref="AI20:AJ20"/>
    <mergeCell ref="R19:S19"/>
    <mergeCell ref="T19:U19"/>
    <mergeCell ref="V19:W19"/>
    <mergeCell ref="X19:Y19"/>
    <mergeCell ref="Z19:AA19"/>
    <mergeCell ref="AB19:AC19"/>
    <mergeCell ref="AD19:AE19"/>
    <mergeCell ref="AM19:AN19"/>
    <mergeCell ref="AQ19:AR19"/>
    <mergeCell ref="R21:S21"/>
    <mergeCell ref="T21:U21"/>
    <mergeCell ref="V21:W21"/>
    <mergeCell ref="X21:Y21"/>
    <mergeCell ref="Z21:AA21"/>
    <mergeCell ref="AB21:AC21"/>
    <mergeCell ref="AD21:AE21"/>
    <mergeCell ref="AB20:AC20"/>
    <mergeCell ref="AD20:AE20"/>
    <mergeCell ref="R20:S20"/>
    <mergeCell ref="T20:U20"/>
    <mergeCell ref="V20:W20"/>
    <mergeCell ref="X20:Y20"/>
    <mergeCell ref="Z20:AA20"/>
    <mergeCell ref="R22:S22"/>
    <mergeCell ref="T22:U22"/>
    <mergeCell ref="V22:W22"/>
    <mergeCell ref="X22:Y22"/>
    <mergeCell ref="Z22:AA22"/>
    <mergeCell ref="AB22:AC22"/>
    <mergeCell ref="AD22:AE22"/>
    <mergeCell ref="AG22:AH22"/>
    <mergeCell ref="AI22:AJ22"/>
    <mergeCell ref="R23:S23"/>
    <mergeCell ref="T23:U23"/>
    <mergeCell ref="V23:W23"/>
    <mergeCell ref="X23:Y23"/>
    <mergeCell ref="Z23:AA23"/>
    <mergeCell ref="AB23:AC23"/>
    <mergeCell ref="AD23:AE23"/>
    <mergeCell ref="AI23:AJ23"/>
    <mergeCell ref="AM23:AN23"/>
    <mergeCell ref="AG23:AH23"/>
    <mergeCell ref="R24:S24"/>
    <mergeCell ref="T24:U24"/>
    <mergeCell ref="V24:W24"/>
    <mergeCell ref="X24:Y24"/>
    <mergeCell ref="Z24:AA24"/>
    <mergeCell ref="AB24:AC24"/>
    <mergeCell ref="R25:S25"/>
    <mergeCell ref="T25:U25"/>
    <mergeCell ref="V25:W25"/>
    <mergeCell ref="X25:Y25"/>
    <mergeCell ref="Z25:AA25"/>
    <mergeCell ref="R26:S26"/>
    <mergeCell ref="AQ24:AR24"/>
    <mergeCell ref="AG24:AH24"/>
    <mergeCell ref="AI24:AJ24"/>
    <mergeCell ref="AS25:AT25"/>
    <mergeCell ref="AP17:AP26"/>
    <mergeCell ref="AG31:AJ31"/>
    <mergeCell ref="AM27:AP27"/>
    <mergeCell ref="AM25:AN25"/>
    <mergeCell ref="AQ25:AR25"/>
    <mergeCell ref="T26:U26"/>
    <mergeCell ref="V26:W26"/>
    <mergeCell ref="X26:Y26"/>
    <mergeCell ref="Z26:AA26"/>
    <mergeCell ref="AL17:AL26"/>
    <mergeCell ref="AD25:AE25"/>
    <mergeCell ref="AG25:AH25"/>
    <mergeCell ref="AI25:AJ25"/>
    <mergeCell ref="AB25:AC25"/>
    <mergeCell ref="AD24:AE24"/>
    <mergeCell ref="AQ27:AT27"/>
    <mergeCell ref="AM26:AN26"/>
    <mergeCell ref="AQ26:AR26"/>
    <mergeCell ref="AS26:AT26"/>
    <mergeCell ref="R27:S27"/>
    <mergeCell ref="T27:W27"/>
    <mergeCell ref="AD31:AE31"/>
    <mergeCell ref="R32:U32"/>
    <mergeCell ref="V32:Y32"/>
    <mergeCell ref="Z32:AC32"/>
    <mergeCell ref="X27:AA27"/>
    <mergeCell ref="AB27:AE27"/>
    <mergeCell ref="AO31:AQ31"/>
    <mergeCell ref="V31:Y31"/>
    <mergeCell ref="Z31:AC31"/>
    <mergeCell ref="R31:U31"/>
  </mergeCells>
  <phoneticPr fontId="25" type="noConversion"/>
  <pageMargins left="0.75" right="0.75" top="1" bottom="1" header="0.5" footer="0.5"/>
  <drawing r:id="rId1"/>
  <legacyDrawing r:id="rId2"/>
  <oleObjects>
    <oleObject progId="Equation.3" shapeId="74919" r:id="rId3"/>
    <oleObject progId="Equation.3" shapeId="74920" r:id="rId4"/>
    <oleObject progId="Equation.3" shapeId="74921" r:id="rId5"/>
    <oleObject progId="Equation.3" shapeId="74922" r:id="rId6"/>
    <oleObject progId="Equation.3" shapeId="74927" r:id="rId7"/>
    <oleObject progId="Equation.3" shapeId="74928" r:id="rId8"/>
    <oleObject progId="Equation.3" shapeId="74929" r:id="rId9"/>
    <oleObject progId="Equation.3" shapeId="74930" r:id="rId10"/>
  </oleObjects>
</worksheet>
</file>

<file path=xl/worksheets/sheet56.xml><?xml version="1.0" encoding="utf-8"?>
<worksheet xmlns="http://schemas.openxmlformats.org/spreadsheetml/2006/main" xmlns:r="http://schemas.openxmlformats.org/officeDocument/2006/relationships">
  <dimension ref="A2:Y43"/>
  <sheetViews>
    <sheetView workbookViewId="0">
      <selection activeCell="B15" sqref="B15:H15"/>
    </sheetView>
  </sheetViews>
  <sheetFormatPr defaultRowHeight="14.25"/>
  <sheetData>
    <row r="2" spans="1:25" ht="22.5" customHeight="1">
      <c r="A2" s="454" t="s">
        <v>1416</v>
      </c>
      <c r="B2" s="506" t="s">
        <v>1197</v>
      </c>
      <c r="C2" s="2704" t="s">
        <v>1467</v>
      </c>
      <c r="D2" s="2704"/>
      <c r="E2" s="507" t="s">
        <v>1468</v>
      </c>
      <c r="F2" s="8"/>
      <c r="G2" s="315"/>
      <c r="H2" s="315"/>
      <c r="I2" s="315"/>
      <c r="J2" s="315"/>
      <c r="K2" s="315"/>
      <c r="L2" s="508"/>
      <c r="M2" s="508"/>
      <c r="N2" s="508"/>
      <c r="O2" s="508"/>
      <c r="P2" s="508"/>
      <c r="Q2" s="508"/>
      <c r="R2" s="508"/>
      <c r="S2" s="508"/>
      <c r="T2" s="508"/>
      <c r="U2" s="508"/>
      <c r="V2" s="508"/>
      <c r="W2" s="508"/>
      <c r="X2" s="508"/>
      <c r="Y2" s="508"/>
    </row>
    <row r="3" spans="1:25">
      <c r="A3" s="13"/>
      <c r="B3" s="509"/>
      <c r="C3" s="395"/>
      <c r="D3" s="395"/>
      <c r="E3" s="395"/>
      <c r="F3" s="496"/>
      <c r="G3" s="315"/>
      <c r="H3" s="315"/>
      <c r="I3" s="315"/>
      <c r="J3" s="315"/>
      <c r="K3" s="315"/>
      <c r="L3" s="13"/>
      <c r="M3" s="13"/>
      <c r="N3" s="13"/>
      <c r="O3" s="13"/>
      <c r="P3" s="13"/>
      <c r="Q3" s="13"/>
      <c r="R3" s="13"/>
      <c r="S3" s="13"/>
      <c r="T3" s="13"/>
      <c r="U3" s="13"/>
      <c r="V3" s="13"/>
      <c r="W3" s="13"/>
      <c r="X3" s="13"/>
      <c r="Y3" s="13"/>
    </row>
    <row r="4" spans="1:25">
      <c r="A4" s="13"/>
      <c r="B4" s="510" t="s">
        <v>1167</v>
      </c>
      <c r="C4" s="13"/>
      <c r="D4" s="13" t="s">
        <v>1168</v>
      </c>
      <c r="E4" s="13"/>
      <c r="F4" s="13"/>
      <c r="G4" s="13"/>
      <c r="H4" s="13"/>
      <c r="I4" s="13"/>
      <c r="J4" s="13"/>
      <c r="K4" s="13"/>
      <c r="L4" s="13"/>
      <c r="M4" s="13"/>
      <c r="N4" s="13"/>
      <c r="O4" s="13"/>
      <c r="P4" s="13"/>
      <c r="Q4" s="13"/>
      <c r="R4" s="13"/>
      <c r="S4" s="13"/>
      <c r="T4" s="13"/>
      <c r="U4" s="13"/>
      <c r="V4" s="13"/>
      <c r="W4" s="13"/>
      <c r="X4" s="13"/>
      <c r="Y4" s="13"/>
    </row>
    <row r="5" spans="1:25">
      <c r="A5" s="13"/>
      <c r="B5" s="510"/>
      <c r="C5" s="510" t="s">
        <v>1348</v>
      </c>
      <c r="D5" s="510">
        <v>100</v>
      </c>
      <c r="E5" s="510" t="s">
        <v>1417</v>
      </c>
      <c r="F5" s="13"/>
      <c r="G5" s="13"/>
      <c r="H5" s="13"/>
      <c r="I5" s="13"/>
      <c r="J5" s="13"/>
      <c r="K5" s="13"/>
      <c r="L5" s="13"/>
      <c r="M5" s="13"/>
      <c r="N5" s="13"/>
      <c r="O5" s="13"/>
      <c r="P5" s="13"/>
      <c r="Q5" s="13"/>
      <c r="R5" s="13"/>
      <c r="S5" s="13"/>
      <c r="T5" s="13"/>
      <c r="U5" s="13"/>
      <c r="V5" s="13"/>
      <c r="W5" s="13"/>
      <c r="X5" s="13"/>
      <c r="Y5" s="13"/>
    </row>
    <row r="6" spans="1:25" ht="16.5" thickBot="1">
      <c r="A6" s="13"/>
      <c r="B6" s="347" t="s">
        <v>1418</v>
      </c>
      <c r="C6" s="347" t="s">
        <v>1240</v>
      </c>
      <c r="D6" s="347" t="s">
        <v>1419</v>
      </c>
      <c r="E6" s="347" t="s">
        <v>1420</v>
      </c>
      <c r="F6" s="347" t="s">
        <v>1421</v>
      </c>
      <c r="G6" s="347" t="s">
        <v>1422</v>
      </c>
      <c r="H6" s="347" t="s">
        <v>1423</v>
      </c>
      <c r="I6" s="348" t="s">
        <v>1424</v>
      </c>
      <c r="J6" s="348" t="s">
        <v>1425</v>
      </c>
      <c r="K6" s="347" t="s">
        <v>1426</v>
      </c>
      <c r="L6" s="13"/>
      <c r="M6" s="13"/>
      <c r="N6" s="13"/>
      <c r="O6" s="13"/>
      <c r="P6" s="13"/>
      <c r="Q6" s="13"/>
      <c r="R6" s="13"/>
      <c r="S6" s="13"/>
      <c r="T6" s="13"/>
      <c r="U6" s="13"/>
      <c r="V6" s="13"/>
      <c r="W6" s="13"/>
      <c r="X6" s="13"/>
      <c r="Y6" s="13"/>
    </row>
    <row r="7" spans="1:25" ht="15" thickBot="1">
      <c r="A7" s="13"/>
      <c r="B7" s="535">
        <v>99.93</v>
      </c>
      <c r="C7" s="536">
        <v>99.94</v>
      </c>
      <c r="D7" s="536">
        <v>99.94</v>
      </c>
      <c r="E7" s="536">
        <v>99.94</v>
      </c>
      <c r="F7" s="536">
        <v>99.94</v>
      </c>
      <c r="G7" s="535">
        <v>99.93</v>
      </c>
      <c r="H7" s="536">
        <v>99.95</v>
      </c>
      <c r="I7" s="536">
        <v>99.95</v>
      </c>
      <c r="J7" s="536">
        <v>99.94</v>
      </c>
      <c r="K7" s="536">
        <v>99.94</v>
      </c>
      <c r="L7" s="13"/>
      <c r="M7" s="13"/>
      <c r="N7" s="13"/>
      <c r="O7" s="13"/>
      <c r="P7" s="13"/>
      <c r="Q7" s="13"/>
      <c r="R7" s="13"/>
      <c r="S7" s="13"/>
      <c r="T7" s="13"/>
      <c r="U7" s="13"/>
      <c r="V7" s="13"/>
      <c r="W7" s="13"/>
      <c r="X7" s="13"/>
      <c r="Y7" s="13"/>
    </row>
    <row r="8" spans="1:25" ht="18.75">
      <c r="A8" s="13"/>
      <c r="B8" s="394" t="s">
        <v>1427</v>
      </c>
      <c r="C8" s="2705">
        <f>STDEV(B7:K7)/D5</f>
        <v>6.6666666666653402E-5</v>
      </c>
      <c r="D8" s="2706"/>
      <c r="E8" s="2706"/>
      <c r="F8" s="2706"/>
      <c r="G8" s="2706"/>
      <c r="H8" s="2706"/>
      <c r="I8" s="2706"/>
      <c r="J8" s="2706"/>
      <c r="K8" s="2707"/>
      <c r="L8" s="13"/>
      <c r="M8" s="13"/>
      <c r="N8" s="13"/>
      <c r="O8" s="13"/>
      <c r="P8" s="13"/>
      <c r="Q8" s="13"/>
      <c r="R8" s="13"/>
      <c r="S8" s="13"/>
      <c r="T8" s="13"/>
      <c r="U8" s="13"/>
      <c r="V8" s="13"/>
      <c r="W8" s="13"/>
      <c r="X8" s="13"/>
      <c r="Y8" s="13"/>
    </row>
    <row r="10" spans="1:25">
      <c r="A10" s="512" t="s">
        <v>1428</v>
      </c>
      <c r="B10" s="153" t="s">
        <v>1429</v>
      </c>
    </row>
    <row r="11" spans="1:25">
      <c r="B11" s="3180" t="s">
        <v>1430</v>
      </c>
      <c r="C11" s="3181"/>
      <c r="D11" s="3181"/>
      <c r="E11" s="3181"/>
      <c r="F11" s="3181"/>
      <c r="G11" s="3181"/>
      <c r="H11" s="3181"/>
      <c r="I11" s="3180" t="s">
        <v>1431</v>
      </c>
      <c r="J11" s="3182"/>
      <c r="K11" s="3180" t="s">
        <v>1432</v>
      </c>
      <c r="L11" s="3182"/>
      <c r="M11" s="552" t="s">
        <v>1433</v>
      </c>
      <c r="N11" s="2709" t="s">
        <v>1434</v>
      </c>
      <c r="O11" s="2709"/>
      <c r="P11" s="2709"/>
      <c r="Q11" s="2709"/>
      <c r="R11" s="2709"/>
      <c r="S11" s="2709"/>
      <c r="T11" s="2710"/>
    </row>
    <row r="12" spans="1:25" ht="18.75" customHeight="1">
      <c r="A12" s="505"/>
      <c r="B12" s="2713" t="s">
        <v>1435</v>
      </c>
      <c r="C12" s="2714"/>
      <c r="D12" s="2714"/>
      <c r="E12" s="2714"/>
      <c r="F12" s="2714"/>
      <c r="G12" s="2714"/>
      <c r="H12" s="2714"/>
      <c r="I12" s="3183">
        <v>1.0000000000000001E-5</v>
      </c>
      <c r="J12" s="3184"/>
      <c r="K12" s="2713" t="s">
        <v>1436</v>
      </c>
      <c r="L12" s="2715"/>
      <c r="M12" s="553"/>
      <c r="N12" s="3185">
        <f>I12/SQRT(3)</f>
        <v>5.7735026918962587E-6</v>
      </c>
      <c r="O12" s="3186"/>
      <c r="P12" s="3186"/>
      <c r="Q12" s="3186"/>
      <c r="R12" s="3186"/>
      <c r="S12" s="3187"/>
    </row>
    <row r="13" spans="1:25" ht="18.75" customHeight="1">
      <c r="A13" s="529"/>
      <c r="B13" s="2713" t="s">
        <v>1437</v>
      </c>
      <c r="C13" s="2714"/>
      <c r="D13" s="2714"/>
      <c r="E13" s="2714"/>
      <c r="F13" s="2714"/>
      <c r="G13" s="2714"/>
      <c r="H13" s="2714"/>
      <c r="I13" s="3188">
        <v>1E-4</v>
      </c>
      <c r="J13" s="3189"/>
      <c r="K13" s="2713" t="s">
        <v>1387</v>
      </c>
      <c r="L13" s="2715"/>
      <c r="M13" s="553"/>
      <c r="N13" s="3185">
        <f>I13/SQRT(3)</f>
        <v>5.7735026918962585E-5</v>
      </c>
      <c r="O13" s="3186"/>
      <c r="P13" s="3186"/>
      <c r="Q13" s="3186"/>
      <c r="R13" s="3186"/>
      <c r="S13" s="3187"/>
    </row>
    <row r="14" spans="1:25" ht="18.75" customHeight="1">
      <c r="A14" s="505"/>
      <c r="B14" s="2713" t="s">
        <v>1438</v>
      </c>
      <c r="C14" s="2714"/>
      <c r="D14" s="2714"/>
      <c r="E14" s="2714"/>
      <c r="F14" s="2714"/>
      <c r="G14" s="2714"/>
      <c r="H14" s="2714"/>
      <c r="I14" s="3188">
        <v>1E-4</v>
      </c>
      <c r="J14" s="3189"/>
      <c r="K14" s="2713" t="s">
        <v>1387</v>
      </c>
      <c r="L14" s="2715"/>
      <c r="M14" s="553"/>
      <c r="N14" s="3185">
        <f>I14/SQRT(3)</f>
        <v>5.7735026918962585E-5</v>
      </c>
      <c r="O14" s="3186"/>
      <c r="P14" s="3186"/>
      <c r="Q14" s="3186"/>
      <c r="R14" s="3186"/>
      <c r="S14" s="3187"/>
    </row>
    <row r="15" spans="1:25" ht="18.75" customHeight="1">
      <c r="A15" s="518"/>
      <c r="B15" s="2713" t="s">
        <v>1439</v>
      </c>
      <c r="C15" s="2714"/>
      <c r="D15" s="2714"/>
      <c r="E15" s="2714"/>
      <c r="F15" s="2714"/>
      <c r="G15" s="2714"/>
      <c r="H15" s="2714"/>
      <c r="I15" s="3183">
        <v>5.0000000000000002E-5</v>
      </c>
      <c r="J15" s="3184"/>
      <c r="K15" s="2713" t="s">
        <v>1387</v>
      </c>
      <c r="L15" s="2715"/>
      <c r="M15" s="553"/>
      <c r="N15" s="3185">
        <f>I15/SQRT(3)</f>
        <v>2.8867513459481293E-5</v>
      </c>
      <c r="O15" s="3186"/>
      <c r="P15" s="3186"/>
      <c r="Q15" s="3186"/>
      <c r="R15" s="3186"/>
      <c r="S15" s="3187"/>
    </row>
    <row r="16" spans="1:25">
      <c r="B16" s="2867" t="s">
        <v>1440</v>
      </c>
      <c r="C16" s="2867"/>
      <c r="D16" s="2890">
        <f>SQRT(SUMSQ(N12:S15))</f>
        <v>8.6794777108610259E-5</v>
      </c>
      <c r="E16" s="2891"/>
      <c r="F16" s="2891"/>
      <c r="G16" s="2891"/>
      <c r="H16" s="2891"/>
      <c r="I16" s="2891"/>
      <c r="J16" s="2891"/>
      <c r="K16" s="2891"/>
      <c r="L16" s="2891"/>
      <c r="M16" s="2891"/>
      <c r="N16" s="2891"/>
      <c r="O16" s="2891"/>
      <c r="P16" s="2891"/>
      <c r="Q16" s="2891"/>
      <c r="R16" s="2891"/>
    </row>
    <row r="18" spans="1:25" ht="15.75">
      <c r="B18" s="505" t="s">
        <v>1441</v>
      </c>
      <c r="D18" s="526"/>
      <c r="E18" s="527"/>
      <c r="F18" s="528"/>
      <c r="G18" s="528"/>
    </row>
    <row r="19" spans="1:25" ht="18.75">
      <c r="B19" s="529"/>
      <c r="C19" s="517"/>
      <c r="D19" s="516" t="s">
        <v>1442</v>
      </c>
      <c r="E19" s="2722">
        <f>SQRT(SUMSQ(C8,D16))</f>
        <v>1.0944303439587195E-4</v>
      </c>
      <c r="F19" s="2722"/>
      <c r="G19" s="2722"/>
    </row>
    <row r="20" spans="1:25" ht="15.75">
      <c r="B20" s="505" t="s">
        <v>1443</v>
      </c>
      <c r="C20" s="28"/>
      <c r="D20" s="526"/>
      <c r="E20" s="527"/>
      <c r="F20" s="528"/>
      <c r="G20" s="528"/>
    </row>
    <row r="21" spans="1:25">
      <c r="B21" s="518" t="s">
        <v>1444</v>
      </c>
      <c r="C21" s="392">
        <f>E19*2</f>
        <v>2.188860687917439E-4</v>
      </c>
      <c r="D21" s="527"/>
      <c r="E21" s="527"/>
      <c r="F21" s="527"/>
      <c r="G21" s="527"/>
    </row>
    <row r="24" spans="1:25" ht="22.5" customHeight="1">
      <c r="A24" s="530" t="s">
        <v>1445</v>
      </c>
      <c r="B24" s="506" t="s">
        <v>1446</v>
      </c>
      <c r="C24" s="2704" t="s">
        <v>1469</v>
      </c>
      <c r="D24" s="2704"/>
      <c r="E24" s="507" t="s">
        <v>1470</v>
      </c>
      <c r="F24" s="8"/>
      <c r="G24" s="315"/>
      <c r="H24" s="315"/>
      <c r="I24" s="315"/>
      <c r="J24" s="315"/>
      <c r="K24" s="315"/>
      <c r="L24" s="508"/>
      <c r="M24" s="508"/>
      <c r="N24" s="508"/>
      <c r="O24" s="508"/>
      <c r="P24" s="508"/>
      <c r="Q24" s="508"/>
      <c r="R24" s="508"/>
      <c r="S24" s="508"/>
      <c r="T24" s="508"/>
      <c r="U24" s="508"/>
      <c r="V24" s="508"/>
      <c r="W24" s="508"/>
      <c r="X24" s="508"/>
      <c r="Y24" s="508"/>
    </row>
    <row r="25" spans="1:25">
      <c r="A25" s="13"/>
      <c r="B25" s="509"/>
      <c r="C25" s="395"/>
      <c r="D25" s="395"/>
      <c r="E25" s="395"/>
      <c r="F25" s="496"/>
      <c r="G25" s="315"/>
      <c r="H25" s="315"/>
      <c r="I25" s="315"/>
      <c r="J25" s="315"/>
      <c r="K25" s="315"/>
      <c r="L25" s="13"/>
      <c r="M25" s="13"/>
      <c r="N25" s="13"/>
      <c r="O25" s="13"/>
      <c r="P25" s="13"/>
      <c r="Q25" s="13"/>
      <c r="R25" s="13"/>
      <c r="S25" s="13"/>
      <c r="T25" s="13"/>
      <c r="U25" s="13"/>
      <c r="V25" s="13"/>
      <c r="W25" s="13"/>
      <c r="X25" s="13"/>
      <c r="Y25" s="13"/>
    </row>
    <row r="26" spans="1:25">
      <c r="A26" s="13"/>
      <c r="B26" s="510" t="s">
        <v>1447</v>
      </c>
      <c r="C26" s="13"/>
      <c r="D26" s="13" t="s">
        <v>1448</v>
      </c>
      <c r="E26" s="13"/>
      <c r="F26" s="13"/>
      <c r="G26" s="13"/>
      <c r="H26" s="13"/>
      <c r="I26" s="13"/>
      <c r="J26" s="13"/>
      <c r="K26" s="13"/>
      <c r="L26" s="13"/>
      <c r="M26" s="13"/>
      <c r="N26" s="13"/>
      <c r="O26" s="13"/>
      <c r="P26" s="13"/>
      <c r="Q26" s="13"/>
      <c r="R26" s="13"/>
      <c r="S26" s="13"/>
      <c r="T26" s="13"/>
      <c r="U26" s="13"/>
      <c r="V26" s="13"/>
      <c r="W26" s="13"/>
      <c r="X26" s="13"/>
      <c r="Y26" s="13"/>
    </row>
    <row r="27" spans="1:25">
      <c r="A27" s="13"/>
      <c r="B27" s="510"/>
      <c r="C27" s="510" t="s">
        <v>1449</v>
      </c>
      <c r="D27" s="510">
        <v>10</v>
      </c>
      <c r="E27" s="510" t="s">
        <v>1450</v>
      </c>
      <c r="F27" s="13"/>
      <c r="G27" s="13"/>
      <c r="H27" s="13"/>
      <c r="I27" s="13"/>
      <c r="J27" s="13"/>
      <c r="K27" s="13"/>
      <c r="L27" s="13"/>
      <c r="M27" s="13"/>
      <c r="N27" s="13"/>
      <c r="O27" s="13"/>
      <c r="P27" s="13"/>
      <c r="Q27" s="13"/>
      <c r="R27" s="13"/>
      <c r="S27" s="13"/>
      <c r="T27" s="13"/>
      <c r="U27" s="13"/>
      <c r="V27" s="13"/>
      <c r="W27" s="13"/>
      <c r="X27" s="13"/>
      <c r="Y27" s="13"/>
    </row>
    <row r="28" spans="1:25" ht="16.5" thickBot="1">
      <c r="A28" s="13"/>
      <c r="B28" s="347" t="s">
        <v>1201</v>
      </c>
      <c r="C28" s="347" t="s">
        <v>1451</v>
      </c>
      <c r="D28" s="347" t="s">
        <v>1452</v>
      </c>
      <c r="E28" s="347" t="s">
        <v>1453</v>
      </c>
      <c r="F28" s="347" t="s">
        <v>1454</v>
      </c>
      <c r="G28" s="347" t="s">
        <v>1455</v>
      </c>
      <c r="H28" s="347" t="s">
        <v>1456</v>
      </c>
      <c r="I28" s="348" t="s">
        <v>1457</v>
      </c>
      <c r="J28" s="348" t="s">
        <v>1458</v>
      </c>
      <c r="K28" s="347" t="s">
        <v>1459</v>
      </c>
      <c r="L28" s="13"/>
      <c r="M28" s="13"/>
      <c r="N28" s="13"/>
      <c r="O28" s="13"/>
      <c r="P28" s="13"/>
      <c r="Q28" s="13"/>
      <c r="R28" s="13"/>
      <c r="S28" s="13"/>
      <c r="T28" s="13"/>
      <c r="U28" s="13"/>
      <c r="V28" s="13"/>
      <c r="W28" s="13"/>
      <c r="X28" s="13"/>
      <c r="Y28" s="13"/>
    </row>
    <row r="29" spans="1:25" ht="15" thickBot="1">
      <c r="A29" s="13"/>
      <c r="B29" s="535">
        <v>10</v>
      </c>
      <c r="C29" s="536">
        <v>10.01</v>
      </c>
      <c r="D29" s="536">
        <v>10</v>
      </c>
      <c r="E29" s="536">
        <v>10</v>
      </c>
      <c r="F29" s="536">
        <v>10</v>
      </c>
      <c r="G29" s="535">
        <v>10</v>
      </c>
      <c r="H29" s="536">
        <v>10</v>
      </c>
      <c r="I29" s="536">
        <v>10</v>
      </c>
      <c r="J29" s="536">
        <v>10</v>
      </c>
      <c r="K29" s="536">
        <v>10.01</v>
      </c>
      <c r="L29" s="13"/>
      <c r="M29" s="13"/>
      <c r="N29" s="13"/>
      <c r="O29" s="13"/>
      <c r="P29" s="13"/>
      <c r="Q29" s="13"/>
      <c r="R29" s="13"/>
      <c r="S29" s="13"/>
      <c r="T29" s="13"/>
      <c r="U29" s="13"/>
      <c r="V29" s="13"/>
      <c r="W29" s="13"/>
      <c r="X29" s="13"/>
      <c r="Y29" s="13"/>
    </row>
    <row r="30" spans="1:25" ht="18.75">
      <c r="A30" s="13"/>
      <c r="B30" s="394" t="s">
        <v>1460</v>
      </c>
      <c r="C30" s="2705">
        <f>STDEV(B29:K29)/D27</f>
        <v>4.2163702135577499E-4</v>
      </c>
      <c r="D30" s="2706"/>
      <c r="E30" s="2706"/>
      <c r="F30" s="2706"/>
      <c r="G30" s="2706"/>
      <c r="H30" s="2706"/>
      <c r="I30" s="2706"/>
      <c r="J30" s="2706"/>
      <c r="K30" s="2707"/>
      <c r="L30" s="13"/>
      <c r="M30" s="13"/>
      <c r="N30" s="13"/>
      <c r="O30" s="13"/>
      <c r="P30" s="13"/>
      <c r="Q30" s="13"/>
      <c r="R30" s="13"/>
      <c r="S30" s="13"/>
      <c r="T30" s="13"/>
      <c r="U30" s="13"/>
      <c r="V30" s="13"/>
      <c r="W30" s="13"/>
      <c r="X30" s="13"/>
      <c r="Y30" s="13"/>
    </row>
    <row r="32" spans="1:25">
      <c r="A32" s="512" t="s">
        <v>1401</v>
      </c>
      <c r="B32" s="153" t="s">
        <v>1402</v>
      </c>
    </row>
    <row r="33" spans="1:20">
      <c r="B33" s="3180" t="s">
        <v>1403</v>
      </c>
      <c r="C33" s="3181"/>
      <c r="D33" s="3181"/>
      <c r="E33" s="3181"/>
      <c r="F33" s="3181"/>
      <c r="G33" s="3181"/>
      <c r="H33" s="3181"/>
      <c r="I33" s="3180" t="s">
        <v>1404</v>
      </c>
      <c r="J33" s="3182"/>
      <c r="K33" s="3180" t="s">
        <v>1461</v>
      </c>
      <c r="L33" s="3182"/>
      <c r="M33" s="552" t="s">
        <v>1462</v>
      </c>
      <c r="N33" s="2709" t="s">
        <v>1463</v>
      </c>
      <c r="O33" s="2709"/>
      <c r="P33" s="2709"/>
      <c r="Q33" s="2709"/>
      <c r="R33" s="2709"/>
      <c r="S33" s="2709"/>
      <c r="T33" s="2710"/>
    </row>
    <row r="34" spans="1:20" ht="18.75" customHeight="1">
      <c r="A34" s="505"/>
      <c r="B34" s="2713" t="s">
        <v>1407</v>
      </c>
      <c r="C34" s="2714"/>
      <c r="D34" s="2714"/>
      <c r="E34" s="2714"/>
      <c r="F34" s="2714"/>
      <c r="G34" s="2714"/>
      <c r="H34" s="2714"/>
      <c r="I34" s="3183">
        <v>1.0000000000000001E-5</v>
      </c>
      <c r="J34" s="3184"/>
      <c r="K34" s="2713" t="s">
        <v>1408</v>
      </c>
      <c r="L34" s="2715"/>
      <c r="M34" s="553"/>
      <c r="N34" s="3185">
        <f>I34/SQRT(3)</f>
        <v>5.7735026918962587E-6</v>
      </c>
      <c r="O34" s="3186"/>
      <c r="P34" s="3186"/>
      <c r="Q34" s="3186"/>
      <c r="R34" s="3186"/>
      <c r="S34" s="3187"/>
    </row>
    <row r="35" spans="1:20" ht="18.75" customHeight="1">
      <c r="A35" s="529"/>
      <c r="B35" s="2713" t="s">
        <v>1464</v>
      </c>
      <c r="C35" s="2714"/>
      <c r="D35" s="2714"/>
      <c r="E35" s="2714"/>
      <c r="F35" s="2714"/>
      <c r="G35" s="2714"/>
      <c r="H35" s="2714"/>
      <c r="I35" s="3188">
        <v>1E-4</v>
      </c>
      <c r="J35" s="3189"/>
      <c r="K35" s="2713" t="s">
        <v>1408</v>
      </c>
      <c r="L35" s="2715"/>
      <c r="M35" s="553"/>
      <c r="N35" s="3185">
        <f>I35/SQRT(3)</f>
        <v>5.7735026918962585E-5</v>
      </c>
      <c r="O35" s="3186"/>
      <c r="P35" s="3186"/>
      <c r="Q35" s="3186"/>
      <c r="R35" s="3186"/>
      <c r="S35" s="3187"/>
    </row>
    <row r="36" spans="1:20" ht="18.75" customHeight="1">
      <c r="A36" s="505"/>
      <c r="B36" s="2713" t="s">
        <v>1465</v>
      </c>
      <c r="C36" s="2714"/>
      <c r="D36" s="2714"/>
      <c r="E36" s="2714"/>
      <c r="F36" s="2714"/>
      <c r="G36" s="2714"/>
      <c r="H36" s="2714"/>
      <c r="I36" s="3188">
        <v>2.9999999999999997E-4</v>
      </c>
      <c r="J36" s="3189"/>
      <c r="K36" s="2713" t="s">
        <v>1408</v>
      </c>
      <c r="L36" s="2715"/>
      <c r="M36" s="553"/>
      <c r="N36" s="3185">
        <f>I36/SQRT(3)</f>
        <v>1.7320508075688773E-4</v>
      </c>
      <c r="O36" s="3186"/>
      <c r="P36" s="3186"/>
      <c r="Q36" s="3186"/>
      <c r="R36" s="3186"/>
      <c r="S36" s="3187"/>
    </row>
    <row r="37" spans="1:20" ht="18.75" customHeight="1">
      <c r="A37" s="518"/>
      <c r="B37" s="2713" t="s">
        <v>1466</v>
      </c>
      <c r="C37" s="2714"/>
      <c r="D37" s="2714"/>
      <c r="E37" s="2714"/>
      <c r="F37" s="2714"/>
      <c r="G37" s="2714"/>
      <c r="H37" s="2714"/>
      <c r="I37" s="3183">
        <v>1E-4</v>
      </c>
      <c r="J37" s="3184"/>
      <c r="K37" s="2713" t="s">
        <v>1408</v>
      </c>
      <c r="L37" s="2715"/>
      <c r="M37" s="553"/>
      <c r="N37" s="3185">
        <f>I37/SQRT(3)</f>
        <v>5.7735026918962585E-5</v>
      </c>
      <c r="O37" s="3186"/>
      <c r="P37" s="3186"/>
      <c r="Q37" s="3186"/>
      <c r="R37" s="3186"/>
      <c r="S37" s="3187"/>
    </row>
    <row r="38" spans="1:20">
      <c r="B38" s="2867" t="s">
        <v>1410</v>
      </c>
      <c r="C38" s="2867"/>
      <c r="D38" s="2890">
        <f>SQRT(SUMSQ(N34:S37))</f>
        <v>1.9157244060668017E-4</v>
      </c>
      <c r="E38" s="2891"/>
      <c r="F38" s="2891"/>
      <c r="G38" s="2891"/>
      <c r="H38" s="2891"/>
      <c r="I38" s="2891"/>
      <c r="J38" s="2891"/>
      <c r="K38" s="2891"/>
      <c r="L38" s="2891"/>
      <c r="M38" s="2891"/>
      <c r="N38" s="2891"/>
      <c r="O38" s="2891"/>
      <c r="P38" s="2891"/>
      <c r="Q38" s="2891"/>
      <c r="R38" s="2891"/>
    </row>
    <row r="40" spans="1:20" ht="15.75">
      <c r="B40" s="505" t="s">
        <v>1411</v>
      </c>
      <c r="D40" s="526"/>
      <c r="E40" s="527"/>
      <c r="F40" s="528"/>
      <c r="G40" s="528"/>
    </row>
    <row r="41" spans="1:20" ht="18.75">
      <c r="B41" s="529"/>
      <c r="C41" s="517"/>
      <c r="D41" s="516" t="s">
        <v>1412</v>
      </c>
      <c r="E41" s="2722">
        <f>SQRT(SUMSQ(C30,D38))</f>
        <v>4.6311745570402576E-4</v>
      </c>
      <c r="F41" s="2722"/>
      <c r="G41" s="2722"/>
    </row>
    <row r="42" spans="1:20" ht="15.75">
      <c r="B42" s="505" t="s">
        <v>1413</v>
      </c>
      <c r="C42" s="28"/>
      <c r="D42" s="526"/>
      <c r="E42" s="527"/>
      <c r="F42" s="528"/>
      <c r="G42" s="528"/>
    </row>
    <row r="43" spans="1:20">
      <c r="B43" s="518" t="s">
        <v>1414</v>
      </c>
      <c r="C43" s="392">
        <f>E41*2</f>
        <v>9.2623491140805152E-4</v>
      </c>
      <c r="D43" s="527"/>
      <c r="E43" s="527"/>
      <c r="F43" s="527"/>
      <c r="G43" s="527"/>
    </row>
  </sheetData>
  <mergeCells count="50">
    <mergeCell ref="B38:C38"/>
    <mergeCell ref="D38:R38"/>
    <mergeCell ref="E41:G41"/>
    <mergeCell ref="B36:H36"/>
    <mergeCell ref="I36:J36"/>
    <mergeCell ref="K36:L36"/>
    <mergeCell ref="N36:S36"/>
    <mergeCell ref="B37:H37"/>
    <mergeCell ref="I37:J37"/>
    <mergeCell ref="K37:L37"/>
    <mergeCell ref="N33:T33"/>
    <mergeCell ref="N37:S37"/>
    <mergeCell ref="B34:H34"/>
    <mergeCell ref="I34:J34"/>
    <mergeCell ref="K34:L34"/>
    <mergeCell ref="N34:S34"/>
    <mergeCell ref="B35:H35"/>
    <mergeCell ref="I35:J35"/>
    <mergeCell ref="K35:L35"/>
    <mergeCell ref="N35:S35"/>
    <mergeCell ref="E19:G19"/>
    <mergeCell ref="C24:D24"/>
    <mergeCell ref="C30:K30"/>
    <mergeCell ref="B33:H33"/>
    <mergeCell ref="I33:J33"/>
    <mergeCell ref="K33:L33"/>
    <mergeCell ref="B15:H15"/>
    <mergeCell ref="I15:J15"/>
    <mergeCell ref="K15:L15"/>
    <mergeCell ref="N15:S15"/>
    <mergeCell ref="B16:C16"/>
    <mergeCell ref="D16:R16"/>
    <mergeCell ref="B13:H13"/>
    <mergeCell ref="I13:J13"/>
    <mergeCell ref="K13:L13"/>
    <mergeCell ref="N13:S13"/>
    <mergeCell ref="B14:H14"/>
    <mergeCell ref="I14:J14"/>
    <mergeCell ref="K14:L14"/>
    <mergeCell ref="N14:S14"/>
    <mergeCell ref="N11:T11"/>
    <mergeCell ref="B12:H12"/>
    <mergeCell ref="I12:J12"/>
    <mergeCell ref="K12:L12"/>
    <mergeCell ref="N12:S12"/>
    <mergeCell ref="C2:D2"/>
    <mergeCell ref="C8:K8"/>
    <mergeCell ref="B11:H11"/>
    <mergeCell ref="I11:J11"/>
    <mergeCell ref="K11:L11"/>
  </mergeCells>
  <phoneticPr fontId="107" type="noConversion"/>
  <pageMargins left="0.75" right="0.75" top="1" bottom="1" header="0.5" footer="0.5"/>
  <legacyDrawing r:id="rId1"/>
  <oleObjects>
    <oleObject progId="Equation.3" shapeId="128001" r:id="rId2"/>
    <oleObject progId="Equation.3" shapeId="128002" r:id="rId3"/>
    <oleObject progId="Equation.3" shapeId="128003" r:id="rId4"/>
    <oleObject progId="Equation.3" shapeId="128004" r:id="rId5"/>
    <oleObject progId="Equation.3" shapeId="128005" r:id="rId6"/>
    <oleObject progId="Equation.3" shapeId="128006" r:id="rId7"/>
    <oleObject progId="Equation.3" shapeId="128007" r:id="rId8"/>
    <oleObject progId="Equation.3" shapeId="128008" r:id="rId9"/>
    <oleObject progId="Equation.3" shapeId="128009" r:id="rId10"/>
    <oleObject progId="Equation.3" shapeId="128010" r:id="rId11"/>
    <oleObject progId="Equation.3" shapeId="128011" r:id="rId12"/>
    <oleObject progId="Equation.3" shapeId="128012" r:id="rId13"/>
    <oleObject progId="Equation.3" shapeId="128013" r:id="rId14"/>
    <oleObject progId="Equation.3" shapeId="128014" r:id="rId15"/>
    <oleObject progId="Equation.3" shapeId="128015" r:id="rId16"/>
    <oleObject progId="Equation.3" shapeId="128016" r:id="rId17"/>
  </oleObjects>
</worksheet>
</file>

<file path=xl/worksheets/sheet57.xml><?xml version="1.0" encoding="utf-8"?>
<worksheet xmlns="http://schemas.openxmlformats.org/spreadsheetml/2006/main" xmlns:r="http://schemas.openxmlformats.org/officeDocument/2006/relationships">
  <dimension ref="A1:AP38"/>
  <sheetViews>
    <sheetView workbookViewId="0">
      <selection sqref="A1:C1"/>
    </sheetView>
  </sheetViews>
  <sheetFormatPr defaultRowHeight="14.25" outlineLevelRow="1"/>
  <cols>
    <col min="1" max="1" width="21.25" customWidth="1"/>
    <col min="2" max="2" width="18" customWidth="1"/>
    <col min="3" max="3" width="28.75" customWidth="1"/>
    <col min="11" max="11" width="9.5" bestFit="1" customWidth="1"/>
  </cols>
  <sheetData>
    <row r="1" spans="1:42">
      <c r="A1" s="2326" t="s">
        <v>2230</v>
      </c>
      <c r="B1" s="2478"/>
      <c r="C1" s="2478"/>
    </row>
    <row r="3" spans="1:42" outlineLevel="1">
      <c r="A3" s="2434" t="s">
        <v>1999</v>
      </c>
      <c r="B3" s="2298"/>
      <c r="C3" s="2298"/>
      <c r="D3" s="2"/>
    </row>
    <row r="4" spans="1:42" ht="18.75" outlineLevel="1">
      <c r="A4" s="699" t="s">
        <v>1920</v>
      </c>
      <c r="B4" s="6" t="s">
        <v>69</v>
      </c>
      <c r="C4" s="6" t="s">
        <v>70</v>
      </c>
      <c r="D4" s="2" t="s">
        <v>2231</v>
      </c>
    </row>
    <row r="5" spans="1:42" outlineLevel="1">
      <c r="A5" s="7" t="s">
        <v>2001</v>
      </c>
      <c r="B5" s="6" t="s">
        <v>72</v>
      </c>
      <c r="C5" s="6" t="s">
        <v>72</v>
      </c>
      <c r="D5" s="700" t="s">
        <v>2232</v>
      </c>
    </row>
    <row r="6" spans="1:42" outlineLevel="1">
      <c r="A6" s="568" t="s">
        <v>2233</v>
      </c>
      <c r="B6" s="6" t="s">
        <v>72</v>
      </c>
      <c r="C6" s="698" t="s">
        <v>2004</v>
      </c>
      <c r="D6" s="700" t="s">
        <v>2232</v>
      </c>
    </row>
    <row r="7" spans="1:42" outlineLevel="1">
      <c r="A7" s="7" t="s">
        <v>2234</v>
      </c>
      <c r="B7" s="6" t="s">
        <v>72</v>
      </c>
      <c r="C7" s="6" t="s">
        <v>2004</v>
      </c>
      <c r="D7" s="61" t="s">
        <v>2005</v>
      </c>
      <c r="E7" s="60" t="s">
        <v>4373</v>
      </c>
    </row>
    <row r="8" spans="1:42" outlineLevel="1">
      <c r="A8" s="698"/>
      <c r="B8" s="6"/>
      <c r="C8" s="6"/>
      <c r="D8" s="2"/>
      <c r="K8" s="702"/>
    </row>
    <row r="9" spans="1:42" outlineLevel="1">
      <c r="A9" s="6"/>
      <c r="B9" s="1365"/>
      <c r="C9" s="6"/>
      <c r="D9" s="2"/>
    </row>
    <row r="10" spans="1:42" outlineLevel="1">
      <c r="A10" s="6"/>
      <c r="B10" s="6"/>
      <c r="C10" s="6"/>
      <c r="D10" s="2"/>
    </row>
    <row r="11" spans="1:42" outlineLevel="1">
      <c r="A11" s="6"/>
      <c r="B11" s="6"/>
      <c r="C11" s="6"/>
      <c r="D11" s="2"/>
    </row>
    <row r="12" spans="1:42" outlineLevel="1">
      <c r="A12" t="s">
        <v>73</v>
      </c>
    </row>
    <row r="14" spans="1:42">
      <c r="A14" s="3200" t="s">
        <v>2235</v>
      </c>
      <c r="B14" s="2559"/>
      <c r="C14" s="2559"/>
      <c r="D14" s="2559"/>
      <c r="R14" s="703" t="s">
        <v>2013</v>
      </c>
      <c r="AF14" s="703" t="s">
        <v>2014</v>
      </c>
    </row>
    <row r="15" spans="1:42" outlineLevel="1">
      <c r="A15" s="1749" t="s">
        <v>4347</v>
      </c>
      <c r="B15" s="3199"/>
      <c r="C15" s="3199"/>
      <c r="D15" s="3199"/>
      <c r="E15" s="3199"/>
      <c r="F15" s="3199"/>
      <c r="G15" s="3199"/>
      <c r="H15" s="3199"/>
      <c r="I15" s="714"/>
      <c r="J15" s="714"/>
      <c r="K15" s="714"/>
      <c r="L15" s="856"/>
      <c r="R15" s="3198" t="s">
        <v>2236</v>
      </c>
      <c r="S15" s="3199"/>
      <c r="T15" s="3199"/>
      <c r="U15" s="3199"/>
      <c r="V15" s="3199"/>
      <c r="W15" s="3199"/>
      <c r="X15" s="3199"/>
      <c r="Y15" s="3199"/>
      <c r="Z15" s="714"/>
      <c r="AA15" s="714"/>
      <c r="AB15" s="714"/>
      <c r="AC15" s="856"/>
      <c r="AF15" s="3198" t="s">
        <v>2236</v>
      </c>
      <c r="AG15" s="3199"/>
      <c r="AH15" s="3199"/>
      <c r="AI15" s="3199"/>
      <c r="AJ15" s="3199"/>
      <c r="AK15" s="3199"/>
      <c r="AL15" s="3199"/>
      <c r="AM15" s="3199"/>
      <c r="AN15" s="714"/>
      <c r="AO15" s="714"/>
      <c r="AP15" s="714"/>
    </row>
    <row r="16" spans="1:42" ht="61.5" outlineLevel="1">
      <c r="A16" s="1749" t="s">
        <v>4375</v>
      </c>
      <c r="B16" s="2434"/>
      <c r="C16" s="2434"/>
      <c r="D16" s="2434"/>
      <c r="E16" s="1749" t="s">
        <v>4376</v>
      </c>
      <c r="F16" s="2434"/>
      <c r="G16" s="2434"/>
      <c r="H16" s="2434" t="s">
        <v>2021</v>
      </c>
      <c r="I16" s="2434"/>
      <c r="J16" s="2434"/>
      <c r="K16" s="2434"/>
      <c r="L16" s="767" t="s">
        <v>2239</v>
      </c>
      <c r="M16" t="s">
        <v>2240</v>
      </c>
      <c r="R16" s="2434" t="s">
        <v>2237</v>
      </c>
      <c r="S16" s="2434"/>
      <c r="T16" s="2434"/>
      <c r="U16" s="2434"/>
      <c r="V16" s="2434" t="s">
        <v>2238</v>
      </c>
      <c r="W16" s="2434"/>
      <c r="X16" s="2434"/>
      <c r="Y16" s="2434" t="s">
        <v>2021</v>
      </c>
      <c r="Z16" s="2434"/>
      <c r="AA16" s="2434"/>
      <c r="AB16" s="2434"/>
      <c r="AC16" s="767" t="s">
        <v>2239</v>
      </c>
      <c r="AF16" s="2434" t="s">
        <v>2237</v>
      </c>
      <c r="AG16" s="2434"/>
      <c r="AH16" s="2434"/>
      <c r="AI16" s="2434"/>
      <c r="AJ16" s="2434" t="s">
        <v>2238</v>
      </c>
      <c r="AK16" s="2434"/>
      <c r="AL16" s="2434"/>
      <c r="AM16" s="2434" t="s">
        <v>2021</v>
      </c>
      <c r="AN16" s="2434"/>
      <c r="AO16" s="2434"/>
      <c r="AP16" s="2434"/>
    </row>
    <row r="17" spans="1:42" outlineLevel="1">
      <c r="A17" s="3191">
        <v>45</v>
      </c>
      <c r="B17" s="3191"/>
      <c r="C17" s="3191"/>
      <c r="D17" s="3191"/>
      <c r="E17" s="3193" t="s">
        <v>2241</v>
      </c>
      <c r="F17" s="3193"/>
      <c r="G17" s="3193"/>
      <c r="H17" s="3194" t="e">
        <f>(A17-E17)/E17*100</f>
        <v>#VALUE!</v>
      </c>
      <c r="I17" s="3194"/>
      <c r="J17" s="3194"/>
      <c r="K17" s="3194"/>
      <c r="L17" s="2375">
        <f>2*(0.00005^2+0.00000029^2)^0.5</f>
        <v>1.0000168198585462E-4</v>
      </c>
      <c r="M17" s="702" t="s">
        <v>2242</v>
      </c>
      <c r="R17" s="3191">
        <v>45</v>
      </c>
      <c r="S17" s="3191"/>
      <c r="T17" s="3191"/>
      <c r="U17" s="3191"/>
      <c r="V17" s="3193" t="s">
        <v>2241</v>
      </c>
      <c r="W17" s="3193"/>
      <c r="X17" s="3193"/>
      <c r="Y17" s="3194" t="e">
        <f>(R17-V17)/V17*100</f>
        <v>#VALUE!</v>
      </c>
      <c r="Z17" s="3194"/>
      <c r="AA17" s="3194"/>
      <c r="AB17" s="3194"/>
      <c r="AC17" s="2375">
        <f>2*(0.00005^2+0.00000029^2)^0.5</f>
        <v>1.0000168198585462E-4</v>
      </c>
      <c r="AF17" s="3191">
        <v>45</v>
      </c>
      <c r="AG17" s="3191"/>
      <c r="AH17" s="3191"/>
      <c r="AI17" s="3191"/>
      <c r="AJ17" s="3193" t="s">
        <v>2241</v>
      </c>
      <c r="AK17" s="3193"/>
      <c r="AL17" s="3193"/>
      <c r="AM17" s="3194" t="e">
        <f>(AF17-AJ17)/AJ17*100</f>
        <v>#VALUE!</v>
      </c>
      <c r="AN17" s="3194"/>
      <c r="AO17" s="3194"/>
      <c r="AP17" s="3194"/>
    </row>
    <row r="18" spans="1:42" outlineLevel="1">
      <c r="A18" s="3191">
        <v>50</v>
      </c>
      <c r="B18" s="3191"/>
      <c r="C18" s="3191"/>
      <c r="D18" s="3191"/>
      <c r="E18" s="3193">
        <v>50</v>
      </c>
      <c r="F18" s="3193"/>
      <c r="G18" s="3193"/>
      <c r="H18" s="3194">
        <f>(A18-E18)/E18*100</f>
        <v>0</v>
      </c>
      <c r="I18" s="3194"/>
      <c r="J18" s="3194"/>
      <c r="K18" s="3194"/>
      <c r="L18" s="2376"/>
      <c r="M18" t="s">
        <v>2243</v>
      </c>
      <c r="R18" s="3191">
        <v>50</v>
      </c>
      <c r="S18" s="3191"/>
      <c r="T18" s="3191"/>
      <c r="U18" s="3191"/>
      <c r="V18" s="3193">
        <v>50</v>
      </c>
      <c r="W18" s="3193"/>
      <c r="X18" s="3193"/>
      <c r="Y18" s="3194">
        <f>(R18-V18)/V18*100</f>
        <v>0</v>
      </c>
      <c r="Z18" s="3194"/>
      <c r="AA18" s="3194"/>
      <c r="AB18" s="3194"/>
      <c r="AC18" s="2376"/>
      <c r="AF18" s="3191">
        <v>50</v>
      </c>
      <c r="AG18" s="3191"/>
      <c r="AH18" s="3191"/>
      <c r="AI18" s="3191"/>
      <c r="AJ18" s="3193">
        <v>50</v>
      </c>
      <c r="AK18" s="3193"/>
      <c r="AL18" s="3193"/>
      <c r="AM18" s="3194">
        <f>(AF18-AJ18)/AJ18*100</f>
        <v>0</v>
      </c>
      <c r="AN18" s="3194"/>
      <c r="AO18" s="3194"/>
      <c r="AP18" s="3194"/>
    </row>
    <row r="19" spans="1:42" outlineLevel="1">
      <c r="A19" s="3191">
        <v>55</v>
      </c>
      <c r="B19" s="3191"/>
      <c r="C19" s="3191"/>
      <c r="D19" s="3191"/>
      <c r="E19" s="3193">
        <v>55</v>
      </c>
      <c r="F19" s="3193"/>
      <c r="G19" s="3193"/>
      <c r="H19" s="3194">
        <f>(A19-E19)/E19*100</f>
        <v>0</v>
      </c>
      <c r="I19" s="3194"/>
      <c r="J19" s="3194"/>
      <c r="K19" s="3194"/>
      <c r="L19" s="2376"/>
      <c r="R19" s="3191">
        <v>55</v>
      </c>
      <c r="S19" s="3191"/>
      <c r="T19" s="3191"/>
      <c r="U19" s="3191"/>
      <c r="V19" s="3193">
        <v>55</v>
      </c>
      <c r="W19" s="3193"/>
      <c r="X19" s="3193"/>
      <c r="Y19" s="3194">
        <f>(R19-V19)/V19*100</f>
        <v>0</v>
      </c>
      <c r="Z19" s="3194"/>
      <c r="AA19" s="3194"/>
      <c r="AB19" s="3194"/>
      <c r="AC19" s="2376"/>
      <c r="AF19" s="3191">
        <v>55</v>
      </c>
      <c r="AG19" s="3191"/>
      <c r="AH19" s="3191"/>
      <c r="AI19" s="3191"/>
      <c r="AJ19" s="3193">
        <v>55</v>
      </c>
      <c r="AK19" s="3193"/>
      <c r="AL19" s="3193"/>
      <c r="AM19" s="3194">
        <f>(AF19-AJ19)/AJ19*100</f>
        <v>0</v>
      </c>
      <c r="AN19" s="3194"/>
      <c r="AO19" s="3194"/>
      <c r="AP19" s="3194"/>
    </row>
    <row r="20" spans="1:42" outlineLevel="1">
      <c r="A20" s="3195">
        <v>60</v>
      </c>
      <c r="B20" s="3196"/>
      <c r="C20" s="3196"/>
      <c r="D20" s="3197"/>
      <c r="E20" s="3192">
        <v>60</v>
      </c>
      <c r="F20" s="3192"/>
      <c r="G20" s="3192"/>
      <c r="H20" s="3190">
        <f>(A20-E20)/E20*100</f>
        <v>0</v>
      </c>
      <c r="I20" s="3190"/>
      <c r="J20" s="3190"/>
      <c r="K20" s="3190"/>
      <c r="L20" s="2376"/>
      <c r="R20" s="3195">
        <v>60</v>
      </c>
      <c r="S20" s="3196"/>
      <c r="T20" s="3196"/>
      <c r="U20" s="3197"/>
      <c r="V20" s="3192">
        <v>60</v>
      </c>
      <c r="W20" s="3192"/>
      <c r="X20" s="3192"/>
      <c r="Y20" s="3190">
        <f>(R20-V20)/V20*100</f>
        <v>0</v>
      </c>
      <c r="Z20" s="3190"/>
      <c r="AA20" s="3190"/>
      <c r="AB20" s="3190"/>
      <c r="AC20" s="2376"/>
      <c r="AF20" s="3195">
        <v>60</v>
      </c>
      <c r="AG20" s="3196"/>
      <c r="AH20" s="3196"/>
      <c r="AI20" s="3197"/>
      <c r="AJ20" s="3192">
        <v>60</v>
      </c>
      <c r="AK20" s="3192"/>
      <c r="AL20" s="3192"/>
      <c r="AM20" s="3190">
        <f>(AF20-AJ20)/AJ20*100</f>
        <v>0</v>
      </c>
      <c r="AN20" s="3190"/>
      <c r="AO20" s="3190"/>
      <c r="AP20" s="3190"/>
    </row>
    <row r="21" spans="1:42" outlineLevel="1">
      <c r="A21" s="3191">
        <v>65</v>
      </c>
      <c r="B21" s="3191"/>
      <c r="C21" s="3191"/>
      <c r="D21" s="3191"/>
      <c r="E21" s="3192">
        <v>65</v>
      </c>
      <c r="F21" s="3192"/>
      <c r="G21" s="3192"/>
      <c r="H21" s="3190">
        <f>(A21-E21)/E21*100</f>
        <v>0</v>
      </c>
      <c r="I21" s="3190"/>
      <c r="J21" s="3190"/>
      <c r="K21" s="3190"/>
      <c r="L21" s="2377"/>
      <c r="R21" s="3191">
        <v>65</v>
      </c>
      <c r="S21" s="3191"/>
      <c r="T21" s="3191"/>
      <c r="U21" s="3191"/>
      <c r="V21" s="3192">
        <v>65</v>
      </c>
      <c r="W21" s="3192"/>
      <c r="X21" s="3192"/>
      <c r="Y21" s="3190">
        <f>(R21-V21)/V21*100</f>
        <v>0</v>
      </c>
      <c r="Z21" s="3190"/>
      <c r="AA21" s="3190"/>
      <c r="AB21" s="3190"/>
      <c r="AC21" s="2377"/>
      <c r="AF21" s="3191">
        <v>65</v>
      </c>
      <c r="AG21" s="3191"/>
      <c r="AH21" s="3191"/>
      <c r="AI21" s="3191"/>
      <c r="AJ21" s="3192">
        <v>65</v>
      </c>
      <c r="AK21" s="3192"/>
      <c r="AL21" s="3192"/>
      <c r="AM21" s="3190">
        <f>(AF21-AJ21)/AJ21*100</f>
        <v>0</v>
      </c>
      <c r="AN21" s="3190"/>
      <c r="AO21" s="3190"/>
      <c r="AP21" s="3190"/>
    </row>
    <row r="24" spans="1:42">
      <c r="A24" s="702" t="s">
        <v>2244</v>
      </c>
    </row>
    <row r="25" spans="1:42">
      <c r="B25" s="702" t="s">
        <v>2245</v>
      </c>
    </row>
    <row r="28" spans="1:42">
      <c r="A28" t="s">
        <v>4042</v>
      </c>
      <c r="B28" t="s">
        <v>4348</v>
      </c>
    </row>
    <row r="29" spans="1:42">
      <c r="A29" s="2297" t="s">
        <v>4021</v>
      </c>
      <c r="B29" s="2297"/>
      <c r="C29" s="2297"/>
      <c r="D29" s="2297"/>
      <c r="E29" s="3201" t="s">
        <v>4024</v>
      </c>
      <c r="F29" s="3201"/>
      <c r="G29" s="3201"/>
      <c r="H29" s="2297" t="s">
        <v>1840</v>
      </c>
      <c r="I29" s="2297"/>
      <c r="J29" s="2297"/>
      <c r="K29" s="2297"/>
      <c r="L29" t="s">
        <v>4043</v>
      </c>
    </row>
    <row r="30" spans="1:42">
      <c r="A30" s="1749">
        <v>45</v>
      </c>
      <c r="B30" s="1749"/>
      <c r="C30" s="1749"/>
      <c r="D30" s="1749"/>
      <c r="E30" s="1749">
        <v>45</v>
      </c>
      <c r="F30" s="1749"/>
      <c r="G30" s="1749"/>
      <c r="H30" s="1749">
        <f>(A30-E30)/A30*100</f>
        <v>0</v>
      </c>
      <c r="I30" s="1749"/>
      <c r="J30" s="1749"/>
      <c r="K30" s="1749"/>
      <c r="L30" s="1749">
        <f>2*(0.00005^2+0.00000029^2)^0.5</f>
        <v>1.0000168198585462E-4</v>
      </c>
    </row>
    <row r="31" spans="1:42">
      <c r="A31" s="1749">
        <v>47.002899999999997</v>
      </c>
      <c r="B31" s="1749"/>
      <c r="C31" s="1749"/>
      <c r="D31" s="1749"/>
      <c r="E31" s="1749">
        <v>46.999600000000001</v>
      </c>
      <c r="F31" s="1749"/>
      <c r="G31" s="1749"/>
      <c r="H31" s="1749">
        <f t="shared" ref="H31:H38" si="0">(A31-E31)/A31*100</f>
        <v>7.0208433947604549E-3</v>
      </c>
      <c r="I31" s="1749"/>
      <c r="J31" s="1749"/>
      <c r="K31" s="1749"/>
      <c r="L31" s="1749"/>
    </row>
    <row r="32" spans="1:42">
      <c r="A32" s="1749">
        <v>49.004399999999997</v>
      </c>
      <c r="B32" s="1749"/>
      <c r="C32" s="1749"/>
      <c r="D32" s="1749"/>
      <c r="E32" s="1749">
        <v>48.999600000000001</v>
      </c>
      <c r="F32" s="1749"/>
      <c r="G32" s="1749"/>
      <c r="H32" s="1749">
        <f t="shared" si="0"/>
        <v>9.7950388128329683E-3</v>
      </c>
      <c r="I32" s="1749"/>
      <c r="J32" s="1749"/>
      <c r="K32" s="1749"/>
      <c r="L32" s="1749"/>
    </row>
    <row r="33" spans="1:12">
      <c r="A33" s="1749">
        <v>50</v>
      </c>
      <c r="B33" s="1749"/>
      <c r="C33" s="1749"/>
      <c r="D33" s="1749"/>
      <c r="E33" s="1749">
        <v>50</v>
      </c>
      <c r="F33" s="1749"/>
      <c r="G33" s="1749"/>
      <c r="H33" s="1749">
        <f t="shared" si="0"/>
        <v>0</v>
      </c>
      <c r="I33" s="1749"/>
      <c r="J33" s="1749"/>
      <c r="K33" s="1749"/>
      <c r="L33" s="1749"/>
    </row>
    <row r="34" spans="1:12">
      <c r="A34" s="1749">
        <v>51.002699999999997</v>
      </c>
      <c r="B34" s="1749"/>
      <c r="C34" s="1749"/>
      <c r="D34" s="1749"/>
      <c r="E34" s="1749">
        <v>50.999699999999997</v>
      </c>
      <c r="F34" s="1749"/>
      <c r="G34" s="1749"/>
      <c r="H34" s="1749">
        <f t="shared" si="0"/>
        <v>5.8820415389775711E-3</v>
      </c>
      <c r="I34" s="1749"/>
      <c r="J34" s="1749"/>
      <c r="K34" s="1749"/>
      <c r="L34" s="1749"/>
    </row>
    <row r="35" spans="1:12">
      <c r="A35" s="1749">
        <v>53.003599999999999</v>
      </c>
      <c r="B35" s="1749"/>
      <c r="C35" s="1749"/>
      <c r="D35" s="1749"/>
      <c r="E35" s="1749">
        <v>52.999600000000001</v>
      </c>
      <c r="F35" s="1749"/>
      <c r="G35" s="1749"/>
      <c r="H35" s="1749">
        <f t="shared" si="0"/>
        <v>7.5466572081854507E-3</v>
      </c>
      <c r="I35" s="1749"/>
      <c r="J35" s="1749"/>
      <c r="K35" s="1749"/>
      <c r="L35" s="1749"/>
    </row>
    <row r="36" spans="1:12">
      <c r="A36" s="1749">
        <v>55</v>
      </c>
      <c r="B36" s="1749"/>
      <c r="C36" s="1749"/>
      <c r="D36" s="1749"/>
      <c r="E36" s="1749">
        <v>55</v>
      </c>
      <c r="F36" s="1749"/>
      <c r="G36" s="1749"/>
      <c r="H36" s="1749">
        <f t="shared" si="0"/>
        <v>0</v>
      </c>
      <c r="I36" s="1749"/>
      <c r="J36" s="1749"/>
      <c r="K36" s="1749"/>
      <c r="L36" s="1749"/>
    </row>
    <row r="37" spans="1:12">
      <c r="A37" s="1749">
        <v>60</v>
      </c>
      <c r="B37" s="1749"/>
      <c r="C37" s="1749"/>
      <c r="D37" s="1749"/>
      <c r="E37" s="1749">
        <v>60</v>
      </c>
      <c r="F37" s="1749"/>
      <c r="G37" s="1749"/>
      <c r="H37" s="1749">
        <f t="shared" si="0"/>
        <v>0</v>
      </c>
      <c r="I37" s="1749"/>
      <c r="J37" s="1749"/>
      <c r="K37" s="1749"/>
      <c r="L37" s="1749"/>
    </row>
    <row r="38" spans="1:12">
      <c r="A38" s="1749">
        <v>65</v>
      </c>
      <c r="B38" s="1749"/>
      <c r="C38" s="1749"/>
      <c r="D38" s="1749"/>
      <c r="E38" s="1749">
        <v>65</v>
      </c>
      <c r="F38" s="1749"/>
      <c r="G38" s="1749"/>
      <c r="H38" s="1749">
        <f t="shared" si="0"/>
        <v>0</v>
      </c>
      <c r="I38" s="1749"/>
      <c r="J38" s="1749"/>
      <c r="K38" s="1749"/>
      <c r="L38" s="1749"/>
    </row>
  </sheetData>
  <mergeCells count="93">
    <mergeCell ref="A38:D38"/>
    <mergeCell ref="E38:G38"/>
    <mergeCell ref="H38:K38"/>
    <mergeCell ref="A36:D36"/>
    <mergeCell ref="E36:G36"/>
    <mergeCell ref="H36:K36"/>
    <mergeCell ref="A37:D37"/>
    <mergeCell ref="E37:G37"/>
    <mergeCell ref="H37:K37"/>
    <mergeCell ref="L30:L38"/>
    <mergeCell ref="A31:D31"/>
    <mergeCell ref="E31:G31"/>
    <mergeCell ref="H31:K31"/>
    <mergeCell ref="A32:D32"/>
    <mergeCell ref="E32:G32"/>
    <mergeCell ref="H32:K32"/>
    <mergeCell ref="A33:D33"/>
    <mergeCell ref="E33:G33"/>
    <mergeCell ref="H33:K33"/>
    <mergeCell ref="A34:D34"/>
    <mergeCell ref="E34:G34"/>
    <mergeCell ref="H34:K34"/>
    <mergeCell ref="A35:D35"/>
    <mergeCell ref="E35:G35"/>
    <mergeCell ref="H35:K35"/>
    <mergeCell ref="A29:D29"/>
    <mergeCell ref="E29:G29"/>
    <mergeCell ref="H29:K29"/>
    <mergeCell ref="A30:D30"/>
    <mergeCell ref="E30:G30"/>
    <mergeCell ref="H30:K30"/>
    <mergeCell ref="A1:C1"/>
    <mergeCell ref="A3:C3"/>
    <mergeCell ref="A14:D14"/>
    <mergeCell ref="A15:H15"/>
    <mergeCell ref="A16:D16"/>
    <mergeCell ref="E16:G16"/>
    <mergeCell ref="H16:K16"/>
    <mergeCell ref="A20:D20"/>
    <mergeCell ref="E20:G20"/>
    <mergeCell ref="H20:K20"/>
    <mergeCell ref="L17:L21"/>
    <mergeCell ref="E19:G19"/>
    <mergeCell ref="H19:K19"/>
    <mergeCell ref="A21:D21"/>
    <mergeCell ref="E21:G21"/>
    <mergeCell ref="H21:K21"/>
    <mergeCell ref="A17:D17"/>
    <mergeCell ref="E17:G17"/>
    <mergeCell ref="H17:K17"/>
    <mergeCell ref="A18:D18"/>
    <mergeCell ref="E18:G18"/>
    <mergeCell ref="H18:K18"/>
    <mergeCell ref="A19:D19"/>
    <mergeCell ref="AM17:AP17"/>
    <mergeCell ref="AF16:AI16"/>
    <mergeCell ref="AJ16:AL16"/>
    <mergeCell ref="AM16:AP16"/>
    <mergeCell ref="AJ17:AL17"/>
    <mergeCell ref="R15:Y15"/>
    <mergeCell ref="AF15:AM15"/>
    <mergeCell ref="R16:U16"/>
    <mergeCell ref="V16:X16"/>
    <mergeCell ref="Y16:AB16"/>
    <mergeCell ref="AM18:AP18"/>
    <mergeCell ref="R19:U19"/>
    <mergeCell ref="V19:X19"/>
    <mergeCell ref="Y19:AB19"/>
    <mergeCell ref="AF19:AI19"/>
    <mergeCell ref="Y20:AB20"/>
    <mergeCell ref="AF20:AI20"/>
    <mergeCell ref="AJ20:AL20"/>
    <mergeCell ref="R18:U18"/>
    <mergeCell ref="V18:X18"/>
    <mergeCell ref="Y18:AB18"/>
    <mergeCell ref="AF18:AI18"/>
    <mergeCell ref="AJ18:AL18"/>
    <mergeCell ref="AM20:AP20"/>
    <mergeCell ref="AC17:AC21"/>
    <mergeCell ref="AF17:AI17"/>
    <mergeCell ref="R21:U21"/>
    <mergeCell ref="V21:X21"/>
    <mergeCell ref="Y21:AB21"/>
    <mergeCell ref="AF21:AI21"/>
    <mergeCell ref="AJ21:AL21"/>
    <mergeCell ref="AM21:AP21"/>
    <mergeCell ref="R17:U17"/>
    <mergeCell ref="V17:X17"/>
    <mergeCell ref="Y17:AB17"/>
    <mergeCell ref="AJ19:AL19"/>
    <mergeCell ref="AM19:AP19"/>
    <mergeCell ref="R20:U20"/>
    <mergeCell ref="V20:X20"/>
  </mergeCells>
  <phoneticPr fontId="2" type="noConversion"/>
  <pageMargins left="0.75" right="0.75" top="1" bottom="1" header="0.5" footer="0.5"/>
  <drawing r:id="rId1"/>
  <legacyDrawing r:id="rId2"/>
</worksheet>
</file>

<file path=xl/worksheets/sheet58.xml><?xml version="1.0" encoding="utf-8"?>
<worksheet xmlns="http://schemas.openxmlformats.org/spreadsheetml/2006/main" xmlns:r="http://schemas.openxmlformats.org/officeDocument/2006/relationships">
  <dimension ref="A1:U22"/>
  <sheetViews>
    <sheetView workbookViewId="0">
      <selection activeCell="D18" sqref="D18:E18"/>
    </sheetView>
  </sheetViews>
  <sheetFormatPr defaultRowHeight="14.25"/>
  <sheetData>
    <row r="1" spans="1:21">
      <c r="A1" t="s">
        <v>3857</v>
      </c>
    </row>
    <row r="2" spans="1:21" ht="15.75">
      <c r="A2" s="1605" t="s">
        <v>3826</v>
      </c>
      <c r="B2" s="1605"/>
      <c r="C2" s="1605"/>
      <c r="D2" s="1605"/>
      <c r="E2" s="1605"/>
      <c r="F2" s="1605"/>
      <c r="G2" s="1605"/>
      <c r="H2" s="1605"/>
      <c r="I2" s="1605"/>
      <c r="J2" s="1605"/>
      <c r="K2" s="1605"/>
      <c r="L2" s="1605"/>
      <c r="M2" s="1605"/>
      <c r="N2" s="1605"/>
      <c r="O2" s="1605"/>
      <c r="P2" s="1606"/>
      <c r="Q2" s="1605"/>
      <c r="R2" s="1605"/>
      <c r="S2" s="1605"/>
      <c r="T2" s="1605"/>
      <c r="U2" s="529"/>
    </row>
    <row r="3" spans="1:21" ht="15.75">
      <c r="A3" s="2455" t="s">
        <v>3827</v>
      </c>
      <c r="B3" s="2455"/>
      <c r="C3" s="2455"/>
      <c r="D3" s="347" t="s">
        <v>3828</v>
      </c>
      <c r="E3" s="2455" t="s">
        <v>3829</v>
      </c>
      <c r="F3" s="2455"/>
      <c r="G3" s="2455"/>
      <c r="H3" s="2455"/>
      <c r="I3" s="2455" t="s">
        <v>3830</v>
      </c>
      <c r="J3" s="2455"/>
      <c r="K3" s="2455" t="s">
        <v>3831</v>
      </c>
      <c r="L3" s="2455"/>
      <c r="M3" s="2455"/>
      <c r="N3" s="1605"/>
      <c r="O3" s="1605"/>
      <c r="P3" s="1606"/>
      <c r="Q3" s="1605"/>
      <c r="R3" s="1605"/>
      <c r="S3" s="1605"/>
      <c r="T3" s="1605"/>
      <c r="U3" s="529"/>
    </row>
    <row r="4" spans="1:21" ht="15.75">
      <c r="A4" s="2451">
        <v>0.99447300000000005</v>
      </c>
      <c r="B4" s="2451"/>
      <c r="C4" s="2451"/>
      <c r="D4" s="349">
        <v>0.99545300000000003</v>
      </c>
      <c r="E4" s="2451">
        <v>0.99447300000000005</v>
      </c>
      <c r="F4" s="2451"/>
      <c r="G4" s="2451"/>
      <c r="H4" s="2451"/>
      <c r="I4" s="2451">
        <v>0.99545300000000003</v>
      </c>
      <c r="J4" s="2451"/>
      <c r="K4" s="2451">
        <v>0.99447300000000005</v>
      </c>
      <c r="L4" s="2451"/>
      <c r="M4" s="2451"/>
      <c r="N4" s="1605"/>
      <c r="O4" s="1605"/>
      <c r="P4" s="1606"/>
      <c r="Q4" s="1605"/>
      <c r="R4" s="1605"/>
      <c r="S4" s="1605"/>
      <c r="T4" s="1605"/>
      <c r="U4" s="529"/>
    </row>
    <row r="5" spans="1:21" ht="15.75">
      <c r="A5" s="2451">
        <v>0.99545300000000003</v>
      </c>
      <c r="B5" s="2451"/>
      <c r="C5" s="2451"/>
      <c r="D5" s="349">
        <v>0.99447300000000005</v>
      </c>
      <c r="E5" s="2451">
        <v>0.99545300000000003</v>
      </c>
      <c r="F5" s="2451"/>
      <c r="G5" s="2451"/>
      <c r="H5" s="2451"/>
      <c r="I5" s="2451">
        <v>0.99447300000000005</v>
      </c>
      <c r="J5" s="2451"/>
      <c r="K5" s="2451">
        <v>0.99545300000000003</v>
      </c>
      <c r="L5" s="2451"/>
      <c r="M5" s="2451"/>
      <c r="N5" s="1605"/>
      <c r="O5" s="1605"/>
      <c r="P5" s="1606"/>
      <c r="Q5" s="1605"/>
      <c r="R5" s="1605"/>
      <c r="S5" s="1605"/>
      <c r="T5" s="1605"/>
      <c r="U5" s="529"/>
    </row>
    <row r="6" spans="1:21" ht="18.75">
      <c r="A6" s="2452" t="s">
        <v>3832</v>
      </c>
      <c r="B6" s="2453"/>
      <c r="C6" s="2454"/>
      <c r="D6" s="1814"/>
      <c r="E6" s="1713"/>
      <c r="F6" s="1713"/>
      <c r="G6" s="1713"/>
      <c r="H6" s="1713"/>
      <c r="I6" s="1713"/>
      <c r="J6" s="1713"/>
      <c r="K6" s="1713"/>
      <c r="L6" s="1713"/>
      <c r="M6" s="1714"/>
      <c r="N6" s="1605"/>
      <c r="O6" s="1605"/>
      <c r="P6" s="1606"/>
      <c r="Q6" s="1605"/>
      <c r="R6" s="1605"/>
      <c r="S6" s="1605"/>
      <c r="T6" s="1605"/>
      <c r="U6" s="529"/>
    </row>
    <row r="7" spans="1:21" ht="15.75">
      <c r="A7" s="1605"/>
      <c r="B7" s="1605"/>
      <c r="C7" s="1605"/>
      <c r="D7" s="1605"/>
      <c r="E7" s="1605"/>
      <c r="F7" s="1605"/>
      <c r="G7" s="1605"/>
      <c r="H7" s="1605"/>
      <c r="I7" s="1605"/>
      <c r="J7" s="1605"/>
      <c r="K7" s="1605"/>
      <c r="L7" s="1605"/>
      <c r="M7" s="1605"/>
      <c r="N7" s="1605"/>
      <c r="O7" s="1605"/>
      <c r="P7" s="1606"/>
      <c r="Q7" s="1605"/>
      <c r="R7" s="1605"/>
      <c r="S7" s="1605"/>
      <c r="T7" s="1605"/>
      <c r="U7" s="529"/>
    </row>
    <row r="8" spans="1:21" ht="15.75">
      <c r="A8" s="1605"/>
      <c r="B8" s="1605"/>
      <c r="C8" s="1605"/>
      <c r="D8" s="1605"/>
      <c r="E8" s="1605"/>
      <c r="F8" s="1605"/>
      <c r="G8" s="1605"/>
      <c r="H8" s="1605"/>
      <c r="I8" s="1605"/>
      <c r="J8" s="1605"/>
      <c r="K8" s="1605"/>
      <c r="L8" s="1605"/>
      <c r="M8" s="1605"/>
      <c r="N8" s="1605"/>
      <c r="O8" s="1605"/>
      <c r="P8" s="1606"/>
      <c r="Q8" s="1605"/>
      <c r="R8" s="1605"/>
      <c r="S8" s="1605"/>
      <c r="T8" s="1605"/>
      <c r="U8" s="529"/>
    </row>
    <row r="9" spans="1:21" ht="15.75">
      <c r="A9" s="1605" t="s">
        <v>3833</v>
      </c>
      <c r="B9" s="1605"/>
      <c r="C9" s="1605"/>
      <c r="D9" s="1605"/>
      <c r="E9" s="529"/>
      <c r="F9" s="1605"/>
      <c r="G9" s="1605"/>
      <c r="H9" s="1605"/>
      <c r="I9" s="1605"/>
      <c r="J9" s="1605"/>
      <c r="K9" s="1605"/>
      <c r="L9" s="1605"/>
      <c r="M9" s="1605"/>
      <c r="N9" s="1605"/>
      <c r="O9" s="1605"/>
      <c r="P9" s="1606"/>
      <c r="Q9" s="1605"/>
      <c r="R9" s="1605"/>
      <c r="S9" s="1605"/>
      <c r="T9" s="1605"/>
      <c r="U9" s="529"/>
    </row>
    <row r="10" spans="1:21" ht="15.75">
      <c r="A10" s="1607" t="s">
        <v>3834</v>
      </c>
      <c r="B10" s="2450" t="s">
        <v>3835</v>
      </c>
      <c r="C10" s="2450"/>
      <c r="D10" s="2450"/>
      <c r="E10" s="2450"/>
      <c r="F10" s="2450"/>
      <c r="G10" s="2450"/>
      <c r="H10" s="2450"/>
      <c r="I10" s="2450"/>
      <c r="J10" s="2450"/>
      <c r="K10" s="1749" t="s">
        <v>3855</v>
      </c>
      <c r="L10" s="2450"/>
      <c r="M10" s="2450" t="s">
        <v>3836</v>
      </c>
      <c r="N10" s="2450"/>
      <c r="O10" s="2450"/>
      <c r="P10" s="1749" t="s">
        <v>3837</v>
      </c>
      <c r="Q10" s="1749"/>
      <c r="R10" s="1749" t="s">
        <v>3856</v>
      </c>
      <c r="S10" s="2450"/>
      <c r="T10" s="2450"/>
      <c r="U10" s="2450"/>
    </row>
    <row r="11" spans="1:21" ht="18.75">
      <c r="A11" s="1607">
        <v>1</v>
      </c>
      <c r="B11" s="2450" t="s">
        <v>3839</v>
      </c>
      <c r="C11" s="2450"/>
      <c r="D11" s="2450"/>
      <c r="E11" s="2450"/>
      <c r="F11" s="2450"/>
      <c r="G11" s="2450"/>
      <c r="H11" s="2450"/>
      <c r="I11" s="2450"/>
      <c r="J11" s="2450"/>
      <c r="K11" s="1749">
        <v>2.0000000000000001E-4</v>
      </c>
      <c r="L11" s="1749"/>
      <c r="M11" s="2450" t="s">
        <v>3840</v>
      </c>
      <c r="N11" s="2450"/>
      <c r="O11" s="2450"/>
      <c r="P11" s="2450">
        <v>2</v>
      </c>
      <c r="Q11" s="2450"/>
      <c r="R11" s="1749">
        <f>K11/P11</f>
        <v>1E-4</v>
      </c>
      <c r="S11" s="1749"/>
      <c r="T11" s="1749"/>
      <c r="U11" s="1749"/>
    </row>
    <row r="12" spans="1:21" ht="18.75">
      <c r="A12" s="1607">
        <v>2</v>
      </c>
      <c r="B12" s="2450" t="s">
        <v>3841</v>
      </c>
      <c r="C12" s="2450"/>
      <c r="D12" s="2450"/>
      <c r="E12" s="2450"/>
      <c r="F12" s="2450"/>
      <c r="G12" s="2450"/>
      <c r="H12" s="2450"/>
      <c r="I12" s="2450"/>
      <c r="J12" s="2450"/>
      <c r="K12" s="1749">
        <v>4.9999999999999998E-7</v>
      </c>
      <c r="L12" s="1749"/>
      <c r="M12" s="2450" t="s">
        <v>3842</v>
      </c>
      <c r="N12" s="2450"/>
      <c r="O12" s="2450"/>
      <c r="P12" s="1749"/>
      <c r="Q12" s="1749"/>
      <c r="R12" s="1749">
        <f>K12/SQRT(3)</f>
        <v>2.8867513459481289E-7</v>
      </c>
      <c r="S12" s="1749"/>
      <c r="T12" s="1749"/>
      <c r="U12" s="1749"/>
    </row>
    <row r="13" spans="1:21" ht="15.75">
      <c r="A13" s="529"/>
      <c r="B13" s="1749" t="s">
        <v>3843</v>
      </c>
      <c r="C13" s="1749"/>
      <c r="D13" s="1749"/>
      <c r="E13" s="1749"/>
      <c r="F13" s="1749"/>
      <c r="G13" s="1749"/>
      <c r="H13" s="1749"/>
      <c r="I13" s="1749"/>
      <c r="J13" s="1749"/>
      <c r="K13" s="1749">
        <v>2.0000000000000001E-4</v>
      </c>
      <c r="L13" s="1749"/>
      <c r="M13" s="1749" t="s">
        <v>3844</v>
      </c>
      <c r="N13" s="1749"/>
      <c r="O13" s="1749"/>
      <c r="P13" s="2450">
        <v>3</v>
      </c>
      <c r="Q13" s="2450"/>
      <c r="R13" s="1749">
        <v>6.0000000000000002E-5</v>
      </c>
      <c r="S13" s="1749"/>
      <c r="T13" s="1749"/>
      <c r="U13" s="1749"/>
    </row>
    <row r="14" spans="1:21">
      <c r="A14" s="529"/>
      <c r="B14" s="1749" t="s">
        <v>3845</v>
      </c>
      <c r="C14" s="1749"/>
      <c r="D14" s="1749"/>
      <c r="E14" s="1749"/>
      <c r="F14" s="1749"/>
      <c r="G14" s="1749"/>
      <c r="H14" s="1749"/>
      <c r="I14" s="1749"/>
      <c r="J14" s="1749"/>
      <c r="K14" s="1749">
        <v>2.0000000000000001E-4</v>
      </c>
      <c r="L14" s="1749"/>
      <c r="M14" s="1749" t="s">
        <v>3846</v>
      </c>
      <c r="N14" s="1749"/>
      <c r="O14" s="1749"/>
      <c r="P14" s="1749">
        <v>3</v>
      </c>
      <c r="Q14" s="1749"/>
      <c r="R14" s="1749">
        <v>6.0000000000000002E-5</v>
      </c>
      <c r="S14" s="1749"/>
      <c r="T14" s="1749"/>
      <c r="U14" s="1749"/>
    </row>
    <row r="15" spans="1:21" ht="18.75">
      <c r="A15" t="s">
        <v>3847</v>
      </c>
      <c r="B15" s="2450" t="s">
        <v>3848</v>
      </c>
      <c r="C15" s="2450"/>
      <c r="D15" s="2450"/>
      <c r="E15" s="2450"/>
      <c r="F15" s="2450"/>
      <c r="G15" s="2450"/>
      <c r="H15" s="2450"/>
      <c r="I15" s="2450"/>
      <c r="J15" s="2450"/>
      <c r="K15" s="2450"/>
      <c r="L15" s="2450"/>
      <c r="M15" s="2450"/>
      <c r="N15" s="2450"/>
      <c r="O15" s="2450"/>
      <c r="P15" s="2450"/>
      <c r="Q15" s="2450"/>
      <c r="R15" s="2450"/>
      <c r="S15" s="2450"/>
      <c r="T15" s="2450"/>
      <c r="U15" s="2450"/>
    </row>
    <row r="16" spans="1:21" ht="15.75">
      <c r="A16" s="529"/>
      <c r="B16" s="1749"/>
      <c r="C16" s="1749"/>
      <c r="D16" s="1749"/>
      <c r="E16" s="1749"/>
      <c r="F16" s="1749"/>
      <c r="G16" s="1749"/>
      <c r="H16" s="1749"/>
      <c r="I16" s="1749"/>
      <c r="J16" s="1749"/>
      <c r="K16" s="1749"/>
      <c r="L16" s="1749"/>
      <c r="M16" s="1749"/>
      <c r="N16" s="1749"/>
      <c r="O16" s="1749"/>
      <c r="Q16" s="1606"/>
      <c r="R16" s="1605"/>
      <c r="S16" s="1605"/>
      <c r="T16" s="1605"/>
      <c r="U16" s="1605"/>
    </row>
    <row r="17" spans="1:21" ht="15.75">
      <c r="A17" s="1605" t="s">
        <v>3849</v>
      </c>
      <c r="B17" s="1605"/>
      <c r="C17" s="1605"/>
      <c r="D17" s="1605"/>
      <c r="E17" s="1605"/>
      <c r="F17" s="1605"/>
      <c r="G17" s="1605"/>
      <c r="H17" s="1605"/>
      <c r="I17" s="1605"/>
      <c r="J17" s="1605"/>
      <c r="L17" s="1605"/>
      <c r="M17" s="1605"/>
      <c r="N17" s="1605"/>
      <c r="O17" s="1605"/>
      <c r="P17" s="1606"/>
      <c r="Q17" s="1605"/>
      <c r="R17" s="1605"/>
      <c r="S17" s="1605"/>
      <c r="T17" s="1605"/>
      <c r="U17" s="529"/>
    </row>
    <row r="18" spans="1:21" ht="18.75">
      <c r="A18" s="1605"/>
      <c r="B18" t="s">
        <v>3850</v>
      </c>
      <c r="C18" s="1605"/>
      <c r="D18" s="1749"/>
      <c r="E18" s="1749"/>
      <c r="F18" s="1605"/>
      <c r="G18" s="1605"/>
      <c r="H18" s="1605"/>
      <c r="I18" s="1605"/>
      <c r="J18" s="1605"/>
      <c r="L18" s="1605"/>
      <c r="M18" s="1605"/>
      <c r="N18" s="1605"/>
      <c r="O18" s="1605"/>
      <c r="P18" s="1606"/>
      <c r="Q18" s="1605"/>
      <c r="R18" s="1605"/>
      <c r="S18" s="1605"/>
      <c r="T18" s="1605"/>
      <c r="U18" s="529"/>
    </row>
    <row r="19" spans="1:21" ht="15.75">
      <c r="A19" s="1605" t="s">
        <v>3851</v>
      </c>
      <c r="B19" s="1605"/>
      <c r="C19" s="1605"/>
      <c r="D19" s="1605"/>
      <c r="E19" s="1605"/>
      <c r="F19" s="1605"/>
      <c r="G19" s="1605"/>
      <c r="H19" s="1605"/>
      <c r="I19" s="1605"/>
      <c r="J19" s="1605"/>
      <c r="L19" s="1605"/>
      <c r="M19" s="1605"/>
      <c r="N19" s="1605"/>
      <c r="O19" s="1605"/>
      <c r="P19" s="1606"/>
      <c r="Q19" s="1605"/>
      <c r="R19" s="1605"/>
      <c r="S19" s="1605"/>
      <c r="T19" s="1605"/>
      <c r="U19" s="529"/>
    </row>
    <row r="20" spans="1:21" ht="18.75">
      <c r="A20" s="1749" t="s">
        <v>3852</v>
      </c>
      <c r="B20" s="1749"/>
      <c r="C20" s="1749"/>
      <c r="D20" s="1749"/>
      <c r="E20" s="1605"/>
      <c r="F20" s="1605"/>
      <c r="G20" s="1605"/>
      <c r="H20" s="1605"/>
      <c r="I20" s="1605"/>
      <c r="J20" s="1605"/>
      <c r="L20" s="1605"/>
      <c r="M20" s="1605"/>
      <c r="N20" s="1605"/>
      <c r="O20" s="1605"/>
      <c r="P20" s="1606"/>
      <c r="Q20" s="1605"/>
      <c r="R20" s="1605"/>
      <c r="S20" s="1605"/>
      <c r="T20" s="1605"/>
      <c r="U20" s="529"/>
    </row>
    <row r="21" spans="1:21" ht="15.75">
      <c r="A21" s="1605" t="s">
        <v>3853</v>
      </c>
      <c r="B21" s="1605"/>
      <c r="C21" s="1605"/>
      <c r="D21" s="1605"/>
      <c r="E21" s="1605"/>
      <c r="F21" s="1605"/>
      <c r="G21" s="1605"/>
      <c r="H21" s="1605"/>
      <c r="I21" s="1605"/>
      <c r="J21" s="1605"/>
      <c r="L21" s="1605"/>
      <c r="M21" s="1605"/>
      <c r="N21" s="1605"/>
      <c r="P21" s="1606"/>
      <c r="Q21" s="1605"/>
      <c r="R21" s="1605"/>
      <c r="S21" s="1605"/>
      <c r="T21" s="1605"/>
      <c r="U21" s="529"/>
    </row>
    <row r="22" spans="1:21" ht="15.75">
      <c r="A22" t="s">
        <v>3854</v>
      </c>
      <c r="F22" s="1749"/>
      <c r="G22" s="1749"/>
      <c r="H22" s="1749"/>
      <c r="I22" s="1749"/>
      <c r="P22" s="1606"/>
      <c r="Q22" s="1605"/>
      <c r="R22" s="1605"/>
      <c r="S22" s="1605"/>
      <c r="T22" s="1605"/>
      <c r="U22" s="529"/>
    </row>
  </sheetData>
  <mergeCells count="45">
    <mergeCell ref="A3:C3"/>
    <mergeCell ref="E3:H3"/>
    <mergeCell ref="I3:J3"/>
    <mergeCell ref="K3:M3"/>
    <mergeCell ref="A4:C4"/>
    <mergeCell ref="E4:H4"/>
    <mergeCell ref="I4:J4"/>
    <mergeCell ref="K4:M4"/>
    <mergeCell ref="A5:C5"/>
    <mergeCell ref="E5:H5"/>
    <mergeCell ref="I5:J5"/>
    <mergeCell ref="K5:M5"/>
    <mergeCell ref="A6:C6"/>
    <mergeCell ref="D6:M6"/>
    <mergeCell ref="B11:J11"/>
    <mergeCell ref="K11:L11"/>
    <mergeCell ref="M11:O11"/>
    <mergeCell ref="P11:Q11"/>
    <mergeCell ref="R11:U11"/>
    <mergeCell ref="B10:J10"/>
    <mergeCell ref="K10:L10"/>
    <mergeCell ref="M10:O10"/>
    <mergeCell ref="P10:Q10"/>
    <mergeCell ref="R10:U10"/>
    <mergeCell ref="B15:U15"/>
    <mergeCell ref="B12:J12"/>
    <mergeCell ref="K12:L12"/>
    <mergeCell ref="M12:O12"/>
    <mergeCell ref="P12:Q12"/>
    <mergeCell ref="R12:U12"/>
    <mergeCell ref="B13:J13"/>
    <mergeCell ref="K13:L13"/>
    <mergeCell ref="M13:O13"/>
    <mergeCell ref="P13:Q13"/>
    <mergeCell ref="R13:U13"/>
    <mergeCell ref="B14:J14"/>
    <mergeCell ref="K14:L14"/>
    <mergeCell ref="M14:O14"/>
    <mergeCell ref="P14:Q14"/>
    <mergeCell ref="R14:U14"/>
    <mergeCell ref="B16:O16"/>
    <mergeCell ref="D18:E18"/>
    <mergeCell ref="A20:B20"/>
    <mergeCell ref="C20:D20"/>
    <mergeCell ref="F22:I22"/>
  </mergeCells>
  <phoneticPr fontId="2" type="noConversion"/>
  <pageMargins left="0.7" right="0.7" top="0.75" bottom="0.75" header="0.3" footer="0.3"/>
  <legacyDrawing r:id="rId1"/>
  <oleObjects>
    <oleObject progId="Equation.3" shapeId="238593" r:id="rId2"/>
  </oleObjects>
</worksheet>
</file>

<file path=xl/worksheets/sheet59.xml><?xml version="1.0" encoding="utf-8"?>
<worksheet xmlns="http://schemas.openxmlformats.org/spreadsheetml/2006/main" xmlns:r="http://schemas.openxmlformats.org/officeDocument/2006/relationships">
  <dimension ref="A1:BB141"/>
  <sheetViews>
    <sheetView topLeftCell="A34" zoomScale="85" zoomScaleNormal="85" workbookViewId="0">
      <selection activeCell="C28" sqref="C28:K40"/>
    </sheetView>
  </sheetViews>
  <sheetFormatPr defaultRowHeight="14.25" outlineLevelRow="1"/>
  <cols>
    <col min="1" max="1" width="19.625" customWidth="1"/>
    <col min="3" max="4" width="23.875" customWidth="1"/>
    <col min="5" max="5" width="15" customWidth="1"/>
    <col min="6" max="6" width="9" hidden="1" customWidth="1"/>
    <col min="7" max="7" width="6.25" customWidth="1"/>
    <col min="10" max="10" width="0.125" customWidth="1"/>
    <col min="11" max="11" width="9" hidden="1" customWidth="1"/>
    <col min="15" max="15" width="1.5" customWidth="1"/>
    <col min="16" max="16" width="9" hidden="1" customWidth="1"/>
  </cols>
  <sheetData>
    <row r="1" spans="1:6">
      <c r="A1" s="2478" t="s">
        <v>2246</v>
      </c>
      <c r="B1" s="2478"/>
      <c r="C1" s="2478"/>
      <c r="D1" s="1610"/>
    </row>
    <row r="3" spans="1:6" outlineLevel="1">
      <c r="A3" s="2434" t="s">
        <v>2247</v>
      </c>
      <c r="B3" s="2298"/>
      <c r="C3" s="2298"/>
      <c r="D3" s="6"/>
      <c r="E3" s="2"/>
    </row>
    <row r="4" spans="1:6" ht="18.75" outlineLevel="1">
      <c r="A4" s="699" t="s">
        <v>1920</v>
      </c>
      <c r="B4" s="699"/>
      <c r="C4" s="6" t="s">
        <v>69</v>
      </c>
      <c r="D4" s="6"/>
      <c r="E4" s="6" t="s">
        <v>70</v>
      </c>
      <c r="F4" s="700" t="s">
        <v>2248</v>
      </c>
    </row>
    <row r="5" spans="1:6" outlineLevel="1">
      <c r="A5" s="698" t="s">
        <v>2001</v>
      </c>
      <c r="B5" s="698"/>
      <c r="C5" s="6" t="s">
        <v>72</v>
      </c>
      <c r="D5" s="6"/>
      <c r="E5" s="6" t="s">
        <v>72</v>
      </c>
      <c r="F5" s="61" t="s">
        <v>2249</v>
      </c>
    </row>
    <row r="6" spans="1:6" outlineLevel="1">
      <c r="A6" s="698" t="s">
        <v>2250</v>
      </c>
      <c r="B6" s="698"/>
      <c r="C6" s="6" t="s">
        <v>72</v>
      </c>
      <c r="D6" s="6"/>
      <c r="E6" s="698" t="s">
        <v>2004</v>
      </c>
      <c r="F6" s="837" t="s">
        <v>2249</v>
      </c>
    </row>
    <row r="7" spans="1:6" ht="28.5" outlineLevel="1">
      <c r="A7" s="1675" t="s">
        <v>2251</v>
      </c>
      <c r="B7" s="1366" t="s">
        <v>3461</v>
      </c>
      <c r="C7" s="6" t="s">
        <v>72</v>
      </c>
      <c r="D7" s="6"/>
      <c r="E7" s="6" t="s">
        <v>72</v>
      </c>
      <c r="F7" s="61" t="s">
        <v>2234</v>
      </c>
    </row>
    <row r="8" spans="1:6" ht="28.5" outlineLevel="1">
      <c r="A8" s="698"/>
      <c r="B8" s="1366" t="s">
        <v>3462</v>
      </c>
      <c r="C8" s="6"/>
      <c r="D8" s="6"/>
      <c r="E8" s="6"/>
      <c r="F8" s="61"/>
    </row>
    <row r="9" spans="1:6" ht="28.5" outlineLevel="1">
      <c r="A9" s="698"/>
      <c r="B9" s="1366" t="s">
        <v>3463</v>
      </c>
      <c r="C9" s="6"/>
      <c r="D9" s="6"/>
      <c r="E9" s="6"/>
      <c r="F9" s="61"/>
    </row>
    <row r="10" spans="1:6" ht="28.5" outlineLevel="1">
      <c r="A10" s="698"/>
      <c r="B10" s="1366" t="s">
        <v>3464</v>
      </c>
      <c r="C10" s="6"/>
      <c r="D10" s="6"/>
      <c r="E10" s="6"/>
      <c r="F10" s="61"/>
    </row>
    <row r="11" spans="1:6" ht="28.5" outlineLevel="1">
      <c r="A11" s="698"/>
      <c r="B11" s="1366" t="s">
        <v>3465</v>
      </c>
      <c r="C11" s="6"/>
      <c r="D11" s="6"/>
      <c r="E11" s="6"/>
      <c r="F11" s="61"/>
    </row>
    <row r="12" spans="1:6" ht="28.5" outlineLevel="1">
      <c r="A12" s="698"/>
      <c r="B12" s="1366" t="s">
        <v>3466</v>
      </c>
      <c r="C12" s="6"/>
      <c r="D12" s="6"/>
      <c r="E12" s="6"/>
      <c r="F12" s="61"/>
    </row>
    <row r="13" spans="1:6" outlineLevel="1">
      <c r="A13" s="698" t="s">
        <v>2252</v>
      </c>
      <c r="B13" s="698"/>
      <c r="C13" s="6" t="s">
        <v>72</v>
      </c>
      <c r="D13" s="6"/>
      <c r="E13" s="698" t="s">
        <v>2004</v>
      </c>
      <c r="F13" s="61" t="s">
        <v>2249</v>
      </c>
    </row>
    <row r="14" spans="1:6" outlineLevel="1">
      <c r="A14" s="698" t="s">
        <v>2253</v>
      </c>
      <c r="B14" s="698"/>
      <c r="C14" s="6" t="s">
        <v>72</v>
      </c>
      <c r="D14" s="6"/>
      <c r="E14" s="698" t="s">
        <v>2004</v>
      </c>
      <c r="F14" s="61" t="s">
        <v>2249</v>
      </c>
    </row>
    <row r="15" spans="1:6" outlineLevel="1">
      <c r="A15" s="698" t="s">
        <v>2254</v>
      </c>
      <c r="B15" s="698"/>
      <c r="C15" s="6" t="s">
        <v>72</v>
      </c>
      <c r="D15" s="6"/>
      <c r="E15" s="698" t="s">
        <v>2004</v>
      </c>
      <c r="F15" s="61" t="s">
        <v>2249</v>
      </c>
    </row>
    <row r="16" spans="1:6" outlineLevel="1">
      <c r="A16" s="698" t="s">
        <v>2233</v>
      </c>
      <c r="B16" s="698"/>
      <c r="C16" s="6" t="s">
        <v>72</v>
      </c>
      <c r="D16" s="6"/>
      <c r="E16" s="698" t="s">
        <v>2004</v>
      </c>
      <c r="F16" s="61" t="s">
        <v>2249</v>
      </c>
    </row>
    <row r="17" spans="1:54" outlineLevel="1">
      <c r="A17" s="6"/>
      <c r="B17" s="6"/>
      <c r="C17" s="6"/>
      <c r="D17" s="6"/>
      <c r="E17" s="6"/>
      <c r="F17" s="2"/>
    </row>
    <row r="18" spans="1:54" outlineLevel="1">
      <c r="A18" s="6"/>
      <c r="B18" s="6"/>
      <c r="C18" s="6"/>
      <c r="D18" s="6"/>
      <c r="E18" s="6"/>
      <c r="F18" s="2"/>
    </row>
    <row r="19" spans="1:54" outlineLevel="1">
      <c r="A19" s="6"/>
      <c r="B19" s="6"/>
      <c r="C19" s="6"/>
      <c r="D19" s="6"/>
      <c r="E19" s="6"/>
      <c r="F19" s="2"/>
    </row>
    <row r="20" spans="1:54" outlineLevel="1">
      <c r="A20" s="6"/>
      <c r="B20" s="6"/>
      <c r="C20" s="6"/>
      <c r="D20" s="6"/>
      <c r="E20" s="6"/>
      <c r="F20" s="2"/>
    </row>
    <row r="21" spans="1:54" outlineLevel="1">
      <c r="A21" s="6"/>
      <c r="B21" s="6"/>
      <c r="C21" s="6"/>
      <c r="D21" s="6"/>
      <c r="E21" s="6"/>
      <c r="F21" s="2"/>
    </row>
    <row r="22" spans="1:54" outlineLevel="1">
      <c r="A22" t="s">
        <v>73</v>
      </c>
    </row>
    <row r="24" spans="1:54">
      <c r="A24" s="3200" t="s">
        <v>2235</v>
      </c>
      <c r="B24" s="2559"/>
      <c r="C24" s="2559"/>
      <c r="D24" s="2559"/>
      <c r="E24" s="2559"/>
    </row>
    <row r="25" spans="1:54" outlineLevel="1">
      <c r="A25" s="713" t="s">
        <v>2255</v>
      </c>
      <c r="B25" t="s">
        <v>4349</v>
      </c>
      <c r="C25" s="714"/>
      <c r="D25" s="714"/>
      <c r="E25" s="714"/>
      <c r="F25" s="714"/>
      <c r="G25" s="714"/>
      <c r="H25" s="714"/>
      <c r="I25" s="714"/>
      <c r="J25" s="714"/>
      <c r="K25" s="714"/>
      <c r="L25" s="714"/>
      <c r="M25" s="714"/>
      <c r="N25" s="715"/>
      <c r="O25" s="715"/>
      <c r="P25" s="856"/>
      <c r="Q25" s="723"/>
      <c r="X25" s="703" t="s">
        <v>2013</v>
      </c>
      <c r="AO25" s="703" t="s">
        <v>2014</v>
      </c>
    </row>
    <row r="26" spans="1:54" outlineLevel="1">
      <c r="A26" s="2381" t="s">
        <v>2257</v>
      </c>
      <c r="B26" s="2382"/>
      <c r="C26" s="2385" t="s">
        <v>2237</v>
      </c>
      <c r="D26" s="2386"/>
      <c r="E26" s="2386"/>
      <c r="F26" s="2386"/>
      <c r="G26" s="2379"/>
      <c r="H26" s="2385" t="s">
        <v>2238</v>
      </c>
      <c r="I26" s="2386"/>
      <c r="J26" s="2386"/>
      <c r="K26" s="2379"/>
      <c r="L26" s="2933" t="s">
        <v>2258</v>
      </c>
      <c r="M26" s="2933"/>
      <c r="N26" s="2933"/>
      <c r="O26" s="2933"/>
      <c r="P26" s="2933"/>
      <c r="Q26" s="3213" t="s">
        <v>2259</v>
      </c>
      <c r="R26" s="702" t="s">
        <v>2260</v>
      </c>
      <c r="X26" s="713" t="s">
        <v>2255</v>
      </c>
      <c r="Y26" s="714" t="s">
        <v>2256</v>
      </c>
      <c r="Z26" s="714"/>
      <c r="AA26" s="714"/>
      <c r="AB26" s="714"/>
      <c r="AC26" s="714"/>
      <c r="AD26" s="714"/>
      <c r="AE26" s="714"/>
      <c r="AF26" s="714"/>
      <c r="AG26" s="714"/>
      <c r="AH26" s="714"/>
      <c r="AI26" s="715"/>
      <c r="AJ26" s="715"/>
      <c r="AK26" s="856"/>
      <c r="AL26" s="723"/>
      <c r="AO26" s="713" t="s">
        <v>2255</v>
      </c>
      <c r="AP26" s="714" t="s">
        <v>2256</v>
      </c>
      <c r="AQ26" s="714"/>
      <c r="AR26" s="714"/>
      <c r="AS26" s="714"/>
      <c r="AT26" s="714"/>
      <c r="AU26" s="714"/>
      <c r="AV26" s="714"/>
      <c r="AW26" s="714"/>
      <c r="AX26" s="714"/>
      <c r="AY26" s="714"/>
      <c r="AZ26" s="715"/>
      <c r="BA26" s="715"/>
      <c r="BB26" s="856"/>
    </row>
    <row r="27" spans="1:54" ht="18.75" customHeight="1" outlineLevel="1">
      <c r="A27" s="2383"/>
      <c r="B27" s="2384"/>
      <c r="C27" s="3215" t="s">
        <v>3452</v>
      </c>
      <c r="D27" s="1749"/>
      <c r="E27" s="2386"/>
      <c r="F27" s="2386"/>
      <c r="G27" s="2379"/>
      <c r="H27" s="2378" t="s">
        <v>2261</v>
      </c>
      <c r="I27" s="2386"/>
      <c r="J27" s="2386"/>
      <c r="K27" s="2379"/>
      <c r="L27" s="3212" t="s">
        <v>2261</v>
      </c>
      <c r="M27" s="1749"/>
      <c r="N27" s="2931"/>
      <c r="O27" s="2931"/>
      <c r="P27" s="2932"/>
      <c r="Q27" s="3214"/>
      <c r="R27" s="858" t="s">
        <v>2262</v>
      </c>
      <c r="X27" s="2381" t="s">
        <v>2257</v>
      </c>
      <c r="Y27" s="2382"/>
      <c r="Z27" s="2385" t="s">
        <v>2237</v>
      </c>
      <c r="AA27" s="2386"/>
      <c r="AB27" s="2386"/>
      <c r="AC27" s="2379"/>
      <c r="AD27" s="2385" t="s">
        <v>2238</v>
      </c>
      <c r="AE27" s="2386"/>
      <c r="AF27" s="2386"/>
      <c r="AG27" s="2379"/>
      <c r="AH27" s="2933" t="s">
        <v>2258</v>
      </c>
      <c r="AI27" s="2933"/>
      <c r="AJ27" s="2933"/>
      <c r="AK27" s="2933"/>
      <c r="AL27" s="3213" t="s">
        <v>2259</v>
      </c>
      <c r="AO27" s="2381" t="s">
        <v>2257</v>
      </c>
      <c r="AP27" s="2382"/>
      <c r="AQ27" s="2385" t="s">
        <v>2237</v>
      </c>
      <c r="AR27" s="2386"/>
      <c r="AS27" s="2386"/>
      <c r="AT27" s="2379"/>
      <c r="AU27" s="2385" t="s">
        <v>2238</v>
      </c>
      <c r="AV27" s="2386"/>
      <c r="AW27" s="2386"/>
      <c r="AX27" s="2379"/>
      <c r="AY27" s="2933" t="s">
        <v>2258</v>
      </c>
      <c r="AZ27" s="2933"/>
      <c r="BA27" s="2933"/>
      <c r="BB27" s="2933"/>
    </row>
    <row r="28" spans="1:54" ht="18.75" outlineLevel="1">
      <c r="A28" s="3208">
        <v>0</v>
      </c>
      <c r="B28" s="3208"/>
      <c r="C28" s="2561">
        <v>359</v>
      </c>
      <c r="D28" s="2562"/>
      <c r="E28" s="2562"/>
      <c r="F28" s="2562"/>
      <c r="G28" s="3209"/>
      <c r="H28" s="1749">
        <v>0.4</v>
      </c>
      <c r="I28" s="1749"/>
      <c r="J28" s="1749"/>
      <c r="K28" s="1749"/>
      <c r="L28" s="3205">
        <f>C28-360-H28</f>
        <v>-1.4</v>
      </c>
      <c r="M28" s="3206"/>
      <c r="N28" s="3206"/>
      <c r="O28" s="3206"/>
      <c r="P28" s="3207"/>
      <c r="Q28" s="3210">
        <f>2*(0.000028^2+0.000167^2+0.0003^2)^0.5</f>
        <v>6.8897895468584516E-4</v>
      </c>
      <c r="R28" s="702" t="s">
        <v>2263</v>
      </c>
      <c r="X28" s="2383"/>
      <c r="Y28" s="2384"/>
      <c r="Z28" s="2378" t="s">
        <v>2261</v>
      </c>
      <c r="AA28" s="2386"/>
      <c r="AB28" s="2386"/>
      <c r="AC28" s="2379"/>
      <c r="AD28" s="2378" t="s">
        <v>2261</v>
      </c>
      <c r="AE28" s="2386"/>
      <c r="AF28" s="2386"/>
      <c r="AG28" s="2379"/>
      <c r="AH28" s="3212" t="s">
        <v>2261</v>
      </c>
      <c r="AI28" s="2931"/>
      <c r="AJ28" s="2931"/>
      <c r="AK28" s="2932"/>
      <c r="AL28" s="3214"/>
      <c r="AO28" s="2383"/>
      <c r="AP28" s="2384"/>
      <c r="AQ28" s="2378" t="s">
        <v>2261</v>
      </c>
      <c r="AR28" s="2386"/>
      <c r="AS28" s="2386"/>
      <c r="AT28" s="2379"/>
      <c r="AU28" s="2378" t="s">
        <v>2261</v>
      </c>
      <c r="AV28" s="2386"/>
      <c r="AW28" s="2386"/>
      <c r="AX28" s="2379"/>
      <c r="AY28" s="3212" t="s">
        <v>2261</v>
      </c>
      <c r="AZ28" s="2931"/>
      <c r="BA28" s="2931"/>
      <c r="BB28" s="2932"/>
    </row>
    <row r="29" spans="1:54" outlineLevel="1">
      <c r="A29" s="3208">
        <v>30</v>
      </c>
      <c r="B29" s="3208"/>
      <c r="C29" s="2561">
        <v>27</v>
      </c>
      <c r="D29" s="2562"/>
      <c r="E29" s="2562"/>
      <c r="F29" s="2562"/>
      <c r="G29" s="3209"/>
      <c r="H29" s="1749">
        <v>30.17</v>
      </c>
      <c r="I29" s="1749"/>
      <c r="J29" s="1749"/>
      <c r="K29" s="1749"/>
      <c r="L29" s="3205">
        <f t="shared" ref="L29:L39" si="0">C29-H29</f>
        <v>-3.1700000000000017</v>
      </c>
      <c r="M29" s="3206"/>
      <c r="N29" s="3206"/>
      <c r="O29" s="3206"/>
      <c r="P29" s="3207"/>
      <c r="Q29" s="3211"/>
      <c r="X29" s="3208">
        <v>0</v>
      </c>
      <c r="Y29" s="3208"/>
      <c r="Z29" s="2561">
        <v>359</v>
      </c>
      <c r="AA29" s="2562"/>
      <c r="AB29" s="2562"/>
      <c r="AC29" s="3209"/>
      <c r="AD29" s="3202">
        <v>0.4</v>
      </c>
      <c r="AE29" s="3203"/>
      <c r="AF29" s="3203"/>
      <c r="AG29" s="3204"/>
      <c r="AH29" s="3205">
        <f>Z29-360-AD29</f>
        <v>-1.4</v>
      </c>
      <c r="AI29" s="3206"/>
      <c r="AJ29" s="3206"/>
      <c r="AK29" s="3207"/>
      <c r="AL29" s="3210">
        <f>2*(0.000028^2+0.000167^2+0.0003^2)^0.5</f>
        <v>6.8897895468584516E-4</v>
      </c>
      <c r="AO29" s="3208">
        <v>0</v>
      </c>
      <c r="AP29" s="3208"/>
      <c r="AQ29" s="2561">
        <v>359</v>
      </c>
      <c r="AR29" s="2562"/>
      <c r="AS29" s="2562"/>
      <c r="AT29" s="3209"/>
      <c r="AU29" s="3202">
        <v>0.4</v>
      </c>
      <c r="AV29" s="3203"/>
      <c r="AW29" s="3203"/>
      <c r="AX29" s="3204"/>
      <c r="AY29" s="3205">
        <f>AQ29-360-AU29</f>
        <v>-1.4</v>
      </c>
      <c r="AZ29" s="3206"/>
      <c r="BA29" s="3206"/>
      <c r="BB29" s="3207"/>
    </row>
    <row r="30" spans="1:54" outlineLevel="1">
      <c r="A30" s="3208">
        <v>60</v>
      </c>
      <c r="B30" s="3208"/>
      <c r="C30" s="2561">
        <v>59</v>
      </c>
      <c r="D30" s="2562"/>
      <c r="E30" s="2562"/>
      <c r="F30" s="2562"/>
      <c r="G30" s="3209"/>
      <c r="H30" s="1749">
        <v>60.37</v>
      </c>
      <c r="I30" s="1749"/>
      <c r="J30" s="1749"/>
      <c r="K30" s="1749"/>
      <c r="L30" s="3205">
        <f t="shared" si="0"/>
        <v>-1.3699999999999974</v>
      </c>
      <c r="M30" s="3206"/>
      <c r="N30" s="3206"/>
      <c r="O30" s="3206"/>
      <c r="P30" s="3207"/>
      <c r="Q30" s="3211"/>
      <c r="X30" s="3208">
        <v>30</v>
      </c>
      <c r="Y30" s="3208"/>
      <c r="Z30" s="2561">
        <v>27</v>
      </c>
      <c r="AA30" s="2562"/>
      <c r="AB30" s="2562"/>
      <c r="AC30" s="3209"/>
      <c r="AD30" s="3202">
        <v>30.17</v>
      </c>
      <c r="AE30" s="3203"/>
      <c r="AF30" s="3203"/>
      <c r="AG30" s="3204"/>
      <c r="AH30" s="3205">
        <f t="shared" ref="AH30:AH40" si="1">Z30-AD30</f>
        <v>-3.1700000000000017</v>
      </c>
      <c r="AI30" s="3206"/>
      <c r="AJ30" s="3206"/>
      <c r="AK30" s="3207"/>
      <c r="AL30" s="3211"/>
      <c r="AO30" s="3208">
        <v>30</v>
      </c>
      <c r="AP30" s="3208"/>
      <c r="AQ30" s="2561">
        <v>27</v>
      </c>
      <c r="AR30" s="2562"/>
      <c r="AS30" s="2562"/>
      <c r="AT30" s="3209"/>
      <c r="AU30" s="3202">
        <v>30.17</v>
      </c>
      <c r="AV30" s="3203"/>
      <c r="AW30" s="3203"/>
      <c r="AX30" s="3204"/>
      <c r="AY30" s="3205">
        <f t="shared" ref="AY30:AY40" si="2">AQ30-AU30</f>
        <v>-3.1700000000000017</v>
      </c>
      <c r="AZ30" s="3206"/>
      <c r="BA30" s="3206"/>
      <c r="BB30" s="3207"/>
    </row>
    <row r="31" spans="1:54" outlineLevel="1">
      <c r="A31" s="3208">
        <v>90</v>
      </c>
      <c r="B31" s="3208"/>
      <c r="C31" s="2561">
        <v>88</v>
      </c>
      <c r="D31" s="2562"/>
      <c r="E31" s="2562"/>
      <c r="F31" s="2562"/>
      <c r="G31" s="3209"/>
      <c r="H31" s="1749">
        <v>90.37</v>
      </c>
      <c r="I31" s="1749"/>
      <c r="J31" s="1749"/>
      <c r="K31" s="1749"/>
      <c r="L31" s="3205">
        <f t="shared" si="0"/>
        <v>-2.3700000000000045</v>
      </c>
      <c r="M31" s="3206"/>
      <c r="N31" s="3206"/>
      <c r="O31" s="3206"/>
      <c r="P31" s="3207"/>
      <c r="Q31" s="3211"/>
      <c r="X31" s="3208">
        <v>60</v>
      </c>
      <c r="Y31" s="3208"/>
      <c r="Z31" s="2561">
        <v>59</v>
      </c>
      <c r="AA31" s="2562"/>
      <c r="AB31" s="2562"/>
      <c r="AC31" s="3209"/>
      <c r="AD31" s="3202">
        <v>60.37</v>
      </c>
      <c r="AE31" s="3203"/>
      <c r="AF31" s="3203"/>
      <c r="AG31" s="3204"/>
      <c r="AH31" s="3205">
        <f t="shared" si="1"/>
        <v>-1.3699999999999974</v>
      </c>
      <c r="AI31" s="3206"/>
      <c r="AJ31" s="3206"/>
      <c r="AK31" s="3207"/>
      <c r="AL31" s="3211"/>
      <c r="AO31" s="3208">
        <v>60</v>
      </c>
      <c r="AP31" s="3208"/>
      <c r="AQ31" s="2561">
        <v>59</v>
      </c>
      <c r="AR31" s="2562"/>
      <c r="AS31" s="2562"/>
      <c r="AT31" s="3209"/>
      <c r="AU31" s="3202">
        <v>60.37</v>
      </c>
      <c r="AV31" s="3203"/>
      <c r="AW31" s="3203"/>
      <c r="AX31" s="3204"/>
      <c r="AY31" s="3205">
        <f t="shared" si="2"/>
        <v>-1.3699999999999974</v>
      </c>
      <c r="AZ31" s="3206"/>
      <c r="BA31" s="3206"/>
      <c r="BB31" s="3207"/>
    </row>
    <row r="32" spans="1:54" outlineLevel="1">
      <c r="A32" s="3208">
        <v>120</v>
      </c>
      <c r="B32" s="3208"/>
      <c r="C32" s="2561">
        <v>117</v>
      </c>
      <c r="D32" s="2562"/>
      <c r="E32" s="2562"/>
      <c r="F32" s="2562"/>
      <c r="G32" s="3209"/>
      <c r="H32" s="1749">
        <v>120.37</v>
      </c>
      <c r="I32" s="1749"/>
      <c r="J32" s="1749"/>
      <c r="K32" s="1749"/>
      <c r="L32" s="3205">
        <f t="shared" si="0"/>
        <v>-3.3700000000000045</v>
      </c>
      <c r="M32" s="3206"/>
      <c r="N32" s="3206"/>
      <c r="O32" s="3206"/>
      <c r="P32" s="3207"/>
      <c r="Q32" s="3211"/>
      <c r="X32" s="3208">
        <v>90</v>
      </c>
      <c r="Y32" s="3208"/>
      <c r="Z32" s="2561">
        <v>88</v>
      </c>
      <c r="AA32" s="2562"/>
      <c r="AB32" s="2562"/>
      <c r="AC32" s="3209"/>
      <c r="AD32" s="3202">
        <v>90.37</v>
      </c>
      <c r="AE32" s="3203"/>
      <c r="AF32" s="3203"/>
      <c r="AG32" s="3204"/>
      <c r="AH32" s="3205">
        <f t="shared" si="1"/>
        <v>-2.3700000000000045</v>
      </c>
      <c r="AI32" s="3206"/>
      <c r="AJ32" s="3206"/>
      <c r="AK32" s="3207"/>
      <c r="AL32" s="3211"/>
      <c r="AO32" s="3208">
        <v>90</v>
      </c>
      <c r="AP32" s="3208"/>
      <c r="AQ32" s="2561">
        <v>88</v>
      </c>
      <c r="AR32" s="2562"/>
      <c r="AS32" s="2562"/>
      <c r="AT32" s="3209"/>
      <c r="AU32" s="3202">
        <v>90.37</v>
      </c>
      <c r="AV32" s="3203"/>
      <c r="AW32" s="3203"/>
      <c r="AX32" s="3204"/>
      <c r="AY32" s="3205">
        <f t="shared" si="2"/>
        <v>-2.3700000000000045</v>
      </c>
      <c r="AZ32" s="3206"/>
      <c r="BA32" s="3206"/>
      <c r="BB32" s="3207"/>
    </row>
    <row r="33" spans="1:54" outlineLevel="1">
      <c r="A33" s="3208">
        <v>150</v>
      </c>
      <c r="B33" s="3208"/>
      <c r="C33" s="2561">
        <v>148</v>
      </c>
      <c r="D33" s="2562"/>
      <c r="E33" s="2562"/>
      <c r="F33" s="2562"/>
      <c r="G33" s="3209"/>
      <c r="H33" s="1749">
        <v>150.37</v>
      </c>
      <c r="I33" s="1749"/>
      <c r="J33" s="1749"/>
      <c r="K33" s="1749"/>
      <c r="L33" s="3205">
        <f t="shared" si="0"/>
        <v>-2.3700000000000045</v>
      </c>
      <c r="M33" s="3206"/>
      <c r="N33" s="3206"/>
      <c r="O33" s="3206"/>
      <c r="P33" s="3207"/>
      <c r="Q33" s="3211"/>
      <c r="X33" s="3208">
        <v>120</v>
      </c>
      <c r="Y33" s="3208"/>
      <c r="Z33" s="2561">
        <v>117</v>
      </c>
      <c r="AA33" s="2562"/>
      <c r="AB33" s="2562"/>
      <c r="AC33" s="3209"/>
      <c r="AD33" s="3202">
        <v>120.37</v>
      </c>
      <c r="AE33" s="3203"/>
      <c r="AF33" s="3203"/>
      <c r="AG33" s="3204"/>
      <c r="AH33" s="3205">
        <f t="shared" si="1"/>
        <v>-3.3700000000000045</v>
      </c>
      <c r="AI33" s="3206"/>
      <c r="AJ33" s="3206"/>
      <c r="AK33" s="3207"/>
      <c r="AL33" s="3211"/>
      <c r="AO33" s="3208">
        <v>120</v>
      </c>
      <c r="AP33" s="3208"/>
      <c r="AQ33" s="2561">
        <v>117</v>
      </c>
      <c r="AR33" s="2562"/>
      <c r="AS33" s="2562"/>
      <c r="AT33" s="3209"/>
      <c r="AU33" s="3202">
        <v>120.37</v>
      </c>
      <c r="AV33" s="3203"/>
      <c r="AW33" s="3203"/>
      <c r="AX33" s="3204"/>
      <c r="AY33" s="3205">
        <f t="shared" si="2"/>
        <v>-3.3700000000000045</v>
      </c>
      <c r="AZ33" s="3206"/>
      <c r="BA33" s="3206"/>
      <c r="BB33" s="3207"/>
    </row>
    <row r="34" spans="1:54" outlineLevel="1">
      <c r="A34" s="3208">
        <v>180</v>
      </c>
      <c r="B34" s="3208"/>
      <c r="C34" s="2561">
        <v>178</v>
      </c>
      <c r="D34" s="2562"/>
      <c r="E34" s="2562"/>
      <c r="F34" s="2562"/>
      <c r="G34" s="3209"/>
      <c r="H34" s="1749">
        <f t="shared" ref="H34:H39" si="3">360-R34</f>
        <v>360</v>
      </c>
      <c r="I34" s="1749"/>
      <c r="J34" s="1749"/>
      <c r="K34" s="1749"/>
      <c r="L34" s="3205">
        <f t="shared" si="0"/>
        <v>-182</v>
      </c>
      <c r="M34" s="3206"/>
      <c r="N34" s="3206"/>
      <c r="O34" s="3206"/>
      <c r="P34" s="3207"/>
      <c r="Q34" s="3211"/>
      <c r="X34" s="3208">
        <v>150</v>
      </c>
      <c r="Y34" s="3208"/>
      <c r="Z34" s="2561">
        <v>148</v>
      </c>
      <c r="AA34" s="2562"/>
      <c r="AB34" s="2562"/>
      <c r="AC34" s="3209"/>
      <c r="AD34" s="3202">
        <v>150.37</v>
      </c>
      <c r="AE34" s="3203"/>
      <c r="AF34" s="3203"/>
      <c r="AG34" s="3204"/>
      <c r="AH34" s="3205">
        <f t="shared" si="1"/>
        <v>-2.3700000000000045</v>
      </c>
      <c r="AI34" s="3206"/>
      <c r="AJ34" s="3206"/>
      <c r="AK34" s="3207"/>
      <c r="AL34" s="3211"/>
      <c r="AO34" s="3208">
        <v>150</v>
      </c>
      <c r="AP34" s="3208"/>
      <c r="AQ34" s="2561">
        <v>148</v>
      </c>
      <c r="AR34" s="2562"/>
      <c r="AS34" s="2562"/>
      <c r="AT34" s="3209"/>
      <c r="AU34" s="3202">
        <v>150.37</v>
      </c>
      <c r="AV34" s="3203"/>
      <c r="AW34" s="3203"/>
      <c r="AX34" s="3204"/>
      <c r="AY34" s="3205">
        <f t="shared" si="2"/>
        <v>-2.3700000000000045</v>
      </c>
      <c r="AZ34" s="3206"/>
      <c r="BA34" s="3206"/>
      <c r="BB34" s="3207"/>
    </row>
    <row r="35" spans="1:54" outlineLevel="1">
      <c r="A35" s="3208">
        <v>210</v>
      </c>
      <c r="B35" s="3208"/>
      <c r="C35" s="2561">
        <v>209</v>
      </c>
      <c r="D35" s="2562"/>
      <c r="E35" s="2562"/>
      <c r="F35" s="2562"/>
      <c r="G35" s="3209"/>
      <c r="H35" s="1749">
        <f t="shared" si="3"/>
        <v>360</v>
      </c>
      <c r="I35" s="1749"/>
      <c r="J35" s="1749"/>
      <c r="K35" s="1749"/>
      <c r="L35" s="3205">
        <f t="shared" si="0"/>
        <v>-151</v>
      </c>
      <c r="M35" s="3206"/>
      <c r="N35" s="3206"/>
      <c r="O35" s="3206"/>
      <c r="P35" s="3207"/>
      <c r="Q35" s="3211"/>
      <c r="X35" s="3208">
        <v>180</v>
      </c>
      <c r="Y35" s="3208"/>
      <c r="Z35" s="2561">
        <v>178</v>
      </c>
      <c r="AA35" s="2562"/>
      <c r="AB35" s="2562"/>
      <c r="AC35" s="3209"/>
      <c r="AD35" s="3202">
        <f t="shared" ref="AD35:AD40" si="4">360-AM35</f>
        <v>360</v>
      </c>
      <c r="AE35" s="3203"/>
      <c r="AF35" s="3203"/>
      <c r="AG35" s="3204"/>
      <c r="AH35" s="3205">
        <f t="shared" si="1"/>
        <v>-182</v>
      </c>
      <c r="AI35" s="3206"/>
      <c r="AJ35" s="3206"/>
      <c r="AK35" s="3207"/>
      <c r="AL35" s="3211"/>
      <c r="AO35" s="3208">
        <v>180</v>
      </c>
      <c r="AP35" s="3208"/>
      <c r="AQ35" s="2561">
        <v>178</v>
      </c>
      <c r="AR35" s="2562"/>
      <c r="AS35" s="2562"/>
      <c r="AT35" s="3209"/>
      <c r="AU35" s="3202">
        <f t="shared" ref="AU35:AU40" si="5">360-BC35</f>
        <v>360</v>
      </c>
      <c r="AV35" s="3203"/>
      <c r="AW35" s="3203"/>
      <c r="AX35" s="3204"/>
      <c r="AY35" s="3205">
        <f t="shared" si="2"/>
        <v>-182</v>
      </c>
      <c r="AZ35" s="3206"/>
      <c r="BA35" s="3206"/>
      <c r="BB35" s="3207"/>
    </row>
    <row r="36" spans="1:54" outlineLevel="1">
      <c r="A36" s="3208">
        <v>240</v>
      </c>
      <c r="B36" s="3208"/>
      <c r="C36" s="2561">
        <v>238</v>
      </c>
      <c r="D36" s="2562"/>
      <c r="E36" s="2562"/>
      <c r="F36" s="2562"/>
      <c r="G36" s="3209"/>
      <c r="H36" s="1749">
        <f t="shared" si="3"/>
        <v>360</v>
      </c>
      <c r="I36" s="1749"/>
      <c r="J36" s="1749"/>
      <c r="K36" s="1749"/>
      <c r="L36" s="3205">
        <f t="shared" si="0"/>
        <v>-122</v>
      </c>
      <c r="M36" s="3206"/>
      <c r="N36" s="3206"/>
      <c r="O36" s="3206"/>
      <c r="P36" s="3207"/>
      <c r="Q36" s="3211"/>
      <c r="X36" s="3208">
        <v>210</v>
      </c>
      <c r="Y36" s="3208"/>
      <c r="Z36" s="2561">
        <v>209</v>
      </c>
      <c r="AA36" s="2562"/>
      <c r="AB36" s="2562"/>
      <c r="AC36" s="3209"/>
      <c r="AD36" s="3202">
        <f t="shared" si="4"/>
        <v>360</v>
      </c>
      <c r="AE36" s="3203"/>
      <c r="AF36" s="3203"/>
      <c r="AG36" s="3204"/>
      <c r="AH36" s="3205">
        <f t="shared" si="1"/>
        <v>-151</v>
      </c>
      <c r="AI36" s="3206"/>
      <c r="AJ36" s="3206"/>
      <c r="AK36" s="3207"/>
      <c r="AL36" s="3211"/>
      <c r="AO36" s="3208">
        <v>210</v>
      </c>
      <c r="AP36" s="3208"/>
      <c r="AQ36" s="2561">
        <v>209</v>
      </c>
      <c r="AR36" s="2562"/>
      <c r="AS36" s="2562"/>
      <c r="AT36" s="3209"/>
      <c r="AU36" s="3202">
        <f t="shared" si="5"/>
        <v>360</v>
      </c>
      <c r="AV36" s="3203"/>
      <c r="AW36" s="3203"/>
      <c r="AX36" s="3204"/>
      <c r="AY36" s="3205">
        <f t="shared" si="2"/>
        <v>-151</v>
      </c>
      <c r="AZ36" s="3206"/>
      <c r="BA36" s="3206"/>
      <c r="BB36" s="3207"/>
    </row>
    <row r="37" spans="1:54" outlineLevel="1">
      <c r="A37" s="3208">
        <v>270</v>
      </c>
      <c r="B37" s="3208"/>
      <c r="C37" s="2561">
        <v>269</v>
      </c>
      <c r="D37" s="2562"/>
      <c r="E37" s="2562"/>
      <c r="F37" s="2562"/>
      <c r="G37" s="3209"/>
      <c r="H37" s="1749">
        <f t="shared" si="3"/>
        <v>360</v>
      </c>
      <c r="I37" s="1749"/>
      <c r="J37" s="1749"/>
      <c r="K37" s="1749"/>
      <c r="L37" s="3205">
        <f t="shared" si="0"/>
        <v>-91</v>
      </c>
      <c r="M37" s="3206"/>
      <c r="N37" s="3206"/>
      <c r="O37" s="3206"/>
      <c r="P37" s="3207"/>
      <c r="Q37" s="3211"/>
      <c r="X37" s="3208">
        <v>240</v>
      </c>
      <c r="Y37" s="3208"/>
      <c r="Z37" s="2561">
        <v>238</v>
      </c>
      <c r="AA37" s="2562"/>
      <c r="AB37" s="2562"/>
      <c r="AC37" s="3209"/>
      <c r="AD37" s="3202">
        <f t="shared" si="4"/>
        <v>360</v>
      </c>
      <c r="AE37" s="3203"/>
      <c r="AF37" s="3203"/>
      <c r="AG37" s="3204"/>
      <c r="AH37" s="3205">
        <f t="shared" si="1"/>
        <v>-122</v>
      </c>
      <c r="AI37" s="3206"/>
      <c r="AJ37" s="3206"/>
      <c r="AK37" s="3207"/>
      <c r="AL37" s="3211"/>
      <c r="AO37" s="3208">
        <v>240</v>
      </c>
      <c r="AP37" s="3208"/>
      <c r="AQ37" s="2561">
        <v>238</v>
      </c>
      <c r="AR37" s="2562"/>
      <c r="AS37" s="2562"/>
      <c r="AT37" s="3209"/>
      <c r="AU37" s="3202">
        <f t="shared" si="5"/>
        <v>360</v>
      </c>
      <c r="AV37" s="3203"/>
      <c r="AW37" s="3203"/>
      <c r="AX37" s="3204"/>
      <c r="AY37" s="3205">
        <f t="shared" si="2"/>
        <v>-122</v>
      </c>
      <c r="AZ37" s="3206"/>
      <c r="BA37" s="3206"/>
      <c r="BB37" s="3207"/>
    </row>
    <row r="38" spans="1:54" outlineLevel="1">
      <c r="A38" s="3208">
        <v>300</v>
      </c>
      <c r="B38" s="3208"/>
      <c r="C38" s="2561">
        <v>298</v>
      </c>
      <c r="D38" s="2562"/>
      <c r="E38" s="2562"/>
      <c r="F38" s="2562"/>
      <c r="G38" s="3209"/>
      <c r="H38" s="1749">
        <f t="shared" si="3"/>
        <v>360</v>
      </c>
      <c r="I38" s="1749"/>
      <c r="J38" s="1749"/>
      <c r="K38" s="1749"/>
      <c r="L38" s="3205">
        <f t="shared" si="0"/>
        <v>-62</v>
      </c>
      <c r="M38" s="3206"/>
      <c r="N38" s="3206"/>
      <c r="O38" s="3206"/>
      <c r="P38" s="3207"/>
      <c r="Q38" s="3211"/>
      <c r="X38" s="3208">
        <v>270</v>
      </c>
      <c r="Y38" s="3208"/>
      <c r="Z38" s="2561">
        <v>269</v>
      </c>
      <c r="AA38" s="2562"/>
      <c r="AB38" s="2562"/>
      <c r="AC38" s="3209"/>
      <c r="AD38" s="3202">
        <f t="shared" si="4"/>
        <v>360</v>
      </c>
      <c r="AE38" s="3203"/>
      <c r="AF38" s="3203"/>
      <c r="AG38" s="3204"/>
      <c r="AH38" s="3205">
        <f t="shared" si="1"/>
        <v>-91</v>
      </c>
      <c r="AI38" s="3206"/>
      <c r="AJ38" s="3206"/>
      <c r="AK38" s="3207"/>
      <c r="AL38" s="3211"/>
      <c r="AO38" s="3208">
        <v>270</v>
      </c>
      <c r="AP38" s="3208"/>
      <c r="AQ38" s="2561">
        <v>269</v>
      </c>
      <c r="AR38" s="2562"/>
      <c r="AS38" s="2562"/>
      <c r="AT38" s="3209"/>
      <c r="AU38" s="3202">
        <f t="shared" si="5"/>
        <v>360</v>
      </c>
      <c r="AV38" s="3203"/>
      <c r="AW38" s="3203"/>
      <c r="AX38" s="3204"/>
      <c r="AY38" s="3205">
        <f t="shared" si="2"/>
        <v>-91</v>
      </c>
      <c r="AZ38" s="3206"/>
      <c r="BA38" s="3206"/>
      <c r="BB38" s="3207"/>
    </row>
    <row r="39" spans="1:54" outlineLevel="1">
      <c r="A39" s="3208">
        <v>330</v>
      </c>
      <c r="B39" s="3208"/>
      <c r="C39" s="2561">
        <v>329</v>
      </c>
      <c r="D39" s="2562"/>
      <c r="E39" s="2562"/>
      <c r="F39" s="2562"/>
      <c r="G39" s="3209"/>
      <c r="H39" s="1749">
        <f t="shared" si="3"/>
        <v>360</v>
      </c>
      <c r="I39" s="1749"/>
      <c r="J39" s="1749"/>
      <c r="K39" s="1749"/>
      <c r="L39" s="3205">
        <f t="shared" si="0"/>
        <v>-31</v>
      </c>
      <c r="M39" s="3206"/>
      <c r="N39" s="3206"/>
      <c r="O39" s="3206"/>
      <c r="P39" s="3207"/>
      <c r="Q39" s="3211"/>
      <c r="X39" s="3208">
        <v>300</v>
      </c>
      <c r="Y39" s="3208"/>
      <c r="Z39" s="2561">
        <v>298</v>
      </c>
      <c r="AA39" s="2562"/>
      <c r="AB39" s="2562"/>
      <c r="AC39" s="3209"/>
      <c r="AD39" s="3202">
        <f t="shared" si="4"/>
        <v>360</v>
      </c>
      <c r="AE39" s="3203"/>
      <c r="AF39" s="3203"/>
      <c r="AG39" s="3204"/>
      <c r="AH39" s="3205">
        <f t="shared" si="1"/>
        <v>-62</v>
      </c>
      <c r="AI39" s="3206"/>
      <c r="AJ39" s="3206"/>
      <c r="AK39" s="3207"/>
      <c r="AL39" s="3211"/>
      <c r="AO39" s="3208">
        <v>300</v>
      </c>
      <c r="AP39" s="3208"/>
      <c r="AQ39" s="2561">
        <v>298</v>
      </c>
      <c r="AR39" s="2562"/>
      <c r="AS39" s="2562"/>
      <c r="AT39" s="3209"/>
      <c r="AU39" s="3202">
        <f t="shared" si="5"/>
        <v>360</v>
      </c>
      <c r="AV39" s="3203"/>
      <c r="AW39" s="3203"/>
      <c r="AX39" s="3204"/>
      <c r="AY39" s="3205">
        <f t="shared" si="2"/>
        <v>-62</v>
      </c>
      <c r="AZ39" s="3206"/>
      <c r="BA39" s="3206"/>
      <c r="BB39" s="3207"/>
    </row>
    <row r="40" spans="1:54">
      <c r="A40" s="1368" t="s">
        <v>3456</v>
      </c>
      <c r="B40" s="1369" t="s">
        <v>3457</v>
      </c>
      <c r="C40" s="1370"/>
      <c r="D40" s="1370"/>
      <c r="E40" s="1370"/>
      <c r="F40" s="1370"/>
      <c r="G40" s="1370"/>
      <c r="H40" s="1370"/>
      <c r="I40" s="1370"/>
      <c r="J40" s="1371"/>
      <c r="K40" s="1370"/>
      <c r="L40" s="1372"/>
      <c r="M40" s="1370"/>
      <c r="N40" s="1373"/>
      <c r="O40" s="723"/>
      <c r="P40" s="723"/>
      <c r="Q40" s="3211"/>
      <c r="X40" s="3208">
        <v>330</v>
      </c>
      <c r="Y40" s="3208"/>
      <c r="Z40" s="2561">
        <v>329</v>
      </c>
      <c r="AA40" s="2562"/>
      <c r="AB40" s="2562"/>
      <c r="AC40" s="3209"/>
      <c r="AD40" s="3202">
        <f t="shared" si="4"/>
        <v>360</v>
      </c>
      <c r="AE40" s="3203"/>
      <c r="AF40" s="3203"/>
      <c r="AG40" s="3204"/>
      <c r="AH40" s="3205">
        <f t="shared" si="1"/>
        <v>-31</v>
      </c>
      <c r="AI40" s="3206"/>
      <c r="AJ40" s="3206"/>
      <c r="AK40" s="3207"/>
      <c r="AL40" s="3211"/>
      <c r="AO40" s="3208">
        <v>330</v>
      </c>
      <c r="AP40" s="3208"/>
      <c r="AQ40" s="2561">
        <v>329</v>
      </c>
      <c r="AR40" s="2562"/>
      <c r="AS40" s="2562"/>
      <c r="AT40" s="3209"/>
      <c r="AU40" s="3202">
        <f t="shared" si="5"/>
        <v>360</v>
      </c>
      <c r="AV40" s="3203"/>
      <c r="AW40" s="3203"/>
      <c r="AX40" s="3204"/>
      <c r="AY40" s="3205">
        <f t="shared" si="2"/>
        <v>-31</v>
      </c>
      <c r="AZ40" s="3206"/>
      <c r="BA40" s="3206"/>
      <c r="BB40" s="3207"/>
    </row>
    <row r="41" spans="1:54">
      <c r="A41" s="1367"/>
      <c r="X41" s="859"/>
      <c r="Y41" s="859"/>
      <c r="Z41" s="860"/>
      <c r="AA41" s="860"/>
      <c r="AB41" s="860"/>
      <c r="AC41" s="860"/>
      <c r="AD41" s="860"/>
      <c r="AE41" s="860"/>
      <c r="AF41" s="859"/>
      <c r="AG41" s="860"/>
      <c r="AH41" s="860"/>
      <c r="AI41" s="723"/>
      <c r="AJ41" s="723"/>
      <c r="AK41" s="723"/>
      <c r="AL41" s="3211"/>
      <c r="AO41" s="859"/>
      <c r="AP41" s="859"/>
      <c r="AQ41" s="860"/>
      <c r="AR41" s="860"/>
      <c r="AS41" s="860"/>
      <c r="AT41" s="860"/>
      <c r="AU41" s="860"/>
      <c r="AV41" s="860"/>
      <c r="AW41" s="859"/>
      <c r="AX41" s="860"/>
      <c r="AY41" s="860"/>
      <c r="AZ41" s="723"/>
      <c r="BA41" s="723"/>
      <c r="BB41" s="723"/>
    </row>
    <row r="42" spans="1:54">
      <c r="A42" s="702" t="s">
        <v>2264</v>
      </c>
      <c r="B42" s="702" t="s">
        <v>2265</v>
      </c>
    </row>
    <row r="43" spans="1:54">
      <c r="B43" s="702" t="s">
        <v>2266</v>
      </c>
    </row>
    <row r="47" spans="1:54">
      <c r="A47" s="713" t="s">
        <v>2255</v>
      </c>
      <c r="B47" t="s">
        <v>4044</v>
      </c>
      <c r="C47" s="714"/>
      <c r="D47" s="714"/>
      <c r="E47" s="714"/>
      <c r="F47" s="714"/>
      <c r="G47" s="714"/>
      <c r="H47" s="714"/>
      <c r="I47" s="714"/>
      <c r="J47" s="714"/>
      <c r="K47" s="714"/>
      <c r="L47" s="714"/>
      <c r="M47" s="714"/>
      <c r="N47" s="715"/>
      <c r="O47" s="715"/>
      <c r="P47" s="856"/>
      <c r="Q47" s="723"/>
    </row>
    <row r="48" spans="1:54">
      <c r="A48" s="2381" t="s">
        <v>2257</v>
      </c>
      <c r="B48" s="2382"/>
      <c r="C48" s="2385" t="s">
        <v>1932</v>
      </c>
      <c r="D48" s="2386"/>
      <c r="E48" s="2386"/>
      <c r="F48" s="2386"/>
      <c r="G48" s="2379"/>
      <c r="H48" s="2385" t="s">
        <v>1930</v>
      </c>
      <c r="I48" s="2386"/>
      <c r="J48" s="2386"/>
      <c r="K48" s="2379"/>
      <c r="L48" s="2933" t="s">
        <v>2258</v>
      </c>
      <c r="M48" s="2933"/>
      <c r="N48" s="2933"/>
      <c r="O48" s="2933"/>
      <c r="P48" s="2933"/>
      <c r="Q48" s="3213" t="s">
        <v>2259</v>
      </c>
    </row>
    <row r="49" spans="1:17" ht="18.75">
      <c r="A49" s="2383"/>
      <c r="B49" s="2384"/>
      <c r="C49" s="3215" t="s">
        <v>2261</v>
      </c>
      <c r="D49" s="1749"/>
      <c r="E49" s="2386"/>
      <c r="F49" s="2386"/>
      <c r="G49" s="2379"/>
      <c r="H49" s="2378" t="s">
        <v>2261</v>
      </c>
      <c r="I49" s="2386"/>
      <c r="J49" s="2386"/>
      <c r="K49" s="2379"/>
      <c r="L49" s="3212" t="s">
        <v>2261</v>
      </c>
      <c r="M49" s="1749"/>
      <c r="N49" s="2931"/>
      <c r="O49" s="2931"/>
      <c r="P49" s="2932"/>
      <c r="Q49" s="3214"/>
    </row>
    <row r="50" spans="1:17">
      <c r="A50" s="3208">
        <v>0</v>
      </c>
      <c r="B50" s="3208"/>
      <c r="C50" s="1749">
        <v>359</v>
      </c>
      <c r="D50" s="1749"/>
      <c r="E50" s="1749"/>
      <c r="F50" s="1749"/>
      <c r="G50" s="1749"/>
      <c r="H50" s="1749">
        <v>0.4</v>
      </c>
      <c r="I50" s="1749"/>
      <c r="J50" s="1749"/>
      <c r="K50" s="1749"/>
      <c r="L50" s="3205">
        <f>C50-360-H50</f>
        <v>-1.4</v>
      </c>
      <c r="M50" s="3206"/>
      <c r="N50" s="3206"/>
      <c r="O50" s="3206"/>
      <c r="P50" s="3207"/>
      <c r="Q50" s="3210">
        <f>2*(0.000028^2+0.000167^2+0.0003^2)^0.5</f>
        <v>6.8897895468584516E-4</v>
      </c>
    </row>
    <row r="51" spans="1:17">
      <c r="A51" s="3208">
        <v>30</v>
      </c>
      <c r="B51" s="3208"/>
      <c r="C51" s="1749">
        <v>27</v>
      </c>
      <c r="D51" s="1749"/>
      <c r="E51" s="1749"/>
      <c r="F51" s="1749"/>
      <c r="G51" s="1749"/>
      <c r="H51" s="1749">
        <v>30.17</v>
      </c>
      <c r="I51" s="1749"/>
      <c r="J51" s="1749"/>
      <c r="K51" s="1749"/>
      <c r="L51" s="3205">
        <f t="shared" ref="L51:L61" si="6">C51-H51</f>
        <v>-3.1700000000000017</v>
      </c>
      <c r="M51" s="3206"/>
      <c r="N51" s="3206"/>
      <c r="O51" s="3206"/>
      <c r="P51" s="3207"/>
      <c r="Q51" s="3211"/>
    </row>
    <row r="52" spans="1:17">
      <c r="A52" s="3208">
        <v>60</v>
      </c>
      <c r="B52" s="3208"/>
      <c r="C52" s="1749">
        <v>59</v>
      </c>
      <c r="D52" s="1749"/>
      <c r="E52" s="1749"/>
      <c r="F52" s="1749"/>
      <c r="G52" s="1749"/>
      <c r="H52" s="1749">
        <v>60.37</v>
      </c>
      <c r="I52" s="1749"/>
      <c r="J52" s="1749"/>
      <c r="K52" s="1749"/>
      <c r="L52" s="3205">
        <f t="shared" si="6"/>
        <v>-1.3699999999999974</v>
      </c>
      <c r="M52" s="3206"/>
      <c r="N52" s="3206"/>
      <c r="O52" s="3206"/>
      <c r="P52" s="3207"/>
      <c r="Q52" s="3211"/>
    </row>
    <row r="53" spans="1:17">
      <c r="A53" s="3208">
        <v>90</v>
      </c>
      <c r="B53" s="3208"/>
      <c r="C53" s="1749">
        <v>88</v>
      </c>
      <c r="D53" s="1749"/>
      <c r="E53" s="1749"/>
      <c r="F53" s="1749"/>
      <c r="G53" s="1749"/>
      <c r="H53" s="1749">
        <v>90.37</v>
      </c>
      <c r="I53" s="1749"/>
      <c r="J53" s="1749"/>
      <c r="K53" s="1749"/>
      <c r="L53" s="3205">
        <f t="shared" si="6"/>
        <v>-2.3700000000000045</v>
      </c>
      <c r="M53" s="3206"/>
      <c r="N53" s="3206"/>
      <c r="O53" s="3206"/>
      <c r="P53" s="3207"/>
      <c r="Q53" s="3211"/>
    </row>
    <row r="54" spans="1:17">
      <c r="A54" s="3208">
        <v>120</v>
      </c>
      <c r="B54" s="3208"/>
      <c r="C54" s="1749">
        <v>117</v>
      </c>
      <c r="D54" s="1749"/>
      <c r="E54" s="1749"/>
      <c r="F54" s="1749"/>
      <c r="G54" s="1749"/>
      <c r="H54" s="1749">
        <v>120.37</v>
      </c>
      <c r="I54" s="1749"/>
      <c r="J54" s="1749"/>
      <c r="K54" s="1749"/>
      <c r="L54" s="3205">
        <f t="shared" si="6"/>
        <v>-3.3700000000000045</v>
      </c>
      <c r="M54" s="3206"/>
      <c r="N54" s="3206"/>
      <c r="O54" s="3206"/>
      <c r="P54" s="3207"/>
      <c r="Q54" s="3211"/>
    </row>
    <row r="55" spans="1:17">
      <c r="A55" s="3208">
        <v>150</v>
      </c>
      <c r="B55" s="3208"/>
      <c r="C55" s="1749">
        <v>148</v>
      </c>
      <c r="D55" s="1749"/>
      <c r="E55" s="1749"/>
      <c r="F55" s="1749"/>
      <c r="G55" s="1749"/>
      <c r="H55" s="1749">
        <v>150.37</v>
      </c>
      <c r="I55" s="1749"/>
      <c r="J55" s="1749"/>
      <c r="K55" s="1749"/>
      <c r="L55" s="3205">
        <f t="shared" si="6"/>
        <v>-2.3700000000000045</v>
      </c>
      <c r="M55" s="3206"/>
      <c r="N55" s="3206"/>
      <c r="O55" s="3206"/>
      <c r="P55" s="3207"/>
      <c r="Q55" s="3211"/>
    </row>
    <row r="56" spans="1:17">
      <c r="A56" s="3208">
        <v>180</v>
      </c>
      <c r="B56" s="3208"/>
      <c r="C56" s="1749">
        <v>178</v>
      </c>
      <c r="D56" s="1749"/>
      <c r="E56" s="1749"/>
      <c r="F56" s="1749"/>
      <c r="G56" s="1749"/>
      <c r="H56" s="1749">
        <f t="shared" ref="H56:H61" si="7">360-R56</f>
        <v>360</v>
      </c>
      <c r="I56" s="1749"/>
      <c r="J56" s="1749"/>
      <c r="K56" s="1749"/>
      <c r="L56" s="3205">
        <f t="shared" si="6"/>
        <v>-182</v>
      </c>
      <c r="M56" s="3206"/>
      <c r="N56" s="3206"/>
      <c r="O56" s="3206"/>
      <c r="P56" s="3207"/>
      <c r="Q56" s="3211"/>
    </row>
    <row r="57" spans="1:17">
      <c r="A57" s="3208">
        <v>210</v>
      </c>
      <c r="B57" s="3208"/>
      <c r="C57" s="1749">
        <v>209</v>
      </c>
      <c r="D57" s="1749"/>
      <c r="E57" s="1749"/>
      <c r="F57" s="1749"/>
      <c r="G57" s="1749"/>
      <c r="H57" s="1749">
        <f t="shared" si="7"/>
        <v>360</v>
      </c>
      <c r="I57" s="1749"/>
      <c r="J57" s="1749"/>
      <c r="K57" s="1749"/>
      <c r="L57" s="3205">
        <f t="shared" si="6"/>
        <v>-151</v>
      </c>
      <c r="M57" s="3206"/>
      <c r="N57" s="3206"/>
      <c r="O57" s="3206"/>
      <c r="P57" s="3207"/>
      <c r="Q57" s="3211"/>
    </row>
    <row r="58" spans="1:17">
      <c r="A58" s="3208">
        <v>240</v>
      </c>
      <c r="B58" s="3208"/>
      <c r="C58" s="1749">
        <v>238</v>
      </c>
      <c r="D58" s="1749"/>
      <c r="E58" s="1749"/>
      <c r="F58" s="1749"/>
      <c r="G58" s="1749"/>
      <c r="H58" s="1749">
        <f t="shared" si="7"/>
        <v>360</v>
      </c>
      <c r="I58" s="1749"/>
      <c r="J58" s="1749"/>
      <c r="K58" s="1749"/>
      <c r="L58" s="3205">
        <f t="shared" si="6"/>
        <v>-122</v>
      </c>
      <c r="M58" s="3206"/>
      <c r="N58" s="3206"/>
      <c r="O58" s="3206"/>
      <c r="P58" s="3207"/>
      <c r="Q58" s="3211"/>
    </row>
    <row r="59" spans="1:17">
      <c r="A59" s="3208">
        <v>270</v>
      </c>
      <c r="B59" s="3208"/>
      <c r="C59" s="1749">
        <v>269</v>
      </c>
      <c r="D59" s="1749"/>
      <c r="E59" s="1749"/>
      <c r="F59" s="1749"/>
      <c r="G59" s="1749"/>
      <c r="H59" s="1749">
        <f t="shared" si="7"/>
        <v>360</v>
      </c>
      <c r="I59" s="1749"/>
      <c r="J59" s="1749"/>
      <c r="K59" s="1749"/>
      <c r="L59" s="3205">
        <f t="shared" si="6"/>
        <v>-91</v>
      </c>
      <c r="M59" s="3206"/>
      <c r="N59" s="3206"/>
      <c r="O59" s="3206"/>
      <c r="P59" s="3207"/>
      <c r="Q59" s="3211"/>
    </row>
    <row r="60" spans="1:17">
      <c r="A60" s="3208">
        <v>300</v>
      </c>
      <c r="B60" s="3208"/>
      <c r="C60" s="1749">
        <v>298</v>
      </c>
      <c r="D60" s="1749"/>
      <c r="E60" s="1749"/>
      <c r="F60" s="1749"/>
      <c r="G60" s="1749"/>
      <c r="H60" s="1749">
        <f t="shared" si="7"/>
        <v>360</v>
      </c>
      <c r="I60" s="1749"/>
      <c r="J60" s="1749"/>
      <c r="K60" s="1749"/>
      <c r="L60" s="3205">
        <f t="shared" si="6"/>
        <v>-62</v>
      </c>
      <c r="M60" s="3206"/>
      <c r="N60" s="3206"/>
      <c r="O60" s="3206"/>
      <c r="P60" s="3207"/>
      <c r="Q60" s="3211"/>
    </row>
    <row r="61" spans="1:17">
      <c r="A61" s="3208">
        <v>330</v>
      </c>
      <c r="B61" s="3208"/>
      <c r="C61" s="1749">
        <v>329</v>
      </c>
      <c r="D61" s="1749"/>
      <c r="E61" s="1749"/>
      <c r="F61" s="1749"/>
      <c r="G61" s="1749"/>
      <c r="H61" s="1749">
        <f t="shared" si="7"/>
        <v>360</v>
      </c>
      <c r="I61" s="1749"/>
      <c r="J61" s="1749"/>
      <c r="K61" s="1749"/>
      <c r="L61" s="3205">
        <f t="shared" si="6"/>
        <v>-31</v>
      </c>
      <c r="M61" s="3206"/>
      <c r="N61" s="3206"/>
      <c r="O61" s="3206"/>
      <c r="P61" s="3207"/>
      <c r="Q61" s="3211"/>
    </row>
    <row r="62" spans="1:17">
      <c r="A62" s="1368" t="s">
        <v>3456</v>
      </c>
      <c r="B62" s="1369" t="s">
        <v>3457</v>
      </c>
      <c r="C62" s="1370"/>
      <c r="D62" s="1370"/>
      <c r="E62" s="1370"/>
      <c r="F62" s="1370"/>
      <c r="G62" s="1370"/>
      <c r="H62" s="1370"/>
      <c r="I62" s="1370"/>
      <c r="J62" s="1371"/>
      <c r="K62" s="1370"/>
      <c r="L62" s="1372"/>
      <c r="M62" s="1370"/>
      <c r="N62" s="1373"/>
      <c r="O62" s="723"/>
      <c r="P62" s="723"/>
      <c r="Q62" s="3211"/>
    </row>
    <row r="67" spans="1:17">
      <c r="A67" s="713" t="s">
        <v>2255</v>
      </c>
      <c r="B67" t="s">
        <v>4044</v>
      </c>
      <c r="C67" s="714"/>
      <c r="D67" s="714"/>
      <c r="E67" s="714"/>
      <c r="F67" s="714"/>
      <c r="G67" s="714"/>
      <c r="H67" s="714"/>
      <c r="I67" s="714"/>
      <c r="J67" s="714"/>
      <c r="K67" s="714"/>
      <c r="L67" s="714"/>
      <c r="M67" s="714"/>
      <c r="N67" s="715"/>
      <c r="O67" s="715"/>
      <c r="P67" s="856"/>
      <c r="Q67" s="723"/>
    </row>
    <row r="68" spans="1:17">
      <c r="A68" s="2381" t="s">
        <v>2257</v>
      </c>
      <c r="B68" s="2382"/>
      <c r="C68" s="2385" t="s">
        <v>1932</v>
      </c>
      <c r="D68" s="2386"/>
      <c r="E68" s="2386"/>
      <c r="F68" s="2386"/>
      <c r="G68" s="2379"/>
      <c r="H68" s="2385" t="s">
        <v>1930</v>
      </c>
      <c r="I68" s="2386"/>
      <c r="J68" s="2386"/>
      <c r="K68" s="2379"/>
      <c r="L68" s="2933" t="s">
        <v>2258</v>
      </c>
      <c r="M68" s="2933"/>
      <c r="N68" s="2933"/>
      <c r="O68" s="2933"/>
      <c r="P68" s="2933"/>
      <c r="Q68" s="3213" t="s">
        <v>2259</v>
      </c>
    </row>
    <row r="69" spans="1:17" ht="18.75">
      <c r="A69" s="2383"/>
      <c r="B69" s="2384"/>
      <c r="C69" s="3216" t="s">
        <v>2261</v>
      </c>
      <c r="D69" s="1749"/>
      <c r="E69" t="s">
        <v>4045</v>
      </c>
      <c r="F69" s="714"/>
      <c r="G69" s="1124"/>
      <c r="H69" t="s">
        <v>2261</v>
      </c>
      <c r="I69" t="s">
        <v>4046</v>
      </c>
      <c r="J69" s="714"/>
      <c r="K69" s="1124"/>
      <c r="L69" t="s">
        <v>2261</v>
      </c>
      <c r="N69" t="s">
        <v>4047</v>
      </c>
      <c r="Q69" s="3214"/>
    </row>
    <row r="70" spans="1:17">
      <c r="A70" s="3208">
        <v>0</v>
      </c>
      <c r="B70" s="3208"/>
      <c r="C70" s="1749">
        <v>359</v>
      </c>
      <c r="D70" s="1749"/>
      <c r="E70">
        <v>359</v>
      </c>
      <c r="H70">
        <v>0.4</v>
      </c>
      <c r="I70">
        <v>359</v>
      </c>
      <c r="L70">
        <f>C70-360-H70</f>
        <v>-1.4</v>
      </c>
      <c r="M70" s="3205">
        <f>E70-360-I70</f>
        <v>-360</v>
      </c>
      <c r="N70" s="3206"/>
      <c r="O70" s="3206"/>
      <c r="Q70" s="3210">
        <f>2*(0.000028^2+0.000167^2+0.0003^2)^0.5</f>
        <v>6.8897895468584516E-4</v>
      </c>
    </row>
    <row r="71" spans="1:17">
      <c r="A71" s="3208">
        <v>30</v>
      </c>
      <c r="B71" s="3208"/>
      <c r="C71" s="1749">
        <v>27</v>
      </c>
      <c r="D71" s="1749"/>
      <c r="E71">
        <v>27</v>
      </c>
      <c r="H71">
        <v>30.17</v>
      </c>
      <c r="I71">
        <v>27</v>
      </c>
      <c r="L71">
        <f t="shared" ref="L71:L81" si="8">C71-H71</f>
        <v>-3.1700000000000017</v>
      </c>
      <c r="M71" s="3205">
        <f t="shared" ref="M71:M81" si="9">E71-I71</f>
        <v>0</v>
      </c>
      <c r="N71" s="3206"/>
      <c r="O71" s="3206"/>
      <c r="Q71" s="3211"/>
    </row>
    <row r="72" spans="1:17">
      <c r="A72" s="3208">
        <v>60</v>
      </c>
      <c r="B72" s="3208"/>
      <c r="C72" s="1749">
        <v>59</v>
      </c>
      <c r="D72" s="1749"/>
      <c r="E72">
        <v>59</v>
      </c>
      <c r="H72">
        <v>60.37</v>
      </c>
      <c r="I72">
        <v>59</v>
      </c>
      <c r="L72">
        <f t="shared" si="8"/>
        <v>-1.3699999999999974</v>
      </c>
      <c r="M72" s="3205">
        <f t="shared" si="9"/>
        <v>0</v>
      </c>
      <c r="N72" s="3206"/>
      <c r="O72" s="3206"/>
      <c r="Q72" s="3211"/>
    </row>
    <row r="73" spans="1:17">
      <c r="A73" s="3208">
        <v>90</v>
      </c>
      <c r="B73" s="3208"/>
      <c r="C73" s="1749">
        <v>88</v>
      </c>
      <c r="D73" s="1749"/>
      <c r="E73">
        <v>88</v>
      </c>
      <c r="H73">
        <v>90.37</v>
      </c>
      <c r="I73">
        <v>88</v>
      </c>
      <c r="L73">
        <f t="shared" si="8"/>
        <v>-2.3700000000000045</v>
      </c>
      <c r="M73" s="3205">
        <f t="shared" si="9"/>
        <v>0</v>
      </c>
      <c r="N73" s="3206"/>
      <c r="O73" s="3206"/>
      <c r="Q73" s="3211"/>
    </row>
    <row r="74" spans="1:17">
      <c r="A74" s="3208">
        <v>120</v>
      </c>
      <c r="B74" s="3208"/>
      <c r="C74" s="1749">
        <v>117</v>
      </c>
      <c r="D74" s="1749"/>
      <c r="E74">
        <v>117</v>
      </c>
      <c r="H74">
        <v>120.37</v>
      </c>
      <c r="I74">
        <v>117</v>
      </c>
      <c r="L74">
        <f t="shared" si="8"/>
        <v>-3.3700000000000045</v>
      </c>
      <c r="M74" s="3205">
        <f t="shared" si="9"/>
        <v>0</v>
      </c>
      <c r="N74" s="3206"/>
      <c r="O74" s="3206"/>
      <c r="Q74" s="3211"/>
    </row>
    <row r="75" spans="1:17">
      <c r="A75" s="3208">
        <v>150</v>
      </c>
      <c r="B75" s="3208"/>
      <c r="C75" s="1749">
        <v>148</v>
      </c>
      <c r="D75" s="1749"/>
      <c r="E75">
        <v>148</v>
      </c>
      <c r="H75">
        <v>150.37</v>
      </c>
      <c r="I75">
        <v>148</v>
      </c>
      <c r="L75">
        <f t="shared" si="8"/>
        <v>-2.3700000000000045</v>
      </c>
      <c r="M75" s="3205">
        <f t="shared" si="9"/>
        <v>0</v>
      </c>
      <c r="N75" s="3206"/>
      <c r="O75" s="3206"/>
      <c r="Q75" s="3211"/>
    </row>
    <row r="76" spans="1:17">
      <c r="A76" s="3208">
        <v>180</v>
      </c>
      <c r="B76" s="3208"/>
      <c r="C76" s="1749">
        <v>178</v>
      </c>
      <c r="D76" s="1749"/>
      <c r="E76">
        <v>178</v>
      </c>
      <c r="H76">
        <f t="shared" ref="H76:H81" si="10">360-R76</f>
        <v>360</v>
      </c>
      <c r="I76">
        <v>178</v>
      </c>
      <c r="L76">
        <f t="shared" si="8"/>
        <v>-182</v>
      </c>
      <c r="M76" s="3205">
        <f t="shared" si="9"/>
        <v>0</v>
      </c>
      <c r="N76" s="3206"/>
      <c r="O76" s="3206"/>
      <c r="Q76" s="3211"/>
    </row>
    <row r="77" spans="1:17">
      <c r="A77" s="3208">
        <v>210</v>
      </c>
      <c r="B77" s="3208"/>
      <c r="C77" s="1749">
        <v>209</v>
      </c>
      <c r="D77" s="1749"/>
      <c r="E77">
        <v>209</v>
      </c>
      <c r="H77">
        <f t="shared" si="10"/>
        <v>360</v>
      </c>
      <c r="I77">
        <v>209</v>
      </c>
      <c r="L77">
        <f t="shared" si="8"/>
        <v>-151</v>
      </c>
      <c r="M77" s="3205">
        <f t="shared" si="9"/>
        <v>0</v>
      </c>
      <c r="N77" s="3206"/>
      <c r="O77" s="3206"/>
      <c r="Q77" s="3211"/>
    </row>
    <row r="78" spans="1:17">
      <c r="A78" s="3208">
        <v>240</v>
      </c>
      <c r="B78" s="3208"/>
      <c r="C78" s="1749">
        <v>238</v>
      </c>
      <c r="D78" s="1749"/>
      <c r="E78">
        <v>238</v>
      </c>
      <c r="H78">
        <f t="shared" si="10"/>
        <v>360</v>
      </c>
      <c r="I78">
        <v>238</v>
      </c>
      <c r="L78">
        <f t="shared" si="8"/>
        <v>-122</v>
      </c>
      <c r="M78" s="3205">
        <f t="shared" si="9"/>
        <v>0</v>
      </c>
      <c r="N78" s="3206"/>
      <c r="O78" s="3206"/>
      <c r="Q78" s="3211"/>
    </row>
    <row r="79" spans="1:17">
      <c r="A79" s="3208">
        <v>270</v>
      </c>
      <c r="B79" s="3208"/>
      <c r="C79" s="1749">
        <v>269</v>
      </c>
      <c r="D79" s="1749"/>
      <c r="E79">
        <v>269</v>
      </c>
      <c r="H79">
        <f t="shared" si="10"/>
        <v>360</v>
      </c>
      <c r="I79">
        <v>269</v>
      </c>
      <c r="L79">
        <f t="shared" si="8"/>
        <v>-91</v>
      </c>
      <c r="M79" s="3205">
        <f t="shared" si="9"/>
        <v>0</v>
      </c>
      <c r="N79" s="3206"/>
      <c r="O79" s="3206"/>
      <c r="Q79" s="3211"/>
    </row>
    <row r="80" spans="1:17">
      <c r="A80" s="3208">
        <v>300</v>
      </c>
      <c r="B80" s="3208"/>
      <c r="C80" s="1749">
        <v>298</v>
      </c>
      <c r="D80" s="1749"/>
      <c r="E80">
        <v>298</v>
      </c>
      <c r="H80">
        <f t="shared" si="10"/>
        <v>360</v>
      </c>
      <c r="I80">
        <v>298</v>
      </c>
      <c r="L80">
        <f t="shared" si="8"/>
        <v>-62</v>
      </c>
      <c r="M80" s="3205">
        <f t="shared" si="9"/>
        <v>0</v>
      </c>
      <c r="N80" s="3206"/>
      <c r="O80" s="3206"/>
      <c r="Q80" s="3211"/>
    </row>
    <row r="81" spans="1:17">
      <c r="A81" s="3208">
        <v>330</v>
      </c>
      <c r="B81" s="3208"/>
      <c r="C81" s="1749">
        <v>329</v>
      </c>
      <c r="D81" s="1749"/>
      <c r="E81">
        <v>329</v>
      </c>
      <c r="H81">
        <f t="shared" si="10"/>
        <v>360</v>
      </c>
      <c r="I81">
        <v>329</v>
      </c>
      <c r="L81">
        <f t="shared" si="8"/>
        <v>-31</v>
      </c>
      <c r="M81" s="3205">
        <f t="shared" si="9"/>
        <v>0</v>
      </c>
      <c r="N81" s="3206"/>
      <c r="O81" s="3206"/>
      <c r="Q81" s="3211"/>
    </row>
    <row r="82" spans="1:17">
      <c r="A82" s="1368" t="s">
        <v>3456</v>
      </c>
      <c r="B82" s="1369" t="s">
        <v>3457</v>
      </c>
      <c r="C82" s="1370"/>
      <c r="D82" s="1370"/>
      <c r="E82" s="1370"/>
      <c r="F82" s="1370"/>
      <c r="G82" s="1370"/>
      <c r="H82" s="1370"/>
      <c r="I82" s="1370"/>
      <c r="J82" s="1371"/>
      <c r="K82" s="1370"/>
      <c r="L82" s="1372"/>
      <c r="M82" s="1370"/>
      <c r="N82" s="1373"/>
      <c r="O82" s="723"/>
      <c r="P82" s="723"/>
      <c r="Q82" s="3211"/>
    </row>
    <row r="85" spans="1:17">
      <c r="A85" s="713" t="s">
        <v>2255</v>
      </c>
      <c r="B85" t="s">
        <v>2256</v>
      </c>
      <c r="C85" s="714"/>
      <c r="D85" s="714"/>
      <c r="E85" s="714"/>
      <c r="F85" s="714"/>
      <c r="G85" s="714"/>
      <c r="H85" s="714"/>
      <c r="I85" s="714"/>
      <c r="J85" s="714"/>
      <c r="K85" s="714"/>
      <c r="L85" s="714"/>
      <c r="M85" s="714"/>
      <c r="N85" s="715"/>
      <c r="O85" s="715"/>
      <c r="P85" s="856"/>
      <c r="Q85" s="723"/>
    </row>
    <row r="86" spans="1:17">
      <c r="A86" s="2381" t="s">
        <v>2257</v>
      </c>
      <c r="B86" s="2382"/>
      <c r="C86" s="2385" t="s">
        <v>1932</v>
      </c>
      <c r="D86" s="2386"/>
      <c r="E86" s="2386"/>
      <c r="F86" s="2386"/>
      <c r="G86" s="2379"/>
      <c r="H86" s="2385" t="s">
        <v>1930</v>
      </c>
      <c r="I86" s="2386"/>
      <c r="J86" s="2386"/>
      <c r="K86" s="2379"/>
      <c r="L86" s="2933" t="s">
        <v>2258</v>
      </c>
      <c r="M86" s="2933"/>
      <c r="N86" s="2933"/>
      <c r="O86" s="2933"/>
      <c r="P86" s="2933"/>
      <c r="Q86" s="3213" t="s">
        <v>2259</v>
      </c>
    </row>
    <row r="87" spans="1:17" ht="18.75">
      <c r="A87" s="2383"/>
      <c r="B87" s="2384"/>
      <c r="C87" t="s">
        <v>2261</v>
      </c>
      <c r="D87" s="2327" t="s">
        <v>4045</v>
      </c>
      <c r="E87" s="1749"/>
      <c r="F87" s="1749"/>
      <c r="G87" s="2481"/>
      <c r="H87" t="s">
        <v>2261</v>
      </c>
      <c r="I87" t="s">
        <v>4046</v>
      </c>
      <c r="J87" s="714"/>
      <c r="K87" s="1124"/>
      <c r="L87" t="s">
        <v>2261</v>
      </c>
      <c r="N87" t="s">
        <v>4047</v>
      </c>
      <c r="Q87" s="3214"/>
    </row>
    <row r="88" spans="1:17">
      <c r="A88" s="3208">
        <v>0</v>
      </c>
      <c r="B88" s="3208"/>
      <c r="C88">
        <v>359</v>
      </c>
      <c r="D88" s="1749">
        <v>359</v>
      </c>
      <c r="E88" s="1749"/>
      <c r="F88" s="1749"/>
      <c r="G88" s="1749"/>
      <c r="H88">
        <v>0.4</v>
      </c>
      <c r="I88">
        <v>359</v>
      </c>
      <c r="L88">
        <f>C88-360-H88</f>
        <v>-1.4</v>
      </c>
      <c r="M88" s="1749">
        <f>D88-360-I88</f>
        <v>-360</v>
      </c>
      <c r="N88" s="1749"/>
      <c r="O88" s="1749"/>
      <c r="Q88" s="3210">
        <f>2*(0.000028^2+0.000167^2+0.0003^2)^0.5</f>
        <v>6.8897895468584516E-4</v>
      </c>
    </row>
    <row r="89" spans="1:17">
      <c r="A89" s="3208">
        <v>30</v>
      </c>
      <c r="B89" s="3208"/>
      <c r="C89">
        <v>27</v>
      </c>
      <c r="D89" s="1749">
        <v>27</v>
      </c>
      <c r="E89" s="1749"/>
      <c r="F89" s="1749"/>
      <c r="G89" s="1749"/>
      <c r="H89">
        <v>30.17</v>
      </c>
      <c r="I89">
        <v>27</v>
      </c>
      <c r="L89">
        <f t="shared" ref="L89:L99" si="11">C89-H89</f>
        <v>-3.1700000000000017</v>
      </c>
      <c r="M89" s="1749">
        <f t="shared" ref="M89:M99" si="12">D89-I89</f>
        <v>0</v>
      </c>
      <c r="N89" s="1749"/>
      <c r="O89" s="1749"/>
      <c r="Q89" s="3211"/>
    </row>
    <row r="90" spans="1:17">
      <c r="A90" s="3208">
        <v>60</v>
      </c>
      <c r="B90" s="3208"/>
      <c r="C90">
        <v>59</v>
      </c>
      <c r="D90" s="1749">
        <v>59</v>
      </c>
      <c r="E90" s="1749"/>
      <c r="F90" s="1749"/>
      <c r="G90" s="1749"/>
      <c r="H90">
        <v>60.37</v>
      </c>
      <c r="I90">
        <v>59</v>
      </c>
      <c r="L90">
        <f t="shared" si="11"/>
        <v>-1.3699999999999974</v>
      </c>
      <c r="M90" s="1749">
        <f t="shared" si="12"/>
        <v>0</v>
      </c>
      <c r="N90" s="1749"/>
      <c r="O90" s="1749"/>
      <c r="Q90" s="3211"/>
    </row>
    <row r="91" spans="1:17">
      <c r="A91" s="3208">
        <v>90</v>
      </c>
      <c r="B91" s="3208"/>
      <c r="C91">
        <v>88</v>
      </c>
      <c r="D91" s="1749">
        <v>88</v>
      </c>
      <c r="E91" s="1749"/>
      <c r="F91" s="1749"/>
      <c r="G91" s="1749"/>
      <c r="H91">
        <v>90.37</v>
      </c>
      <c r="I91">
        <v>88</v>
      </c>
      <c r="L91">
        <f t="shared" si="11"/>
        <v>-2.3700000000000045</v>
      </c>
      <c r="M91" s="1749">
        <f t="shared" si="12"/>
        <v>0</v>
      </c>
      <c r="N91" s="1749"/>
      <c r="O91" s="1749"/>
      <c r="Q91" s="3211"/>
    </row>
    <row r="92" spans="1:17">
      <c r="A92" s="3208">
        <v>120</v>
      </c>
      <c r="B92" s="3208"/>
      <c r="C92">
        <v>117</v>
      </c>
      <c r="D92" s="1749">
        <v>117</v>
      </c>
      <c r="E92" s="1749"/>
      <c r="F92" s="1749"/>
      <c r="G92" s="1749"/>
      <c r="H92">
        <v>120.37</v>
      </c>
      <c r="I92">
        <v>117</v>
      </c>
      <c r="L92">
        <f t="shared" si="11"/>
        <v>-3.3700000000000045</v>
      </c>
      <c r="M92" s="1749">
        <f t="shared" si="12"/>
        <v>0</v>
      </c>
      <c r="N92" s="1749"/>
      <c r="O92" s="1749"/>
      <c r="Q92" s="3211"/>
    </row>
    <row r="93" spans="1:17">
      <c r="A93" s="3208">
        <v>150</v>
      </c>
      <c r="B93" s="3208"/>
      <c r="C93">
        <v>148</v>
      </c>
      <c r="D93" s="1749">
        <v>148</v>
      </c>
      <c r="E93" s="1749"/>
      <c r="F93" s="1749"/>
      <c r="G93" s="1749"/>
      <c r="H93">
        <v>150.37</v>
      </c>
      <c r="I93">
        <v>148</v>
      </c>
      <c r="L93">
        <f t="shared" si="11"/>
        <v>-2.3700000000000045</v>
      </c>
      <c r="M93" s="1749">
        <f t="shared" si="12"/>
        <v>0</v>
      </c>
      <c r="N93" s="1749"/>
      <c r="O93" s="1749"/>
      <c r="Q93" s="3211"/>
    </row>
    <row r="94" spans="1:17">
      <c r="A94" s="3208">
        <v>180</v>
      </c>
      <c r="B94" s="3208"/>
      <c r="C94">
        <v>178</v>
      </c>
      <c r="D94" s="1749">
        <v>178</v>
      </c>
      <c r="E94" s="1749"/>
      <c r="F94" s="1749"/>
      <c r="G94" s="1749"/>
      <c r="H94">
        <f t="shared" ref="H94:H99" si="13">360-R94</f>
        <v>360</v>
      </c>
      <c r="I94">
        <v>178</v>
      </c>
      <c r="L94">
        <f t="shared" si="11"/>
        <v>-182</v>
      </c>
      <c r="M94" s="1749">
        <f t="shared" si="12"/>
        <v>0</v>
      </c>
      <c r="N94" s="1749"/>
      <c r="O94" s="1749"/>
      <c r="Q94" s="3211"/>
    </row>
    <row r="95" spans="1:17">
      <c r="A95" s="3208">
        <v>210</v>
      </c>
      <c r="B95" s="3208"/>
      <c r="C95">
        <v>209</v>
      </c>
      <c r="D95" s="1749">
        <v>209</v>
      </c>
      <c r="E95" s="1749"/>
      <c r="F95" s="1749"/>
      <c r="G95" s="1749"/>
      <c r="H95">
        <f t="shared" si="13"/>
        <v>360</v>
      </c>
      <c r="I95">
        <v>209</v>
      </c>
      <c r="L95">
        <f t="shared" si="11"/>
        <v>-151</v>
      </c>
      <c r="M95" s="1749">
        <f t="shared" si="12"/>
        <v>0</v>
      </c>
      <c r="N95" s="1749"/>
      <c r="O95" s="1749"/>
      <c r="Q95" s="3211"/>
    </row>
    <row r="96" spans="1:17">
      <c r="A96" s="3208">
        <v>240</v>
      </c>
      <c r="B96" s="3208"/>
      <c r="C96">
        <v>238</v>
      </c>
      <c r="D96" s="1749">
        <v>238</v>
      </c>
      <c r="E96" s="1749"/>
      <c r="F96" s="1749"/>
      <c r="G96" s="1749"/>
      <c r="H96">
        <f t="shared" si="13"/>
        <v>360</v>
      </c>
      <c r="I96">
        <v>238</v>
      </c>
      <c r="L96">
        <f t="shared" si="11"/>
        <v>-122</v>
      </c>
      <c r="M96" s="1749">
        <f t="shared" si="12"/>
        <v>0</v>
      </c>
      <c r="N96" s="1749"/>
      <c r="O96" s="1749"/>
      <c r="Q96" s="3211"/>
    </row>
    <row r="97" spans="1:17">
      <c r="A97" s="3208">
        <v>270</v>
      </c>
      <c r="B97" s="3208"/>
      <c r="C97">
        <v>269</v>
      </c>
      <c r="D97" s="1749">
        <v>269</v>
      </c>
      <c r="E97" s="1749"/>
      <c r="F97" s="1749"/>
      <c r="G97" s="1749"/>
      <c r="H97">
        <f t="shared" si="13"/>
        <v>360</v>
      </c>
      <c r="I97">
        <v>269</v>
      </c>
      <c r="L97">
        <f t="shared" si="11"/>
        <v>-91</v>
      </c>
      <c r="M97" s="1749">
        <f t="shared" si="12"/>
        <v>0</v>
      </c>
      <c r="N97" s="1749"/>
      <c r="O97" s="1749"/>
      <c r="Q97" s="3211"/>
    </row>
    <row r="98" spans="1:17">
      <c r="A98" s="3208">
        <v>300</v>
      </c>
      <c r="B98" s="3208"/>
      <c r="C98">
        <v>298</v>
      </c>
      <c r="D98" s="1749">
        <v>298</v>
      </c>
      <c r="E98" s="1749"/>
      <c r="F98" s="1749"/>
      <c r="G98" s="1749"/>
      <c r="H98">
        <f t="shared" si="13"/>
        <v>360</v>
      </c>
      <c r="I98">
        <v>298</v>
      </c>
      <c r="L98">
        <f t="shared" si="11"/>
        <v>-62</v>
      </c>
      <c r="M98" s="1749">
        <f t="shared" si="12"/>
        <v>0</v>
      </c>
      <c r="N98" s="1749"/>
      <c r="O98" s="1749"/>
      <c r="Q98" s="3211"/>
    </row>
    <row r="99" spans="1:17">
      <c r="A99" s="3208">
        <v>330</v>
      </c>
      <c r="B99" s="3208"/>
      <c r="C99">
        <v>329</v>
      </c>
      <c r="D99" s="1749">
        <v>329</v>
      </c>
      <c r="E99" s="1749"/>
      <c r="F99" s="1749"/>
      <c r="G99" s="1749"/>
      <c r="H99">
        <f t="shared" si="13"/>
        <v>360</v>
      </c>
      <c r="I99">
        <v>329</v>
      </c>
      <c r="L99">
        <f t="shared" si="11"/>
        <v>-31</v>
      </c>
      <c r="M99" s="1749">
        <f t="shared" si="12"/>
        <v>0</v>
      </c>
      <c r="N99" s="1749"/>
      <c r="O99" s="1749"/>
      <c r="Q99" s="3211"/>
    </row>
    <row r="100" spans="1:17">
      <c r="A100" s="1368" t="s">
        <v>3456</v>
      </c>
      <c r="B100" s="1369" t="s">
        <v>3457</v>
      </c>
      <c r="C100" s="1370"/>
      <c r="D100" s="1370"/>
      <c r="E100" s="1370"/>
      <c r="F100" s="1370"/>
      <c r="G100" s="1370"/>
      <c r="H100" s="1370"/>
      <c r="I100" s="1370"/>
      <c r="J100" s="1371"/>
      <c r="K100" s="1370"/>
      <c r="L100" s="1372"/>
      <c r="M100" s="1370"/>
      <c r="N100" s="1373"/>
      <c r="O100" s="723"/>
      <c r="P100" s="723"/>
      <c r="Q100" s="3211"/>
    </row>
    <row r="107" spans="1:17">
      <c r="A107" s="713" t="s">
        <v>2255</v>
      </c>
      <c r="B107" t="s">
        <v>2256</v>
      </c>
      <c r="C107" s="714"/>
      <c r="D107" s="714"/>
      <c r="E107" s="714"/>
      <c r="F107" s="714"/>
      <c r="G107" s="714"/>
      <c r="H107" s="714"/>
      <c r="I107" s="714"/>
      <c r="J107" s="714"/>
      <c r="K107" s="714"/>
      <c r="L107" s="714"/>
      <c r="M107" s="714"/>
      <c r="N107" s="715"/>
      <c r="O107" s="715"/>
      <c r="P107" s="856"/>
      <c r="Q107" s="723"/>
    </row>
    <row r="108" spans="1:17">
      <c r="A108" s="2381" t="s">
        <v>2257</v>
      </c>
      <c r="B108" s="2382"/>
      <c r="C108" s="2385" t="s">
        <v>1932</v>
      </c>
      <c r="D108" s="2386"/>
      <c r="E108" s="2386"/>
      <c r="F108" s="714"/>
      <c r="G108" s="2386" t="s">
        <v>1930</v>
      </c>
      <c r="H108" s="2386"/>
      <c r="I108" s="2386"/>
      <c r="J108" s="2386"/>
      <c r="K108" s="2379"/>
      <c r="L108" s="2933" t="s">
        <v>2258</v>
      </c>
      <c r="M108" s="2933"/>
      <c r="N108" s="2933"/>
      <c r="O108" s="2933"/>
      <c r="P108" s="2933"/>
      <c r="Q108" s="3213" t="s">
        <v>2259</v>
      </c>
    </row>
    <row r="109" spans="1:17" ht="18.75">
      <c r="A109" s="2383"/>
      <c r="B109" s="2384"/>
      <c r="C109" t="s">
        <v>2261</v>
      </c>
      <c r="D109" t="s">
        <v>4048</v>
      </c>
      <c r="E109" t="s">
        <v>4045</v>
      </c>
      <c r="F109" s="714"/>
      <c r="G109" t="s">
        <v>2261</v>
      </c>
      <c r="H109" t="s">
        <v>4048</v>
      </c>
      <c r="I109" t="s">
        <v>4046</v>
      </c>
      <c r="J109" s="714"/>
      <c r="K109" s="1124"/>
      <c r="L109" t="s">
        <v>2261</v>
      </c>
      <c r="M109" t="s">
        <v>4049</v>
      </c>
      <c r="N109" t="s">
        <v>4047</v>
      </c>
      <c r="Q109" s="3214"/>
    </row>
    <row r="110" spans="1:17">
      <c r="A110" s="3208">
        <v>0</v>
      </c>
      <c r="B110" s="3208"/>
      <c r="C110">
        <v>359</v>
      </c>
      <c r="D110">
        <v>359</v>
      </c>
      <c r="E110">
        <v>359</v>
      </c>
      <c r="G110">
        <v>0.4</v>
      </c>
      <c r="H110">
        <v>359</v>
      </c>
      <c r="I110">
        <v>359</v>
      </c>
      <c r="L110">
        <f>C110-360-G110</f>
        <v>-1.4</v>
      </c>
      <c r="M110">
        <f>D110-360-H110</f>
        <v>-360</v>
      </c>
      <c r="N110">
        <f>E110-360-I110</f>
        <v>-360</v>
      </c>
      <c r="Q110" s="3210">
        <f>2*(0.000028^2+0.000167^2+0.0003^2)^0.5</f>
        <v>6.8897895468584516E-4</v>
      </c>
    </row>
    <row r="111" spans="1:17">
      <c r="A111" s="3208">
        <v>30</v>
      </c>
      <c r="B111" s="3208"/>
      <c r="C111">
        <v>27</v>
      </c>
      <c r="D111">
        <v>27</v>
      </c>
      <c r="E111">
        <v>27</v>
      </c>
      <c r="G111">
        <v>30.17</v>
      </c>
      <c r="H111">
        <v>27</v>
      </c>
      <c r="I111">
        <v>27</v>
      </c>
      <c r="L111">
        <f t="shared" ref="L111:L121" si="14">C111-G111</f>
        <v>-3.1700000000000017</v>
      </c>
      <c r="M111">
        <f t="shared" ref="M111:M121" si="15">D111-H111</f>
        <v>0</v>
      </c>
      <c r="N111">
        <f t="shared" ref="N111:N121" si="16">E111-I111</f>
        <v>0</v>
      </c>
      <c r="Q111" s="3211"/>
    </row>
    <row r="112" spans="1:17">
      <c r="A112" s="3208">
        <v>60</v>
      </c>
      <c r="B112" s="3208"/>
      <c r="C112">
        <v>59</v>
      </c>
      <c r="D112">
        <v>59</v>
      </c>
      <c r="E112">
        <v>59</v>
      </c>
      <c r="G112">
        <v>60.37</v>
      </c>
      <c r="H112">
        <v>59</v>
      </c>
      <c r="I112">
        <v>59</v>
      </c>
      <c r="L112">
        <f t="shared" si="14"/>
        <v>-1.3699999999999974</v>
      </c>
      <c r="M112">
        <f t="shared" si="15"/>
        <v>0</v>
      </c>
      <c r="N112">
        <f t="shared" si="16"/>
        <v>0</v>
      </c>
      <c r="Q112" s="3211"/>
    </row>
    <row r="113" spans="1:17">
      <c r="A113" s="3208">
        <v>90</v>
      </c>
      <c r="B113" s="3208"/>
      <c r="C113">
        <v>88</v>
      </c>
      <c r="D113">
        <v>88</v>
      </c>
      <c r="E113">
        <v>88</v>
      </c>
      <c r="G113">
        <v>90.37</v>
      </c>
      <c r="H113">
        <v>88</v>
      </c>
      <c r="I113">
        <v>88</v>
      </c>
      <c r="L113">
        <f t="shared" si="14"/>
        <v>-2.3700000000000045</v>
      </c>
      <c r="M113">
        <f t="shared" si="15"/>
        <v>0</v>
      </c>
      <c r="N113">
        <f t="shared" si="16"/>
        <v>0</v>
      </c>
      <c r="Q113" s="3211"/>
    </row>
    <row r="114" spans="1:17">
      <c r="A114" s="3208">
        <v>120</v>
      </c>
      <c r="B114" s="3208"/>
      <c r="C114">
        <v>117</v>
      </c>
      <c r="D114">
        <v>117</v>
      </c>
      <c r="E114">
        <v>117</v>
      </c>
      <c r="G114">
        <v>120.37</v>
      </c>
      <c r="H114">
        <v>117</v>
      </c>
      <c r="I114">
        <v>117</v>
      </c>
      <c r="L114">
        <f t="shared" si="14"/>
        <v>-3.3700000000000045</v>
      </c>
      <c r="M114">
        <f t="shared" si="15"/>
        <v>0</v>
      </c>
      <c r="N114">
        <f t="shared" si="16"/>
        <v>0</v>
      </c>
      <c r="Q114" s="3211"/>
    </row>
    <row r="115" spans="1:17">
      <c r="A115" s="3208">
        <v>150</v>
      </c>
      <c r="B115" s="3208"/>
      <c r="C115">
        <v>148</v>
      </c>
      <c r="D115">
        <v>148</v>
      </c>
      <c r="E115">
        <v>148</v>
      </c>
      <c r="G115">
        <v>150.37</v>
      </c>
      <c r="H115">
        <v>148</v>
      </c>
      <c r="I115">
        <v>148</v>
      </c>
      <c r="L115">
        <f t="shared" si="14"/>
        <v>-2.3700000000000045</v>
      </c>
      <c r="M115">
        <f t="shared" si="15"/>
        <v>0</v>
      </c>
      <c r="N115">
        <f t="shared" si="16"/>
        <v>0</v>
      </c>
      <c r="Q115" s="3211"/>
    </row>
    <row r="116" spans="1:17">
      <c r="A116" s="3208">
        <v>180</v>
      </c>
      <c r="B116" s="3208"/>
      <c r="C116">
        <v>178</v>
      </c>
      <c r="D116">
        <v>178</v>
      </c>
      <c r="E116">
        <v>178</v>
      </c>
      <c r="G116">
        <f t="shared" ref="G116:G121" si="17">360-R116</f>
        <v>360</v>
      </c>
      <c r="H116">
        <v>178</v>
      </c>
      <c r="I116">
        <v>178</v>
      </c>
      <c r="L116">
        <f t="shared" si="14"/>
        <v>-182</v>
      </c>
      <c r="M116">
        <f t="shared" si="15"/>
        <v>0</v>
      </c>
      <c r="N116">
        <f t="shared" si="16"/>
        <v>0</v>
      </c>
      <c r="Q116" s="3211"/>
    </row>
    <row r="117" spans="1:17">
      <c r="A117" s="3208">
        <v>210</v>
      </c>
      <c r="B117" s="3208"/>
      <c r="C117">
        <v>209</v>
      </c>
      <c r="D117">
        <v>209</v>
      </c>
      <c r="E117">
        <v>209</v>
      </c>
      <c r="G117">
        <f t="shared" si="17"/>
        <v>360</v>
      </c>
      <c r="H117">
        <v>209</v>
      </c>
      <c r="I117">
        <v>209</v>
      </c>
      <c r="L117">
        <f t="shared" si="14"/>
        <v>-151</v>
      </c>
      <c r="M117">
        <f t="shared" si="15"/>
        <v>0</v>
      </c>
      <c r="N117">
        <f t="shared" si="16"/>
        <v>0</v>
      </c>
      <c r="Q117" s="3211"/>
    </row>
    <row r="118" spans="1:17">
      <c r="A118" s="3208">
        <v>240</v>
      </c>
      <c r="B118" s="3208"/>
      <c r="C118">
        <v>238</v>
      </c>
      <c r="D118">
        <v>238</v>
      </c>
      <c r="E118">
        <v>238</v>
      </c>
      <c r="G118">
        <f t="shared" si="17"/>
        <v>360</v>
      </c>
      <c r="H118">
        <v>238</v>
      </c>
      <c r="I118">
        <v>238</v>
      </c>
      <c r="L118">
        <f t="shared" si="14"/>
        <v>-122</v>
      </c>
      <c r="M118">
        <f t="shared" si="15"/>
        <v>0</v>
      </c>
      <c r="N118">
        <f t="shared" si="16"/>
        <v>0</v>
      </c>
      <c r="Q118" s="3211"/>
    </row>
    <row r="119" spans="1:17">
      <c r="A119" s="3208">
        <v>270</v>
      </c>
      <c r="B119" s="3208"/>
      <c r="C119">
        <v>269</v>
      </c>
      <c r="D119">
        <v>269</v>
      </c>
      <c r="E119">
        <v>269</v>
      </c>
      <c r="G119">
        <f t="shared" si="17"/>
        <v>360</v>
      </c>
      <c r="H119">
        <v>269</v>
      </c>
      <c r="I119">
        <v>269</v>
      </c>
      <c r="L119">
        <f t="shared" si="14"/>
        <v>-91</v>
      </c>
      <c r="M119">
        <f t="shared" si="15"/>
        <v>0</v>
      </c>
      <c r="N119">
        <f t="shared" si="16"/>
        <v>0</v>
      </c>
      <c r="Q119" s="3211"/>
    </row>
    <row r="120" spans="1:17">
      <c r="A120" s="3208">
        <v>300</v>
      </c>
      <c r="B120" s="3208"/>
      <c r="C120">
        <v>298</v>
      </c>
      <c r="D120">
        <v>298</v>
      </c>
      <c r="E120">
        <v>298</v>
      </c>
      <c r="G120">
        <f t="shared" si="17"/>
        <v>360</v>
      </c>
      <c r="H120">
        <v>298</v>
      </c>
      <c r="I120">
        <v>298</v>
      </c>
      <c r="L120">
        <f t="shared" si="14"/>
        <v>-62</v>
      </c>
      <c r="M120">
        <f t="shared" si="15"/>
        <v>0</v>
      </c>
      <c r="N120">
        <f t="shared" si="16"/>
        <v>0</v>
      </c>
      <c r="Q120" s="3211"/>
    </row>
    <row r="121" spans="1:17">
      <c r="A121" s="3208">
        <v>330</v>
      </c>
      <c r="B121" s="3208"/>
      <c r="C121">
        <v>329</v>
      </c>
      <c r="D121">
        <v>329</v>
      </c>
      <c r="E121">
        <v>329</v>
      </c>
      <c r="G121">
        <f t="shared" si="17"/>
        <v>360</v>
      </c>
      <c r="H121">
        <v>329</v>
      </c>
      <c r="I121">
        <v>329</v>
      </c>
      <c r="L121">
        <f t="shared" si="14"/>
        <v>-31</v>
      </c>
      <c r="M121">
        <f t="shared" si="15"/>
        <v>0</v>
      </c>
      <c r="N121">
        <f t="shared" si="16"/>
        <v>0</v>
      </c>
      <c r="Q121" s="3211"/>
    </row>
    <row r="122" spans="1:17">
      <c r="A122" s="1368" t="s">
        <v>3456</v>
      </c>
      <c r="B122" s="1369" t="s">
        <v>3457</v>
      </c>
      <c r="C122" s="1370"/>
      <c r="D122" s="1370"/>
      <c r="E122" s="1370"/>
      <c r="F122" s="1370"/>
      <c r="G122" s="1370"/>
      <c r="H122" s="1370"/>
      <c r="I122" s="1370"/>
      <c r="J122" s="1371"/>
      <c r="K122" s="1370"/>
      <c r="L122" s="1372"/>
      <c r="M122" s="1370"/>
      <c r="N122" s="1373"/>
      <c r="O122" s="723"/>
      <c r="P122" s="723"/>
      <c r="Q122" s="3211"/>
    </row>
    <row r="126" spans="1:17">
      <c r="A126" s="713" t="s">
        <v>2255</v>
      </c>
      <c r="B126" t="s">
        <v>4050</v>
      </c>
      <c r="C126" s="714"/>
      <c r="D126" s="714"/>
      <c r="E126" s="714"/>
      <c r="F126" s="714"/>
      <c r="G126" s="714"/>
      <c r="H126" s="714"/>
      <c r="I126" s="714"/>
      <c r="J126" s="714"/>
      <c r="K126" s="714"/>
      <c r="L126" s="714"/>
      <c r="M126" s="714"/>
      <c r="N126" s="715"/>
      <c r="O126" s="715"/>
      <c r="P126" s="856"/>
      <c r="Q126" s="723"/>
    </row>
    <row r="127" spans="1:17">
      <c r="A127" s="2381" t="s">
        <v>2257</v>
      </c>
      <c r="B127" s="2382"/>
      <c r="C127" s="2385" t="s">
        <v>1932</v>
      </c>
      <c r="D127" s="2386"/>
      <c r="E127" s="2386"/>
      <c r="F127" s="714"/>
      <c r="G127" s="2386" t="s">
        <v>1930</v>
      </c>
      <c r="H127" s="2386"/>
      <c r="I127" s="2386"/>
      <c r="J127" s="2386"/>
      <c r="K127" s="2379"/>
      <c r="L127" s="2933" t="s">
        <v>2258</v>
      </c>
      <c r="M127" s="2933"/>
      <c r="N127" s="2933"/>
      <c r="O127" s="2933"/>
      <c r="P127" s="2933"/>
      <c r="Q127" s="3213" t="s">
        <v>2259</v>
      </c>
    </row>
    <row r="128" spans="1:17" ht="18.75">
      <c r="A128" s="2383"/>
      <c r="B128" s="2384"/>
      <c r="C128" t="s">
        <v>2261</v>
      </c>
      <c r="D128" t="s">
        <v>4048</v>
      </c>
      <c r="E128" t="s">
        <v>4045</v>
      </c>
      <c r="F128" s="714"/>
      <c r="G128" t="s">
        <v>2261</v>
      </c>
      <c r="H128" t="s">
        <v>4048</v>
      </c>
      <c r="I128" t="s">
        <v>4046</v>
      </c>
      <c r="J128" s="714"/>
      <c r="K128" s="1124"/>
      <c r="L128" t="s">
        <v>2261</v>
      </c>
      <c r="M128" t="s">
        <v>4049</v>
      </c>
      <c r="N128" t="s">
        <v>4047</v>
      </c>
      <c r="Q128" s="3214"/>
    </row>
    <row r="129" spans="1:17">
      <c r="A129" s="3208">
        <v>0</v>
      </c>
      <c r="B129" s="3208"/>
      <c r="C129">
        <v>359</v>
      </c>
      <c r="D129">
        <v>359</v>
      </c>
      <c r="E129">
        <v>359</v>
      </c>
      <c r="G129">
        <v>0.4</v>
      </c>
      <c r="H129">
        <v>359</v>
      </c>
      <c r="I129">
        <v>359</v>
      </c>
      <c r="L129">
        <f>C129-360-G129</f>
        <v>-1.4</v>
      </c>
      <c r="M129">
        <f>D129-360-H129</f>
        <v>-360</v>
      </c>
      <c r="N129">
        <f>E129-360-I129</f>
        <v>-360</v>
      </c>
      <c r="Q129" s="3210">
        <f>2*(0.000028^2+0.000167^2+0.0003^2)^0.5</f>
        <v>6.8897895468584516E-4</v>
      </c>
    </row>
    <row r="130" spans="1:17">
      <c r="A130" s="3208">
        <v>30</v>
      </c>
      <c r="B130" s="3208"/>
      <c r="C130">
        <v>27</v>
      </c>
      <c r="D130">
        <v>27</v>
      </c>
      <c r="E130">
        <v>27</v>
      </c>
      <c r="G130">
        <v>30.17</v>
      </c>
      <c r="H130">
        <v>27</v>
      </c>
      <c r="I130">
        <v>27</v>
      </c>
      <c r="L130">
        <f t="shared" ref="L130:L140" si="18">C130-G130</f>
        <v>-3.1700000000000017</v>
      </c>
      <c r="M130">
        <f t="shared" ref="M130:M140" si="19">D130-H130</f>
        <v>0</v>
      </c>
      <c r="N130">
        <f t="shared" ref="N130:N140" si="20">E130-I130</f>
        <v>0</v>
      </c>
      <c r="Q130" s="3211"/>
    </row>
    <row r="131" spans="1:17">
      <c r="A131" s="3208">
        <v>60</v>
      </c>
      <c r="B131" s="3208"/>
      <c r="C131">
        <v>59</v>
      </c>
      <c r="D131">
        <v>59</v>
      </c>
      <c r="E131">
        <v>59</v>
      </c>
      <c r="G131">
        <v>60.37</v>
      </c>
      <c r="H131">
        <v>59</v>
      </c>
      <c r="I131">
        <v>59</v>
      </c>
      <c r="L131">
        <f t="shared" si="18"/>
        <v>-1.3699999999999974</v>
      </c>
      <c r="M131">
        <f t="shared" si="19"/>
        <v>0</v>
      </c>
      <c r="N131">
        <f t="shared" si="20"/>
        <v>0</v>
      </c>
      <c r="Q131" s="3211"/>
    </row>
    <row r="132" spans="1:17">
      <c r="A132" s="3208">
        <v>90</v>
      </c>
      <c r="B132" s="3208"/>
      <c r="C132">
        <v>88</v>
      </c>
      <c r="D132">
        <v>88</v>
      </c>
      <c r="E132">
        <v>88</v>
      </c>
      <c r="G132">
        <v>90.37</v>
      </c>
      <c r="H132">
        <v>88</v>
      </c>
      <c r="I132">
        <v>88</v>
      </c>
      <c r="L132">
        <f t="shared" si="18"/>
        <v>-2.3700000000000045</v>
      </c>
      <c r="M132">
        <f t="shared" si="19"/>
        <v>0</v>
      </c>
      <c r="N132">
        <f t="shared" si="20"/>
        <v>0</v>
      </c>
      <c r="Q132" s="3211"/>
    </row>
    <row r="133" spans="1:17">
      <c r="A133" s="3208">
        <v>120</v>
      </c>
      <c r="B133" s="3208"/>
      <c r="C133">
        <v>117</v>
      </c>
      <c r="D133">
        <v>117</v>
      </c>
      <c r="E133">
        <v>117</v>
      </c>
      <c r="G133">
        <v>120.37</v>
      </c>
      <c r="H133">
        <v>117</v>
      </c>
      <c r="I133">
        <v>117</v>
      </c>
      <c r="L133">
        <f t="shared" si="18"/>
        <v>-3.3700000000000045</v>
      </c>
      <c r="M133">
        <f t="shared" si="19"/>
        <v>0</v>
      </c>
      <c r="N133">
        <f t="shared" si="20"/>
        <v>0</v>
      </c>
      <c r="Q133" s="3211"/>
    </row>
    <row r="134" spans="1:17">
      <c r="A134" s="3208">
        <v>150</v>
      </c>
      <c r="B134" s="3208"/>
      <c r="C134">
        <v>148</v>
      </c>
      <c r="D134">
        <v>148</v>
      </c>
      <c r="E134">
        <v>148</v>
      </c>
      <c r="G134">
        <v>150.37</v>
      </c>
      <c r="H134">
        <v>148</v>
      </c>
      <c r="I134">
        <v>148</v>
      </c>
      <c r="L134">
        <f t="shared" si="18"/>
        <v>-2.3700000000000045</v>
      </c>
      <c r="M134">
        <f t="shared" si="19"/>
        <v>0</v>
      </c>
      <c r="N134">
        <f t="shared" si="20"/>
        <v>0</v>
      </c>
      <c r="Q134" s="3211"/>
    </row>
    <row r="135" spans="1:17">
      <c r="A135" s="3208">
        <v>180</v>
      </c>
      <c r="B135" s="3208"/>
      <c r="C135">
        <v>178</v>
      </c>
      <c r="D135">
        <v>178</v>
      </c>
      <c r="E135">
        <v>178</v>
      </c>
      <c r="G135">
        <f t="shared" ref="G135:G140" si="21">360-R135</f>
        <v>360</v>
      </c>
      <c r="H135">
        <v>178</v>
      </c>
      <c r="I135">
        <v>178</v>
      </c>
      <c r="L135">
        <f t="shared" si="18"/>
        <v>-182</v>
      </c>
      <c r="M135">
        <f t="shared" si="19"/>
        <v>0</v>
      </c>
      <c r="N135">
        <f t="shared" si="20"/>
        <v>0</v>
      </c>
      <c r="Q135" s="3211"/>
    </row>
    <row r="136" spans="1:17">
      <c r="A136" s="3208">
        <v>210</v>
      </c>
      <c r="B136" s="3208"/>
      <c r="C136">
        <v>209</v>
      </c>
      <c r="D136">
        <v>209</v>
      </c>
      <c r="E136">
        <v>209</v>
      </c>
      <c r="G136">
        <f t="shared" si="21"/>
        <v>360</v>
      </c>
      <c r="H136">
        <v>209</v>
      </c>
      <c r="I136">
        <v>209</v>
      </c>
      <c r="L136">
        <f t="shared" si="18"/>
        <v>-151</v>
      </c>
      <c r="M136">
        <f t="shared" si="19"/>
        <v>0</v>
      </c>
      <c r="N136">
        <f t="shared" si="20"/>
        <v>0</v>
      </c>
      <c r="Q136" s="3211"/>
    </row>
    <row r="137" spans="1:17">
      <c r="A137" s="3208">
        <v>240</v>
      </c>
      <c r="B137" s="3208"/>
      <c r="C137">
        <v>238</v>
      </c>
      <c r="D137">
        <v>238</v>
      </c>
      <c r="E137">
        <v>238</v>
      </c>
      <c r="G137">
        <f t="shared" si="21"/>
        <v>360</v>
      </c>
      <c r="H137">
        <v>238</v>
      </c>
      <c r="I137">
        <v>238</v>
      </c>
      <c r="L137">
        <f t="shared" si="18"/>
        <v>-122</v>
      </c>
      <c r="M137">
        <f t="shared" si="19"/>
        <v>0</v>
      </c>
      <c r="N137">
        <f t="shared" si="20"/>
        <v>0</v>
      </c>
      <c r="Q137" s="3211"/>
    </row>
    <row r="138" spans="1:17">
      <c r="A138" s="3208">
        <v>270</v>
      </c>
      <c r="B138" s="3208"/>
      <c r="C138">
        <v>269</v>
      </c>
      <c r="D138">
        <v>269</v>
      </c>
      <c r="E138">
        <v>269</v>
      </c>
      <c r="G138">
        <f t="shared" si="21"/>
        <v>360</v>
      </c>
      <c r="H138">
        <v>269</v>
      </c>
      <c r="I138">
        <v>269</v>
      </c>
      <c r="L138">
        <f t="shared" si="18"/>
        <v>-91</v>
      </c>
      <c r="M138">
        <f t="shared" si="19"/>
        <v>0</v>
      </c>
      <c r="N138">
        <f t="shared" si="20"/>
        <v>0</v>
      </c>
      <c r="Q138" s="3211"/>
    </row>
    <row r="139" spans="1:17">
      <c r="A139" s="3208">
        <v>300</v>
      </c>
      <c r="B139" s="3208"/>
      <c r="C139">
        <v>298</v>
      </c>
      <c r="D139">
        <v>298</v>
      </c>
      <c r="E139">
        <v>298</v>
      </c>
      <c r="G139">
        <f t="shared" si="21"/>
        <v>360</v>
      </c>
      <c r="H139">
        <v>298</v>
      </c>
      <c r="I139">
        <v>298</v>
      </c>
      <c r="L139">
        <f t="shared" si="18"/>
        <v>-62</v>
      </c>
      <c r="M139">
        <f t="shared" si="19"/>
        <v>0</v>
      </c>
      <c r="N139">
        <f t="shared" si="20"/>
        <v>0</v>
      </c>
      <c r="Q139" s="3211"/>
    </row>
    <row r="140" spans="1:17">
      <c r="A140" s="3208">
        <v>330</v>
      </c>
      <c r="B140" s="3208"/>
      <c r="C140">
        <v>329</v>
      </c>
      <c r="D140">
        <v>329</v>
      </c>
      <c r="E140">
        <v>329</v>
      </c>
      <c r="G140">
        <f t="shared" si="21"/>
        <v>360</v>
      </c>
      <c r="H140">
        <v>329</v>
      </c>
      <c r="I140">
        <v>329</v>
      </c>
      <c r="L140">
        <f t="shared" si="18"/>
        <v>-31</v>
      </c>
      <c r="M140">
        <f t="shared" si="19"/>
        <v>0</v>
      </c>
      <c r="N140">
        <f t="shared" si="20"/>
        <v>0</v>
      </c>
      <c r="Q140" s="3211"/>
    </row>
    <row r="141" spans="1:17">
      <c r="A141" s="1368" t="s">
        <v>3456</v>
      </c>
      <c r="B141" s="1369" t="s">
        <v>3457</v>
      </c>
      <c r="C141" s="1370"/>
      <c r="D141" s="1370"/>
      <c r="E141" s="1370"/>
      <c r="F141" s="1370"/>
      <c r="G141" s="1370"/>
      <c r="H141" s="1370"/>
      <c r="I141" s="1370"/>
      <c r="J141" s="1371"/>
      <c r="K141" s="1370"/>
      <c r="L141" s="1372"/>
      <c r="M141" s="1370"/>
      <c r="N141" s="1373"/>
      <c r="O141" s="723"/>
      <c r="P141" s="723"/>
      <c r="Q141" s="3211"/>
    </row>
  </sheetData>
  <mergeCells count="351">
    <mergeCell ref="Q68:Q69"/>
    <mergeCell ref="A116:B116"/>
    <mergeCell ref="G108:K108"/>
    <mergeCell ref="C69:D69"/>
    <mergeCell ref="C70:D70"/>
    <mergeCell ref="C71:D71"/>
    <mergeCell ref="L108:P108"/>
    <mergeCell ref="Q108:Q109"/>
    <mergeCell ref="A110:B110"/>
    <mergeCell ref="Q110:Q122"/>
    <mergeCell ref="A111:B111"/>
    <mergeCell ref="A112:B112"/>
    <mergeCell ref="A113:B113"/>
    <mergeCell ref="A114:B114"/>
    <mergeCell ref="A115:B115"/>
    <mergeCell ref="A119:B119"/>
    <mergeCell ref="A120:B120"/>
    <mergeCell ref="A121:B121"/>
    <mergeCell ref="C108:E108"/>
    <mergeCell ref="D97:G97"/>
    <mergeCell ref="D98:G98"/>
    <mergeCell ref="D99:G99"/>
    <mergeCell ref="A108:B109"/>
    <mergeCell ref="A99:B99"/>
    <mergeCell ref="A78:B78"/>
    <mergeCell ref="A75:B75"/>
    <mergeCell ref="A76:B76"/>
    <mergeCell ref="A89:B89"/>
    <mergeCell ref="A90:B90"/>
    <mergeCell ref="A91:B91"/>
    <mergeCell ref="A92:B92"/>
    <mergeCell ref="A93:B93"/>
    <mergeCell ref="D93:G93"/>
    <mergeCell ref="A94:B94"/>
    <mergeCell ref="A95:B95"/>
    <mergeCell ref="A96:B96"/>
    <mergeCell ref="A86:B87"/>
    <mergeCell ref="C86:G86"/>
    <mergeCell ref="C81:D81"/>
    <mergeCell ref="D87:G87"/>
    <mergeCell ref="A88:B88"/>
    <mergeCell ref="Q88:Q100"/>
    <mergeCell ref="M89:O89"/>
    <mergeCell ref="L86:P86"/>
    <mergeCell ref="Q86:Q87"/>
    <mergeCell ref="M81:O81"/>
    <mergeCell ref="Q70:Q82"/>
    <mergeCell ref="M76:O76"/>
    <mergeCell ref="M70:O70"/>
    <mergeCell ref="M71:O71"/>
    <mergeCell ref="M72:O72"/>
    <mergeCell ref="M73:O73"/>
    <mergeCell ref="M78:O78"/>
    <mergeCell ref="M79:O79"/>
    <mergeCell ref="M80:O80"/>
    <mergeCell ref="M88:O88"/>
    <mergeCell ref="M74:O74"/>
    <mergeCell ref="M75:O75"/>
    <mergeCell ref="M99:O99"/>
    <mergeCell ref="M94:O94"/>
    <mergeCell ref="M95:O95"/>
    <mergeCell ref="M96:O96"/>
    <mergeCell ref="M97:O97"/>
    <mergeCell ref="M98:O98"/>
    <mergeCell ref="L127:P127"/>
    <mergeCell ref="Q127:Q128"/>
    <mergeCell ref="A129:B129"/>
    <mergeCell ref="Q129:Q141"/>
    <mergeCell ref="A130:B130"/>
    <mergeCell ref="A131:B131"/>
    <mergeCell ref="A132:B132"/>
    <mergeCell ref="A127:B128"/>
    <mergeCell ref="C127:E127"/>
    <mergeCell ref="A139:B139"/>
    <mergeCell ref="A140:B140"/>
    <mergeCell ref="A136:B136"/>
    <mergeCell ref="A137:B137"/>
    <mergeCell ref="A138:B138"/>
    <mergeCell ref="C74:D74"/>
    <mergeCell ref="C75:D75"/>
    <mergeCell ref="C76:D76"/>
    <mergeCell ref="C77:D77"/>
    <mergeCell ref="A74:B74"/>
    <mergeCell ref="A134:B134"/>
    <mergeCell ref="A135:B135"/>
    <mergeCell ref="A133:B133"/>
    <mergeCell ref="A80:B80"/>
    <mergeCell ref="A117:B117"/>
    <mergeCell ref="A118:B118"/>
    <mergeCell ref="D89:G89"/>
    <mergeCell ref="D90:G90"/>
    <mergeCell ref="D91:G91"/>
    <mergeCell ref="D92:G92"/>
    <mergeCell ref="A81:B81"/>
    <mergeCell ref="A79:B79"/>
    <mergeCell ref="D88:G88"/>
    <mergeCell ref="C79:D79"/>
    <mergeCell ref="C80:D80"/>
    <mergeCell ref="A77:B77"/>
    <mergeCell ref="G127:K127"/>
    <mergeCell ref="A97:B97"/>
    <mergeCell ref="A98:B98"/>
    <mergeCell ref="A70:B70"/>
    <mergeCell ref="A71:B71"/>
    <mergeCell ref="A60:B60"/>
    <mergeCell ref="C60:G60"/>
    <mergeCell ref="H60:K60"/>
    <mergeCell ref="L60:P60"/>
    <mergeCell ref="A61:B61"/>
    <mergeCell ref="C61:G61"/>
    <mergeCell ref="A73:B73"/>
    <mergeCell ref="C72:D72"/>
    <mergeCell ref="C73:D73"/>
    <mergeCell ref="A72:B72"/>
    <mergeCell ref="A68:B69"/>
    <mergeCell ref="C68:G68"/>
    <mergeCell ref="H68:K68"/>
    <mergeCell ref="L68:P68"/>
    <mergeCell ref="D94:G94"/>
    <mergeCell ref="D95:G95"/>
    <mergeCell ref="D96:G96"/>
    <mergeCell ref="M90:O90"/>
    <mergeCell ref="M91:O91"/>
    <mergeCell ref="M92:O92"/>
    <mergeCell ref="M93:O93"/>
    <mergeCell ref="M77:O77"/>
    <mergeCell ref="H86:K86"/>
    <mergeCell ref="C78:D78"/>
    <mergeCell ref="A57:B57"/>
    <mergeCell ref="C57:G57"/>
    <mergeCell ref="H57:K57"/>
    <mergeCell ref="L57:P57"/>
    <mergeCell ref="H61:K61"/>
    <mergeCell ref="L61:P61"/>
    <mergeCell ref="A58:B58"/>
    <mergeCell ref="C58:G58"/>
    <mergeCell ref="H58:K58"/>
    <mergeCell ref="L58:P58"/>
    <mergeCell ref="A59:B59"/>
    <mergeCell ref="C59:G59"/>
    <mergeCell ref="H59:K59"/>
    <mergeCell ref="L59:P59"/>
    <mergeCell ref="H54:K54"/>
    <mergeCell ref="L54:P54"/>
    <mergeCell ref="A55:B55"/>
    <mergeCell ref="C55:G55"/>
    <mergeCell ref="H55:K55"/>
    <mergeCell ref="L55:P55"/>
    <mergeCell ref="A56:B56"/>
    <mergeCell ref="C56:G56"/>
    <mergeCell ref="H56:K56"/>
    <mergeCell ref="L56:P56"/>
    <mergeCell ref="L48:P48"/>
    <mergeCell ref="Q48:Q49"/>
    <mergeCell ref="C49:G49"/>
    <mergeCell ref="H49:K49"/>
    <mergeCell ref="L49:P49"/>
    <mergeCell ref="A50:B50"/>
    <mergeCell ref="C50:G50"/>
    <mergeCell ref="H50:K50"/>
    <mergeCell ref="L50:P50"/>
    <mergeCell ref="Q50:Q62"/>
    <mergeCell ref="A51:B51"/>
    <mergeCell ref="C51:G51"/>
    <mergeCell ref="H51:K51"/>
    <mergeCell ref="L51:P51"/>
    <mergeCell ref="A52:B52"/>
    <mergeCell ref="C52:G52"/>
    <mergeCell ref="H52:K52"/>
    <mergeCell ref="L52:P52"/>
    <mergeCell ref="A53:B53"/>
    <mergeCell ref="C53:G53"/>
    <mergeCell ref="H53:K53"/>
    <mergeCell ref="L53:P53"/>
    <mergeCell ref="A54:B54"/>
    <mergeCell ref="C54:G54"/>
    <mergeCell ref="A1:C1"/>
    <mergeCell ref="A3:C3"/>
    <mergeCell ref="A24:E24"/>
    <mergeCell ref="A26:B27"/>
    <mergeCell ref="C26:G26"/>
    <mergeCell ref="H26:K26"/>
    <mergeCell ref="A48:B49"/>
    <mergeCell ref="C48:G48"/>
    <mergeCell ref="H48:K48"/>
    <mergeCell ref="H30:K30"/>
    <mergeCell ref="L26:P26"/>
    <mergeCell ref="Q26:Q27"/>
    <mergeCell ref="C27:G27"/>
    <mergeCell ref="H27:K27"/>
    <mergeCell ref="L27:P27"/>
    <mergeCell ref="A28:B28"/>
    <mergeCell ref="C28:G28"/>
    <mergeCell ref="H28:K28"/>
    <mergeCell ref="L28:P28"/>
    <mergeCell ref="Q28:Q40"/>
    <mergeCell ref="A31:B31"/>
    <mergeCell ref="C31:G31"/>
    <mergeCell ref="H31:K31"/>
    <mergeCell ref="L31:P31"/>
    <mergeCell ref="A32:B32"/>
    <mergeCell ref="C32:G32"/>
    <mergeCell ref="H32:K32"/>
    <mergeCell ref="L32:P32"/>
    <mergeCell ref="A29:B29"/>
    <mergeCell ref="C29:G29"/>
    <mergeCell ref="H29:K29"/>
    <mergeCell ref="L29:P29"/>
    <mergeCell ref="A30:B30"/>
    <mergeCell ref="C30:G30"/>
    <mergeCell ref="L30:P30"/>
    <mergeCell ref="H36:K36"/>
    <mergeCell ref="L36:P36"/>
    <mergeCell ref="A33:B33"/>
    <mergeCell ref="C33:G33"/>
    <mergeCell ref="H33:K33"/>
    <mergeCell ref="L33:P33"/>
    <mergeCell ref="A34:B34"/>
    <mergeCell ref="C34:G34"/>
    <mergeCell ref="H34:K34"/>
    <mergeCell ref="L34:P34"/>
    <mergeCell ref="X27:Y28"/>
    <mergeCell ref="Z27:AC27"/>
    <mergeCell ref="AD27:AG27"/>
    <mergeCell ref="AH27:AK27"/>
    <mergeCell ref="AL27:AL28"/>
    <mergeCell ref="AO27:AP28"/>
    <mergeCell ref="A39:B39"/>
    <mergeCell ref="C39:G39"/>
    <mergeCell ref="H39:K39"/>
    <mergeCell ref="L39:P39"/>
    <mergeCell ref="A37:B37"/>
    <mergeCell ref="C37:G37"/>
    <mergeCell ref="H37:K37"/>
    <mergeCell ref="L37:P37"/>
    <mergeCell ref="A38:B38"/>
    <mergeCell ref="C38:G38"/>
    <mergeCell ref="H38:K38"/>
    <mergeCell ref="L38:P38"/>
    <mergeCell ref="A35:B35"/>
    <mergeCell ref="C35:G35"/>
    <mergeCell ref="H35:K35"/>
    <mergeCell ref="L35:P35"/>
    <mergeCell ref="A36:B36"/>
    <mergeCell ref="C36:G36"/>
    <mergeCell ref="AQ27:AT27"/>
    <mergeCell ref="AU27:AX27"/>
    <mergeCell ref="AY27:BB27"/>
    <mergeCell ref="Z28:AC28"/>
    <mergeCell ref="AD28:AG28"/>
    <mergeCell ref="AH28:AK28"/>
    <mergeCell ref="AQ28:AT28"/>
    <mergeCell ref="AU28:AX28"/>
    <mergeCell ref="AY28:BB28"/>
    <mergeCell ref="AQ29:AT29"/>
    <mergeCell ref="AU29:AX29"/>
    <mergeCell ref="AY29:BB29"/>
    <mergeCell ref="X30:Y30"/>
    <mergeCell ref="Z30:AC30"/>
    <mergeCell ref="AD30:AG30"/>
    <mergeCell ref="AH30:AK30"/>
    <mergeCell ref="AO30:AP30"/>
    <mergeCell ref="AQ30:AT30"/>
    <mergeCell ref="AU30:AX30"/>
    <mergeCell ref="X29:Y29"/>
    <mergeCell ref="Z29:AC29"/>
    <mergeCell ref="AD29:AG29"/>
    <mergeCell ref="AH29:AK29"/>
    <mergeCell ref="AL29:AL41"/>
    <mergeCell ref="AO29:AP29"/>
    <mergeCell ref="X32:Y32"/>
    <mergeCell ref="Z32:AC32"/>
    <mergeCell ref="AD32:AG32"/>
    <mergeCell ref="AH32:AK32"/>
    <mergeCell ref="AY30:BB30"/>
    <mergeCell ref="X31:Y31"/>
    <mergeCell ref="Z31:AC31"/>
    <mergeCell ref="AD31:AG31"/>
    <mergeCell ref="AH31:AK31"/>
    <mergeCell ref="AO31:AP31"/>
    <mergeCell ref="AQ31:AT31"/>
    <mergeCell ref="AU31:AX31"/>
    <mergeCell ref="AY31:BB31"/>
    <mergeCell ref="AO32:AP32"/>
    <mergeCell ref="AQ32:AT32"/>
    <mergeCell ref="AU32:AX32"/>
    <mergeCell ref="AY32:BB32"/>
    <mergeCell ref="X33:Y33"/>
    <mergeCell ref="Z33:AC33"/>
    <mergeCell ref="AD33:AG33"/>
    <mergeCell ref="AH33:AK33"/>
    <mergeCell ref="AO33:AP33"/>
    <mergeCell ref="AQ33:AT33"/>
    <mergeCell ref="AU33:AX33"/>
    <mergeCell ref="AY33:BB33"/>
    <mergeCell ref="X34:Y34"/>
    <mergeCell ref="Z34:AC34"/>
    <mergeCell ref="AD34:AG34"/>
    <mergeCell ref="AH34:AK34"/>
    <mergeCell ref="AO34:AP34"/>
    <mergeCell ref="AQ34:AT34"/>
    <mergeCell ref="AU34:AX34"/>
    <mergeCell ref="AY34:BB34"/>
    <mergeCell ref="AU35:AX35"/>
    <mergeCell ref="AY35:BB35"/>
    <mergeCell ref="X36:Y36"/>
    <mergeCell ref="Z36:AC36"/>
    <mergeCell ref="AD36:AG36"/>
    <mergeCell ref="AH36:AK36"/>
    <mergeCell ref="AO36:AP36"/>
    <mergeCell ref="AQ36:AT36"/>
    <mergeCell ref="AU36:AX36"/>
    <mergeCell ref="AY36:BB36"/>
    <mergeCell ref="X35:Y35"/>
    <mergeCell ref="Z35:AC35"/>
    <mergeCell ref="AD35:AG35"/>
    <mergeCell ref="AH35:AK35"/>
    <mergeCell ref="AO35:AP35"/>
    <mergeCell ref="AQ35:AT35"/>
    <mergeCell ref="AU37:AX37"/>
    <mergeCell ref="AY37:BB37"/>
    <mergeCell ref="X38:Y38"/>
    <mergeCell ref="Z38:AC38"/>
    <mergeCell ref="AD38:AG38"/>
    <mergeCell ref="AH38:AK38"/>
    <mergeCell ref="AO38:AP38"/>
    <mergeCell ref="AQ38:AT38"/>
    <mergeCell ref="AU38:AX38"/>
    <mergeCell ref="AY38:BB38"/>
    <mergeCell ref="X37:Y37"/>
    <mergeCell ref="Z37:AC37"/>
    <mergeCell ref="AD37:AG37"/>
    <mergeCell ref="AH37:AK37"/>
    <mergeCell ref="AO37:AP37"/>
    <mergeCell ref="AQ37:AT37"/>
    <mergeCell ref="AU39:AX39"/>
    <mergeCell ref="AY39:BB39"/>
    <mergeCell ref="X40:Y40"/>
    <mergeCell ref="Z40:AC40"/>
    <mergeCell ref="AD40:AG40"/>
    <mergeCell ref="AH40:AK40"/>
    <mergeCell ref="AO40:AP40"/>
    <mergeCell ref="AQ40:AT40"/>
    <mergeCell ref="AU40:AX40"/>
    <mergeCell ref="AY40:BB40"/>
    <mergeCell ref="X39:Y39"/>
    <mergeCell ref="Z39:AC39"/>
    <mergeCell ref="AD39:AG39"/>
    <mergeCell ref="AH39:AK39"/>
    <mergeCell ref="AO39:AP39"/>
    <mergeCell ref="AQ39:AT39"/>
  </mergeCells>
  <phoneticPr fontId="31" type="noConversion"/>
  <pageMargins left="0.75" right="0.75" top="1" bottom="1" header="0.5" footer="0.5"/>
  <drawing r:id="rId1"/>
  <legacyDrawing r:id="rId2"/>
</worksheet>
</file>

<file path=xl/worksheets/sheet60.xml><?xml version="1.0" encoding="utf-8"?>
<worksheet xmlns="http://schemas.openxmlformats.org/spreadsheetml/2006/main" xmlns:r="http://schemas.openxmlformats.org/officeDocument/2006/relationships">
  <dimension ref="A1:U22"/>
  <sheetViews>
    <sheetView workbookViewId="0">
      <selection activeCell="F20" sqref="F20"/>
    </sheetView>
  </sheetViews>
  <sheetFormatPr defaultRowHeight="14.25"/>
  <sheetData>
    <row r="1" spans="1:21">
      <c r="A1" t="s">
        <v>3889</v>
      </c>
    </row>
    <row r="2" spans="1:21" ht="15.75">
      <c r="A2" s="1605" t="s">
        <v>3858</v>
      </c>
      <c r="B2" s="1605"/>
      <c r="C2" s="1605"/>
      <c r="D2" s="1605"/>
      <c r="E2" s="1605"/>
      <c r="F2" s="1605"/>
      <c r="G2" s="1605"/>
      <c r="H2" s="1605"/>
      <c r="I2" s="1605"/>
      <c r="J2" s="1605"/>
      <c r="K2" s="1605"/>
      <c r="L2" s="1605"/>
      <c r="M2" s="1605"/>
      <c r="N2" s="1605"/>
      <c r="O2" s="1605"/>
      <c r="P2" s="1606"/>
      <c r="Q2" s="1605"/>
      <c r="R2" s="1605"/>
      <c r="S2" s="1605"/>
      <c r="T2" s="1605"/>
      <c r="U2" s="529"/>
    </row>
    <row r="3" spans="1:21">
      <c r="A3" s="2455" t="s">
        <v>3859</v>
      </c>
      <c r="B3" s="2455"/>
      <c r="C3" s="2455"/>
      <c r="D3" s="347" t="s">
        <v>3860</v>
      </c>
      <c r="E3" s="2455" t="s">
        <v>3861</v>
      </c>
      <c r="F3" s="2455"/>
      <c r="G3" s="2455"/>
      <c r="H3" s="2455"/>
      <c r="I3" s="2455" t="s">
        <v>3862</v>
      </c>
      <c r="J3" s="2455"/>
      <c r="K3" s="2455" t="s">
        <v>3863</v>
      </c>
      <c r="L3" s="2455"/>
      <c r="M3" s="1749"/>
      <c r="N3" s="1749"/>
      <c r="O3" s="1749"/>
      <c r="P3" s="1749"/>
      <c r="Q3" s="1749"/>
      <c r="U3" s="529"/>
    </row>
    <row r="4" spans="1:21">
      <c r="A4" s="2451">
        <v>0.99447300000000005</v>
      </c>
      <c r="B4" s="2451"/>
      <c r="C4" s="2451"/>
      <c r="D4" s="349">
        <v>0.99545300000000003</v>
      </c>
      <c r="E4" s="2451">
        <v>0.99447300000000005</v>
      </c>
      <c r="F4" s="2451"/>
      <c r="G4" s="2451"/>
      <c r="H4" s="2451"/>
      <c r="I4" s="2451">
        <v>0.99545300000000003</v>
      </c>
      <c r="J4" s="2451"/>
      <c r="K4" s="2451">
        <v>0.99447300000000005</v>
      </c>
      <c r="L4" s="2451"/>
      <c r="M4" s="1749"/>
      <c r="N4" s="1749"/>
      <c r="O4" s="1749"/>
      <c r="P4" s="1749"/>
      <c r="Q4" s="1749"/>
      <c r="U4" s="529"/>
    </row>
    <row r="5" spans="1:21">
      <c r="A5" s="2451">
        <v>0.99545300000000003</v>
      </c>
      <c r="B5" s="2451"/>
      <c r="C5" s="2451"/>
      <c r="D5" s="349">
        <v>0.99447300000000005</v>
      </c>
      <c r="E5" s="2451">
        <v>0.99545300000000003</v>
      </c>
      <c r="F5" s="2451"/>
      <c r="G5" s="2451"/>
      <c r="H5" s="2451"/>
      <c r="I5" s="2451">
        <v>0.99447300000000005</v>
      </c>
      <c r="J5" s="2451"/>
      <c r="K5" s="2451">
        <v>0.99545300000000003</v>
      </c>
      <c r="L5" s="2451"/>
      <c r="M5" s="1749"/>
      <c r="N5" s="1749"/>
      <c r="O5" s="1749"/>
      <c r="P5" s="1749"/>
      <c r="Q5" s="1749"/>
      <c r="U5" s="529"/>
    </row>
    <row r="6" spans="1:21" ht="18.75">
      <c r="A6" s="2452" t="s">
        <v>3864</v>
      </c>
      <c r="B6" s="2453"/>
      <c r="C6" s="2454"/>
      <c r="D6" s="1814"/>
      <c r="E6" s="1713"/>
      <c r="F6" s="1713"/>
      <c r="G6" s="1713"/>
      <c r="H6" s="1713"/>
      <c r="I6" s="1713"/>
      <c r="J6" s="1713"/>
      <c r="K6" s="1713"/>
      <c r="L6" s="1713"/>
      <c r="M6" s="1714"/>
      <c r="R6" s="1605"/>
      <c r="S6" s="1605"/>
      <c r="T6" s="1605"/>
      <c r="U6" s="529"/>
    </row>
    <row r="7" spans="1:21" ht="18.75">
      <c r="A7" s="2452" t="s">
        <v>3864</v>
      </c>
      <c r="B7" s="2453"/>
      <c r="C7" s="2454"/>
      <c r="D7" s="1814"/>
      <c r="E7" s="1713"/>
      <c r="F7" s="1713"/>
      <c r="G7" s="1713"/>
      <c r="H7" s="1713"/>
      <c r="I7" s="1713"/>
      <c r="J7" s="1713"/>
      <c r="K7" s="1713"/>
      <c r="L7" s="1713"/>
      <c r="M7" s="1714"/>
      <c r="N7" s="1605" t="s">
        <v>3865</v>
      </c>
      <c r="O7" s="1605"/>
      <c r="P7" s="1606"/>
      <c r="Q7" s="1605"/>
      <c r="R7" s="1605"/>
      <c r="S7" s="1605"/>
      <c r="T7" s="1605"/>
      <c r="U7" s="529"/>
    </row>
    <row r="8" spans="1:21" ht="15.75">
      <c r="A8" s="1749" t="s">
        <v>3865</v>
      </c>
      <c r="B8" s="1749"/>
      <c r="C8" s="1749"/>
      <c r="D8" s="1749"/>
      <c r="E8" s="1749"/>
      <c r="F8" s="1749"/>
      <c r="G8" s="1749"/>
      <c r="H8" s="1749"/>
      <c r="I8" s="1749"/>
      <c r="J8" s="1749"/>
      <c r="K8" s="1605"/>
      <c r="L8" s="1605"/>
      <c r="M8" s="1605"/>
      <c r="N8" s="1605"/>
      <c r="O8" s="1605"/>
      <c r="P8" s="1606"/>
      <c r="Q8" s="1605"/>
      <c r="R8" s="1605"/>
      <c r="S8" s="1605"/>
      <c r="T8" s="1605"/>
      <c r="U8" s="529"/>
    </row>
    <row r="9" spans="1:21" ht="15.75">
      <c r="A9" s="1605" t="s">
        <v>3866</v>
      </c>
      <c r="B9" s="1605"/>
      <c r="C9" s="1605"/>
      <c r="D9" s="1605"/>
      <c r="E9" s="1605"/>
      <c r="F9" s="1605"/>
      <c r="G9" s="1605"/>
      <c r="H9" s="1605"/>
      <c r="I9" s="1605"/>
      <c r="J9" s="1605"/>
      <c r="K9" s="1605"/>
      <c r="L9" s="1605"/>
      <c r="M9" s="1605"/>
      <c r="N9" s="1605"/>
      <c r="O9" s="1605"/>
      <c r="P9" s="1606"/>
      <c r="Q9" s="1605"/>
      <c r="R9" s="1605"/>
      <c r="S9" s="1605"/>
      <c r="T9" s="1605"/>
      <c r="U9" s="529"/>
    </row>
    <row r="10" spans="1:21" ht="18.75">
      <c r="A10" s="1607" t="s">
        <v>3867</v>
      </c>
      <c r="B10" s="2450" t="s">
        <v>3868</v>
      </c>
      <c r="C10" s="2450"/>
      <c r="D10" s="2450"/>
      <c r="E10" s="2450"/>
      <c r="F10" s="2450"/>
      <c r="G10" s="2450"/>
      <c r="H10" s="2450"/>
      <c r="I10" s="2450"/>
      <c r="J10" s="2450"/>
      <c r="K10" s="2450" t="s">
        <v>3869</v>
      </c>
      <c r="L10" s="2450"/>
      <c r="M10" s="2450" t="s">
        <v>3870</v>
      </c>
      <c r="N10" s="2450"/>
      <c r="O10" s="2450"/>
      <c r="P10" s="1749" t="s">
        <v>3871</v>
      </c>
      <c r="Q10" s="2450"/>
      <c r="R10" s="1749" t="s">
        <v>3872</v>
      </c>
      <c r="S10" s="2450"/>
      <c r="T10" s="2450"/>
      <c r="U10" s="2450"/>
    </row>
    <row r="11" spans="1:21" ht="18.75">
      <c r="A11" s="1607">
        <v>1</v>
      </c>
      <c r="B11" s="1749" t="s">
        <v>3873</v>
      </c>
      <c r="C11" s="1749"/>
      <c r="D11" s="1749"/>
      <c r="E11" s="1749"/>
      <c r="F11" s="1749"/>
      <c r="G11" s="1749"/>
      <c r="H11" s="1749"/>
      <c r="I11" s="1749"/>
      <c r="J11" s="1749"/>
      <c r="K11" s="1749">
        <v>5.5999999999999999E-5</v>
      </c>
      <c r="L11" s="1749"/>
      <c r="M11" s="2450" t="s">
        <v>3840</v>
      </c>
      <c r="N11" s="2450"/>
      <c r="O11" s="2450"/>
      <c r="P11" s="2450">
        <v>2</v>
      </c>
      <c r="Q11" s="2450"/>
      <c r="R11" s="1749">
        <f>K11/P11</f>
        <v>2.8E-5</v>
      </c>
      <c r="S11" s="1749"/>
      <c r="T11" s="1749"/>
      <c r="U11" s="1749"/>
    </row>
    <row r="12" spans="1:21" ht="18.75">
      <c r="A12" s="1607">
        <v>2</v>
      </c>
      <c r="B12" s="2450" t="s">
        <v>3874</v>
      </c>
      <c r="C12" s="2450"/>
      <c r="D12" s="2450"/>
      <c r="E12" s="2450"/>
      <c r="F12" s="2450"/>
      <c r="G12" s="2450"/>
      <c r="H12" s="2450"/>
      <c r="I12" s="2450"/>
      <c r="J12" s="2450"/>
      <c r="K12" s="1749">
        <v>2.0000000000000001E-4</v>
      </c>
      <c r="L12" s="1749"/>
      <c r="M12" s="2450" t="s">
        <v>3875</v>
      </c>
      <c r="N12" s="2450"/>
      <c r="O12" s="2450"/>
      <c r="P12" s="2450">
        <v>2</v>
      </c>
      <c r="Q12" s="2450"/>
      <c r="R12" s="1749">
        <f>K12/P12</f>
        <v>1E-4</v>
      </c>
      <c r="S12" s="1749"/>
      <c r="T12" s="1749"/>
      <c r="U12" s="1749"/>
    </row>
    <row r="13" spans="1:21" ht="18.75">
      <c r="A13">
        <v>3</v>
      </c>
      <c r="B13" s="2450" t="s">
        <v>3876</v>
      </c>
      <c r="C13" s="2450"/>
      <c r="D13" s="2450"/>
      <c r="E13" s="2450"/>
      <c r="F13" s="2450"/>
      <c r="G13" s="2450"/>
      <c r="H13" s="2450"/>
      <c r="I13" s="2450"/>
      <c r="J13" s="2450"/>
      <c r="K13" s="1749">
        <v>1.4E-5</v>
      </c>
      <c r="L13" s="1749"/>
      <c r="M13" s="1749" t="s">
        <v>3877</v>
      </c>
      <c r="N13" s="2450"/>
      <c r="O13" s="2450"/>
      <c r="P13" s="1749" t="s">
        <v>3878</v>
      </c>
      <c r="Q13" s="1749"/>
      <c r="R13" s="1749">
        <f>K13/SQRT(3)</f>
        <v>8.082903768654761E-6</v>
      </c>
      <c r="S13" s="1749"/>
      <c r="T13" s="1749"/>
      <c r="U13" s="1749"/>
    </row>
    <row r="14" spans="1:21" ht="18.75">
      <c r="A14" t="s">
        <v>3879</v>
      </c>
      <c r="B14" s="1749" t="s">
        <v>3880</v>
      </c>
      <c r="C14" s="1749"/>
      <c r="D14" s="1749"/>
      <c r="E14" s="1749"/>
      <c r="F14" s="1749"/>
      <c r="G14" s="1749"/>
      <c r="H14" s="1749"/>
      <c r="I14" s="1749"/>
      <c r="J14" s="1749"/>
      <c r="K14" s="1749">
        <v>2.0000000000000001E-4</v>
      </c>
      <c r="L14" s="1749"/>
      <c r="M14" s="1749" t="s">
        <v>3881</v>
      </c>
      <c r="N14" s="1749"/>
      <c r="O14" s="1749"/>
      <c r="P14" s="2450">
        <v>3</v>
      </c>
      <c r="Q14" s="2450"/>
      <c r="R14" s="1749">
        <v>6.0000000000000002E-5</v>
      </c>
      <c r="S14" s="1749"/>
      <c r="T14" s="1749"/>
      <c r="U14" s="1749"/>
    </row>
    <row r="15" spans="1:21" ht="18.75">
      <c r="A15" t="s">
        <v>3879</v>
      </c>
      <c r="B15" s="1749" t="s">
        <v>3882</v>
      </c>
      <c r="C15" s="1749"/>
      <c r="D15" s="1749"/>
      <c r="E15" s="1749"/>
      <c r="F15" s="1749"/>
      <c r="G15" s="1749"/>
      <c r="H15" s="1749"/>
      <c r="I15" s="1749"/>
      <c r="J15" s="1749"/>
      <c r="K15" s="1749">
        <v>2.0000000000000001E-4</v>
      </c>
      <c r="L15" s="1749"/>
      <c r="M15" s="1749" t="s">
        <v>3881</v>
      </c>
      <c r="N15" s="1749"/>
      <c r="O15" s="1749"/>
      <c r="P15" s="2450">
        <v>3</v>
      </c>
      <c r="Q15" s="2450"/>
      <c r="R15" s="1749">
        <v>6.0000000000000002E-5</v>
      </c>
      <c r="S15" s="1749"/>
      <c r="T15" s="1749"/>
      <c r="U15" s="1749"/>
    </row>
    <row r="16" spans="1:21" ht="18.75">
      <c r="A16" t="s">
        <v>3879</v>
      </c>
      <c r="B16" s="2450" t="s">
        <v>3865</v>
      </c>
      <c r="C16" s="2450"/>
      <c r="D16" s="2450"/>
      <c r="E16" s="2450"/>
      <c r="F16" s="2450"/>
      <c r="G16" s="2450"/>
      <c r="H16" s="2450"/>
      <c r="I16" s="2450"/>
      <c r="J16" s="2450"/>
      <c r="K16" s="2450"/>
      <c r="L16" s="2450"/>
      <c r="M16" s="2450"/>
      <c r="N16" s="2450"/>
      <c r="O16" s="2450"/>
      <c r="P16" s="2450"/>
      <c r="Q16" s="2450"/>
      <c r="R16" s="2450"/>
      <c r="S16" s="2450"/>
      <c r="T16" s="2450"/>
      <c r="U16" s="2450"/>
    </row>
    <row r="17" spans="1:21" ht="15.75">
      <c r="A17" s="1605" t="s">
        <v>3883</v>
      </c>
      <c r="B17" s="1605"/>
      <c r="C17" s="1605"/>
      <c r="D17" s="1605"/>
      <c r="E17" s="1605"/>
      <c r="F17" s="1605"/>
      <c r="G17" s="1605"/>
      <c r="H17" s="1605"/>
      <c r="I17" s="1605"/>
      <c r="J17" s="1605"/>
      <c r="L17" s="1605"/>
      <c r="M17" s="1605"/>
      <c r="N17" s="1605"/>
      <c r="O17" s="1605"/>
      <c r="P17" s="1606"/>
      <c r="Q17" s="1605"/>
      <c r="R17" s="1605"/>
      <c r="S17" s="1605"/>
      <c r="T17" s="1605"/>
      <c r="U17" s="529"/>
    </row>
    <row r="18" spans="1:21" ht="18.75">
      <c r="A18" s="1605"/>
      <c r="B18" s="1605" t="s">
        <v>3884</v>
      </c>
      <c r="C18" s="1605"/>
      <c r="D18" s="1749"/>
      <c r="E18" s="1749"/>
      <c r="F18" s="1605"/>
      <c r="G18" s="1605"/>
      <c r="H18" s="1605"/>
      <c r="I18" s="1605"/>
      <c r="J18" s="1605"/>
      <c r="L18" s="1605"/>
      <c r="M18" s="1605"/>
      <c r="N18" s="1605"/>
      <c r="O18" s="1605"/>
      <c r="P18" s="1606"/>
      <c r="Q18" s="1605"/>
      <c r="R18" s="1605"/>
      <c r="S18" s="1605"/>
      <c r="T18" s="1605"/>
      <c r="U18" s="529"/>
    </row>
    <row r="19" spans="1:21" ht="15.75">
      <c r="A19" s="1605" t="s">
        <v>3885</v>
      </c>
      <c r="B19" s="1605"/>
      <c r="C19" s="1605"/>
      <c r="D19" s="1605"/>
      <c r="E19" s="1605"/>
      <c r="F19" s="1605"/>
      <c r="G19" s="1605"/>
      <c r="H19" s="1605"/>
      <c r="I19" s="1605"/>
      <c r="J19" s="1605"/>
      <c r="L19" s="1605"/>
      <c r="M19" s="1605"/>
      <c r="N19" s="1605"/>
      <c r="O19" s="1605"/>
      <c r="P19" s="1606"/>
      <c r="Q19" s="1605"/>
      <c r="R19" s="1605"/>
      <c r="S19" s="1605"/>
      <c r="T19" s="1605"/>
      <c r="U19" s="529"/>
    </row>
    <row r="20" spans="1:21" ht="18.75">
      <c r="A20" s="1749" t="s">
        <v>3886</v>
      </c>
      <c r="B20" s="1749"/>
      <c r="C20" s="1749"/>
      <c r="D20" s="1749"/>
      <c r="E20" s="1605"/>
      <c r="F20" s="1605"/>
      <c r="G20" s="1605"/>
      <c r="H20" s="1605"/>
      <c r="I20" s="1605"/>
      <c r="J20" s="1605"/>
      <c r="L20" s="1605"/>
      <c r="M20" s="1605"/>
      <c r="N20" s="1605"/>
      <c r="O20" s="1605"/>
      <c r="P20" s="1606"/>
      <c r="Q20" s="1605"/>
      <c r="R20" s="1605"/>
      <c r="S20" s="1605"/>
      <c r="T20" s="1605"/>
      <c r="U20" s="529"/>
    </row>
    <row r="21" spans="1:21" ht="15.75">
      <c r="A21" s="1605" t="s">
        <v>3887</v>
      </c>
      <c r="B21" s="1605"/>
      <c r="C21" s="1605"/>
      <c r="D21" s="1605"/>
      <c r="E21" s="1605"/>
      <c r="F21" s="1605"/>
      <c r="G21" s="1605"/>
      <c r="H21" s="1605"/>
      <c r="I21" s="1605"/>
      <c r="J21" s="1605"/>
      <c r="L21" s="1605"/>
      <c r="M21" s="1605"/>
      <c r="N21" s="1605"/>
      <c r="P21" s="1606"/>
      <c r="Q21" s="1605"/>
      <c r="R21" s="1605"/>
      <c r="S21" s="1605"/>
      <c r="T21" s="1605"/>
      <c r="U21" s="529"/>
    </row>
    <row r="22" spans="1:21">
      <c r="A22" t="s">
        <v>3888</v>
      </c>
      <c r="F22" s="1749"/>
      <c r="G22" s="1749"/>
      <c r="H22" s="1749"/>
      <c r="I22" s="1749"/>
      <c r="U22" s="529"/>
    </row>
  </sheetData>
  <mergeCells count="56">
    <mergeCell ref="N3:Q3"/>
    <mergeCell ref="A4:C4"/>
    <mergeCell ref="E4:H4"/>
    <mergeCell ref="I4:J4"/>
    <mergeCell ref="K4:M4"/>
    <mergeCell ref="N4:Q4"/>
    <mergeCell ref="A3:C3"/>
    <mergeCell ref="E3:H3"/>
    <mergeCell ref="I3:J3"/>
    <mergeCell ref="K3:M3"/>
    <mergeCell ref="A5:C5"/>
    <mergeCell ref="E5:H5"/>
    <mergeCell ref="I5:J5"/>
    <mergeCell ref="K5:M5"/>
    <mergeCell ref="N5:Q5"/>
    <mergeCell ref="A7:C7"/>
    <mergeCell ref="D7:M7"/>
    <mergeCell ref="A8:E8"/>
    <mergeCell ref="F8:J8"/>
    <mergeCell ref="A6:C6"/>
    <mergeCell ref="D6:M6"/>
    <mergeCell ref="B10:J10"/>
    <mergeCell ref="K10:L10"/>
    <mergeCell ref="M10:O10"/>
    <mergeCell ref="P10:Q10"/>
    <mergeCell ref="R10:U10"/>
    <mergeCell ref="B11:J11"/>
    <mergeCell ref="K11:L11"/>
    <mergeCell ref="M11:O11"/>
    <mergeCell ref="P11:Q11"/>
    <mergeCell ref="R11:U11"/>
    <mergeCell ref="B13:J13"/>
    <mergeCell ref="K13:L13"/>
    <mergeCell ref="M13:O13"/>
    <mergeCell ref="P13:Q13"/>
    <mergeCell ref="R13:U13"/>
    <mergeCell ref="B12:J12"/>
    <mergeCell ref="K12:L12"/>
    <mergeCell ref="M12:O12"/>
    <mergeCell ref="P12:Q12"/>
    <mergeCell ref="R12:U12"/>
    <mergeCell ref="B15:J15"/>
    <mergeCell ref="K15:L15"/>
    <mergeCell ref="M15:O15"/>
    <mergeCell ref="P15:Q15"/>
    <mergeCell ref="R15:U15"/>
    <mergeCell ref="B14:J14"/>
    <mergeCell ref="K14:L14"/>
    <mergeCell ref="M14:O14"/>
    <mergeCell ref="P14:Q14"/>
    <mergeCell ref="R14:U14"/>
    <mergeCell ref="B16:U16"/>
    <mergeCell ref="D18:E18"/>
    <mergeCell ref="A20:B20"/>
    <mergeCell ref="C20:D20"/>
    <mergeCell ref="F22:I22"/>
  </mergeCells>
  <phoneticPr fontId="2" type="noConversion"/>
  <pageMargins left="0.7" right="0.7" top="0.75" bottom="0.75" header="0.3" footer="0.3"/>
  <legacyDrawing r:id="rId1"/>
  <oleObjects>
    <oleObject progId="Equation.3" shapeId="240641" r:id="rId2"/>
    <oleObject progId="Equation.3" shapeId="240642" r:id="rId3"/>
  </oleObjects>
</worksheet>
</file>

<file path=xl/worksheets/sheet61.xml><?xml version="1.0" encoding="utf-8"?>
<worksheet xmlns="http://schemas.openxmlformats.org/spreadsheetml/2006/main" xmlns:r="http://schemas.openxmlformats.org/officeDocument/2006/relationships">
  <dimension ref="A1:AN70"/>
  <sheetViews>
    <sheetView topLeftCell="A25" workbookViewId="0">
      <selection activeCell="N25" sqref="N25"/>
    </sheetView>
  </sheetViews>
  <sheetFormatPr defaultColWidth="22" defaultRowHeight="14.25" outlineLevelRow="1"/>
  <sheetData>
    <row r="1" spans="1:5" ht="14.25" customHeight="1">
      <c r="A1" s="2478" t="s">
        <v>2267</v>
      </c>
      <c r="B1" s="2478"/>
      <c r="C1" s="2478"/>
      <c r="D1" s="2478"/>
      <c r="E1" s="2478"/>
    </row>
    <row r="2" spans="1:5" ht="13.5" customHeight="1"/>
    <row r="3" spans="1:5" outlineLevel="1">
      <c r="A3" s="2434" t="s">
        <v>2268</v>
      </c>
      <c r="B3" s="2298"/>
      <c r="C3" s="2298"/>
      <c r="D3" s="2"/>
    </row>
    <row r="4" spans="1:5" ht="18.75" outlineLevel="1">
      <c r="A4" s="699" t="s">
        <v>1920</v>
      </c>
      <c r="B4" s="6" t="s">
        <v>69</v>
      </c>
      <c r="C4" s="6" t="s">
        <v>70</v>
      </c>
      <c r="D4" s="165" t="s">
        <v>2269</v>
      </c>
    </row>
    <row r="5" spans="1:5" outlineLevel="1">
      <c r="A5" s="698" t="s">
        <v>2270</v>
      </c>
      <c r="B5" s="6" t="s">
        <v>72</v>
      </c>
      <c r="C5" s="6" t="s">
        <v>72</v>
      </c>
      <c r="D5" s="2" t="s">
        <v>2271</v>
      </c>
    </row>
    <row r="6" spans="1:5" outlineLevel="1">
      <c r="A6" s="731" t="s">
        <v>2272</v>
      </c>
      <c r="B6" s="6" t="s">
        <v>72</v>
      </c>
      <c r="C6" s="6" t="s">
        <v>72</v>
      </c>
      <c r="D6" s="2" t="s">
        <v>2271</v>
      </c>
    </row>
    <row r="7" spans="1:5" outlineLevel="1">
      <c r="A7" s="698" t="s">
        <v>2273</v>
      </c>
      <c r="B7" s="6" t="s">
        <v>72</v>
      </c>
      <c r="C7" s="6" t="s">
        <v>2274</v>
      </c>
      <c r="D7" s="2" t="s">
        <v>2271</v>
      </c>
    </row>
    <row r="8" spans="1:5" outlineLevel="1">
      <c r="A8" s="698" t="s">
        <v>2275</v>
      </c>
      <c r="B8" s="6" t="s">
        <v>72</v>
      </c>
      <c r="C8" s="6" t="s">
        <v>2274</v>
      </c>
      <c r="D8" s="2" t="s">
        <v>2271</v>
      </c>
    </row>
    <row r="9" spans="1:5" outlineLevel="1">
      <c r="A9" s="698" t="s">
        <v>2276</v>
      </c>
      <c r="B9" s="6" t="s">
        <v>72</v>
      </c>
      <c r="C9" s="6" t="s">
        <v>2274</v>
      </c>
      <c r="D9" s="166" t="s">
        <v>2271</v>
      </c>
    </row>
    <row r="10" spans="1:5" outlineLevel="1">
      <c r="A10" t="s">
        <v>2277</v>
      </c>
      <c r="B10" s="6" t="s">
        <v>72</v>
      </c>
      <c r="C10" s="37" t="s">
        <v>2274</v>
      </c>
      <c r="D10" s="167" t="s">
        <v>2278</v>
      </c>
      <c r="E10" s="152"/>
    </row>
    <row r="11" spans="1:5" outlineLevel="1">
      <c r="A11" s="698" t="s">
        <v>2279</v>
      </c>
      <c r="B11" s="6" t="s">
        <v>72</v>
      </c>
      <c r="C11" s="6" t="s">
        <v>2274</v>
      </c>
      <c r="D11" s="168" t="s">
        <v>2271</v>
      </c>
    </row>
    <row r="12" spans="1:5" outlineLevel="1">
      <c r="A12" s="698"/>
      <c r="B12" s="6"/>
      <c r="C12" s="6"/>
      <c r="D12" s="2"/>
    </row>
    <row r="13" spans="1:5" outlineLevel="1">
      <c r="A13" s="698"/>
      <c r="B13" s="6"/>
      <c r="C13" s="6"/>
      <c r="D13" s="2"/>
    </row>
    <row r="14" spans="1:5" outlineLevel="1">
      <c r="A14" s="6"/>
      <c r="B14" s="6"/>
      <c r="C14" s="6"/>
      <c r="D14" s="2"/>
    </row>
    <row r="15" spans="1:5" outlineLevel="1">
      <c r="A15" s="6"/>
      <c r="B15" s="6"/>
      <c r="C15" s="6"/>
      <c r="D15" s="2"/>
    </row>
    <row r="16" spans="1:5" outlineLevel="1">
      <c r="A16" s="6"/>
      <c r="B16" s="6"/>
      <c r="C16" s="6"/>
      <c r="D16" s="2"/>
    </row>
    <row r="17" spans="1:40" outlineLevel="1">
      <c r="A17" t="s">
        <v>73</v>
      </c>
    </row>
    <row r="19" spans="1:40">
      <c r="A19" s="2428" t="s">
        <v>2277</v>
      </c>
      <c r="B19" s="2984"/>
      <c r="C19" s="2984"/>
      <c r="D19" s="2984"/>
      <c r="E19" s="2984"/>
      <c r="F19" s="2984"/>
      <c r="Q19" s="703" t="s">
        <v>2280</v>
      </c>
      <c r="AD19" s="703" t="s">
        <v>2281</v>
      </c>
    </row>
    <row r="20" spans="1:40">
      <c r="A20" s="703" t="s">
        <v>2282</v>
      </c>
      <c r="N20" s="702" t="s">
        <v>2283</v>
      </c>
      <c r="Q20" s="713" t="s">
        <v>1945</v>
      </c>
      <c r="R20" s="714" t="s">
        <v>119</v>
      </c>
      <c r="S20" s="714"/>
      <c r="T20" s="714"/>
      <c r="U20" s="714"/>
      <c r="V20" s="714"/>
      <c r="W20" s="714"/>
      <c r="X20" s="714"/>
      <c r="Y20" s="714"/>
      <c r="Z20" s="714"/>
      <c r="AA20" s="2386"/>
      <c r="AB20" s="2379"/>
      <c r="AD20" s="713" t="s">
        <v>1945</v>
      </c>
      <c r="AE20" s="714" t="s">
        <v>119</v>
      </c>
      <c r="AF20" s="714"/>
      <c r="AG20" s="714"/>
      <c r="AH20" s="714"/>
      <c r="AI20" s="714"/>
      <c r="AJ20" s="714"/>
      <c r="AK20" s="714"/>
      <c r="AL20" s="714"/>
      <c r="AM20" s="714"/>
      <c r="AN20" s="718"/>
    </row>
    <row r="21" spans="1:40" ht="14.25" customHeight="1" outlineLevel="1">
      <c r="A21" s="713" t="s">
        <v>1945</v>
      </c>
      <c r="B21" s="1648" t="s">
        <v>4377</v>
      </c>
      <c r="C21" s="714"/>
      <c r="D21" s="714"/>
      <c r="E21" s="714"/>
      <c r="F21" s="714"/>
      <c r="G21" s="714"/>
      <c r="H21" s="714"/>
      <c r="I21" s="714"/>
      <c r="J21" s="714"/>
      <c r="K21" s="2386"/>
      <c r="L21" s="2379"/>
      <c r="N21" s="794" t="s">
        <v>2284</v>
      </c>
      <c r="Q21" s="2381" t="s">
        <v>1947</v>
      </c>
      <c r="R21" s="2382"/>
      <c r="S21" s="2434" t="s">
        <v>1948</v>
      </c>
      <c r="T21" s="2434"/>
      <c r="U21" s="2434"/>
      <c r="V21" s="2434" t="s">
        <v>1949</v>
      </c>
      <c r="W21" s="2434"/>
      <c r="X21" s="2434"/>
      <c r="Y21" s="2434" t="s">
        <v>1950</v>
      </c>
      <c r="Z21" s="2434"/>
      <c r="AA21" s="2434"/>
      <c r="AB21" s="2431" t="s">
        <v>2285</v>
      </c>
      <c r="AD21" s="2381" t="s">
        <v>1947</v>
      </c>
      <c r="AE21" s="2382"/>
      <c r="AF21" s="2434" t="s">
        <v>1948</v>
      </c>
      <c r="AG21" s="2434"/>
      <c r="AH21" s="2434"/>
      <c r="AI21" s="2434" t="s">
        <v>1949</v>
      </c>
      <c r="AJ21" s="2434"/>
      <c r="AK21" s="2434"/>
      <c r="AL21" s="2434" t="s">
        <v>1950</v>
      </c>
      <c r="AM21" s="2434"/>
      <c r="AN21" s="2434"/>
    </row>
    <row r="22" spans="1:40" ht="18.75" outlineLevel="1">
      <c r="A22" s="2381" t="s">
        <v>1947</v>
      </c>
      <c r="B22" s="2382"/>
      <c r="C22" s="2434" t="s">
        <v>1948</v>
      </c>
      <c r="D22" s="2434"/>
      <c r="E22" s="2434"/>
      <c r="F22" s="2434" t="s">
        <v>1949</v>
      </c>
      <c r="G22" s="2434"/>
      <c r="H22" s="2434"/>
      <c r="I22" s="2434" t="s">
        <v>1950</v>
      </c>
      <c r="J22" s="2434"/>
      <c r="K22" s="2434"/>
      <c r="L22" s="2431" t="s">
        <v>2285</v>
      </c>
      <c r="N22" s="721" t="s">
        <v>2286</v>
      </c>
      <c r="Q22" s="2383"/>
      <c r="R22" s="2384"/>
      <c r="S22" s="790" t="s">
        <v>2287</v>
      </c>
      <c r="T22" s="790" t="s">
        <v>2288</v>
      </c>
      <c r="U22" s="790" t="s">
        <v>2289</v>
      </c>
      <c r="V22" s="790" t="s">
        <v>2287</v>
      </c>
      <c r="W22" s="790" t="s">
        <v>2288</v>
      </c>
      <c r="X22" s="790" t="s">
        <v>2289</v>
      </c>
      <c r="Y22" s="790" t="s">
        <v>2287</v>
      </c>
      <c r="Z22" s="790" t="s">
        <v>2288</v>
      </c>
      <c r="AA22" s="790" t="s">
        <v>2289</v>
      </c>
      <c r="AB22" s="2431"/>
      <c r="AD22" s="2383"/>
      <c r="AE22" s="2384"/>
      <c r="AF22" s="790" t="s">
        <v>2287</v>
      </c>
      <c r="AG22" s="790" t="s">
        <v>2288</v>
      </c>
      <c r="AH22" s="790" t="s">
        <v>2289</v>
      </c>
      <c r="AI22" s="790" t="s">
        <v>2287</v>
      </c>
      <c r="AJ22" s="790" t="s">
        <v>2288</v>
      </c>
      <c r="AK22" s="790" t="s">
        <v>2289</v>
      </c>
      <c r="AL22" s="790" t="s">
        <v>2287</v>
      </c>
      <c r="AM22" s="790" t="s">
        <v>2288</v>
      </c>
      <c r="AN22" s="790" t="s">
        <v>2289</v>
      </c>
    </row>
    <row r="23" spans="1:40" ht="18.75" outlineLevel="1">
      <c r="A23" s="2383"/>
      <c r="B23" s="2384"/>
      <c r="C23" s="790" t="s">
        <v>2287</v>
      </c>
      <c r="D23" s="790" t="s">
        <v>2288</v>
      </c>
      <c r="E23" s="790" t="s">
        <v>2289</v>
      </c>
      <c r="F23" s="790" t="s">
        <v>2287</v>
      </c>
      <c r="G23" s="790" t="s">
        <v>2288</v>
      </c>
      <c r="H23" s="790" t="s">
        <v>2289</v>
      </c>
      <c r="I23" s="790" t="s">
        <v>2287</v>
      </c>
      <c r="J23" s="790" t="s">
        <v>2288</v>
      </c>
      <c r="K23" s="790" t="s">
        <v>2289</v>
      </c>
      <c r="L23" s="2431"/>
      <c r="Q23" s="3222">
        <v>57.7</v>
      </c>
      <c r="R23" s="3223"/>
      <c r="S23" s="862">
        <v>57.7</v>
      </c>
      <c r="T23" s="862">
        <v>57.7</v>
      </c>
      <c r="U23" s="862">
        <v>57.7</v>
      </c>
      <c r="V23" s="863">
        <v>57.703299999999999</v>
      </c>
      <c r="W23" s="863">
        <v>57.695500000000003</v>
      </c>
      <c r="X23" s="863">
        <v>57.697699999999998</v>
      </c>
      <c r="Y23" s="733">
        <f>(S23-V23)/Q23*100</f>
        <v>-5.7192374350014934E-3</v>
      </c>
      <c r="Z23" s="733">
        <f>(T23-W23)/Q23*100</f>
        <v>7.7989601386484744E-3</v>
      </c>
      <c r="AA23" s="733">
        <f>(U23-X23)/Q23*100</f>
        <v>3.9861351819849185E-3</v>
      </c>
      <c r="AB23" s="3228">
        <f>2*(0.00002^2+0.00005^2+0.0000029^2)^0.5</f>
        <v>1.0785935286288344E-4</v>
      </c>
      <c r="AD23" s="3222">
        <v>57.7</v>
      </c>
      <c r="AE23" s="3223"/>
      <c r="AF23" s="862">
        <v>57.7</v>
      </c>
      <c r="AG23" s="862">
        <v>57.7</v>
      </c>
      <c r="AH23" s="862">
        <v>57.7</v>
      </c>
      <c r="AI23" s="863">
        <v>57.703299999999999</v>
      </c>
      <c r="AJ23" s="863">
        <v>57.695500000000003</v>
      </c>
      <c r="AK23" s="863">
        <v>57.697699999999998</v>
      </c>
      <c r="AL23" s="733">
        <f>(AF23-AI23)/AD23*100</f>
        <v>-5.7192374350014934E-3</v>
      </c>
      <c r="AM23" s="733">
        <f>(AG23-AJ23)/AD23*100</f>
        <v>7.7989601386484744E-3</v>
      </c>
      <c r="AN23" s="733">
        <f>(AH23-AK23)/AD23*100</f>
        <v>3.9861351819849185E-3</v>
      </c>
    </row>
    <row r="24" spans="1:40" ht="18.75" outlineLevel="1">
      <c r="A24" s="3222">
        <v>57.7</v>
      </c>
      <c r="B24" s="3223"/>
      <c r="C24" s="862">
        <v>57.7</v>
      </c>
      <c r="D24" s="862">
        <v>57.7</v>
      </c>
      <c r="E24" s="862">
        <v>57.7</v>
      </c>
      <c r="F24" s="863">
        <v>57.703299999999999</v>
      </c>
      <c r="G24" s="863">
        <v>57.695500000000003</v>
      </c>
      <c r="H24" s="863">
        <v>57.697699999999998</v>
      </c>
      <c r="I24" s="733">
        <f>(C24-F24)/A24*100</f>
        <v>-5.7192374350014934E-3</v>
      </c>
      <c r="J24" s="733">
        <f>(D24-G24)/A24*100</f>
        <v>7.7989601386484744E-3</v>
      </c>
      <c r="K24" s="733">
        <f>(E24-H24)/A24*100</f>
        <v>3.9861351819849185E-3</v>
      </c>
      <c r="L24" s="3228">
        <f>2*(0.00002^2+0.00005^2+0.0000029^2)^0.5</f>
        <v>1.0785935286288344E-4</v>
      </c>
      <c r="N24" s="1367" t="s">
        <v>3455</v>
      </c>
      <c r="Q24" s="3224"/>
      <c r="R24" s="3225"/>
      <c r="S24" s="862">
        <v>51.97</v>
      </c>
      <c r="T24" s="862">
        <v>51.93</v>
      </c>
      <c r="U24" s="862">
        <v>51.93</v>
      </c>
      <c r="V24" s="863">
        <v>51.9758</v>
      </c>
      <c r="W24" s="863">
        <v>51.929699999999997</v>
      </c>
      <c r="X24" s="863">
        <v>51.923699999999997</v>
      </c>
      <c r="Y24" s="733">
        <f>(S24-V24)/Q23*100</f>
        <v>-1.0051993067592189E-2</v>
      </c>
      <c r="Z24" s="733">
        <f>(T24-W24)/Q23*100</f>
        <v>5.1993067591482405E-4</v>
      </c>
      <c r="AA24" s="733">
        <f>(U24-X24)/Q23*100</f>
        <v>1.0918544194112792E-2</v>
      </c>
      <c r="AB24" s="3229"/>
      <c r="AD24" s="3224"/>
      <c r="AE24" s="3225"/>
      <c r="AF24" s="862">
        <v>51.97</v>
      </c>
      <c r="AG24" s="862">
        <v>51.93</v>
      </c>
      <c r="AH24" s="862">
        <v>51.93</v>
      </c>
      <c r="AI24" s="863">
        <v>51.9758</v>
      </c>
      <c r="AJ24" s="863">
        <v>51.929699999999997</v>
      </c>
      <c r="AK24" s="863">
        <v>51.923699999999997</v>
      </c>
      <c r="AL24" s="733">
        <f>(AF24-AI24)/AD23*100</f>
        <v>-1.0051993067592189E-2</v>
      </c>
      <c r="AM24" s="733">
        <f>(AG24-AJ24)/AD23*100</f>
        <v>5.1993067591482405E-4</v>
      </c>
      <c r="AN24" s="733">
        <f>(AH24-AK24)/AD23*100</f>
        <v>1.0918544194112792E-2</v>
      </c>
    </row>
    <row r="25" spans="1:40" ht="18.75" outlineLevel="1">
      <c r="A25" s="3224"/>
      <c r="B25" s="3225"/>
      <c r="C25" s="862">
        <v>51.97</v>
      </c>
      <c r="D25" s="862">
        <v>51.93</v>
      </c>
      <c r="E25" s="862">
        <v>51.93</v>
      </c>
      <c r="F25" s="863">
        <v>51.9758</v>
      </c>
      <c r="G25" s="863">
        <v>51.929699999999997</v>
      </c>
      <c r="H25" s="863">
        <v>51.923699999999997</v>
      </c>
      <c r="I25" s="733">
        <f>(C25-F25)/A24*100</f>
        <v>-1.0051993067592189E-2</v>
      </c>
      <c r="J25" s="733">
        <f>(D25-G25)/A24*100</f>
        <v>5.1993067591482405E-4</v>
      </c>
      <c r="K25" s="733">
        <f>(E25-H25)/A24*100</f>
        <v>1.0918544194112792E-2</v>
      </c>
      <c r="L25" s="3229"/>
      <c r="N25" t="s">
        <v>4382</v>
      </c>
      <c r="Q25" s="3224"/>
      <c r="R25" s="3225"/>
      <c r="S25" s="862">
        <v>46.16</v>
      </c>
      <c r="T25" s="862">
        <v>46.16</v>
      </c>
      <c r="U25" s="862">
        <v>46.16</v>
      </c>
      <c r="V25" s="863">
        <v>46.166899999999998</v>
      </c>
      <c r="W25" s="863">
        <v>46.162399999999998</v>
      </c>
      <c r="X25" s="863">
        <v>46.164099999999998</v>
      </c>
      <c r="Y25" s="733">
        <f>(S25-V25)/Q23*100</f>
        <v>-1.1958405545930126E-2</v>
      </c>
      <c r="Z25" s="733">
        <f>(T25-W25)/Q23*100</f>
        <v>-4.1594454072816497E-3</v>
      </c>
      <c r="AA25" s="733">
        <f>(U25-X25)/Q23*100</f>
        <v>-7.1057192374369199E-3</v>
      </c>
      <c r="AB25" s="3229"/>
      <c r="AD25" s="3224"/>
      <c r="AE25" s="3225"/>
      <c r="AF25" s="862">
        <v>46.16</v>
      </c>
      <c r="AG25" s="862">
        <v>46.16</v>
      </c>
      <c r="AH25" s="862">
        <v>46.16</v>
      </c>
      <c r="AI25" s="863">
        <v>46.166899999999998</v>
      </c>
      <c r="AJ25" s="863">
        <v>46.162399999999998</v>
      </c>
      <c r="AK25" s="863">
        <v>46.164099999999998</v>
      </c>
      <c r="AL25" s="733">
        <f>(AF25-AI25)/AD23*100</f>
        <v>-1.1958405545930126E-2</v>
      </c>
      <c r="AM25" s="733">
        <f>(AG25-AJ25)/AD23*100</f>
        <v>-4.1594454072816497E-3</v>
      </c>
      <c r="AN25" s="733">
        <f>(AH25-AK25)/AD23*100</f>
        <v>-7.1057192374369199E-3</v>
      </c>
    </row>
    <row r="26" spans="1:40" outlineLevel="1">
      <c r="A26" s="3224"/>
      <c r="B26" s="3225"/>
      <c r="C26" s="862">
        <v>46.16</v>
      </c>
      <c r="D26" s="862">
        <v>46.16</v>
      </c>
      <c r="E26" s="862">
        <v>46.16</v>
      </c>
      <c r="F26" s="863">
        <v>46.166899999999998</v>
      </c>
      <c r="G26" s="863">
        <v>46.162399999999998</v>
      </c>
      <c r="H26" s="863">
        <v>46.164099999999998</v>
      </c>
      <c r="I26" s="733">
        <f>(C26-F26)/A24*100</f>
        <v>-1.1958405545930126E-2</v>
      </c>
      <c r="J26" s="733">
        <f>(D26-G26)/A24*100</f>
        <v>-4.1594454072816497E-3</v>
      </c>
      <c r="K26" s="733">
        <f>(E26-H26)/A24*100</f>
        <v>-7.1057192374369199E-3</v>
      </c>
      <c r="L26" s="3229"/>
      <c r="N26" s="702" t="s">
        <v>2290</v>
      </c>
      <c r="Q26" s="3224"/>
      <c r="R26" s="3225"/>
      <c r="S26" s="862">
        <v>40.39</v>
      </c>
      <c r="T26" s="862">
        <v>40.39</v>
      </c>
      <c r="U26" s="862">
        <v>40.39</v>
      </c>
      <c r="V26" s="863">
        <v>40.3979</v>
      </c>
      <c r="W26" s="863">
        <v>40.394300000000001</v>
      </c>
      <c r="X26" s="863">
        <v>40.3934</v>
      </c>
      <c r="Y26" s="733">
        <f>(S26-V26)/Q23*100</f>
        <v>-1.3691507798959014E-2</v>
      </c>
      <c r="Z26" s="733">
        <f>(T26-W26)/Q23*100</f>
        <v>-7.452339688042698E-3</v>
      </c>
      <c r="AA26" s="733">
        <f>(U26-X26)/Q23*100</f>
        <v>-5.8925476603105395E-3</v>
      </c>
      <c r="AB26" s="3229"/>
      <c r="AD26" s="3224"/>
      <c r="AE26" s="3225"/>
      <c r="AF26" s="862">
        <v>40.39</v>
      </c>
      <c r="AG26" s="862">
        <v>40.39</v>
      </c>
      <c r="AH26" s="862">
        <v>40.39</v>
      </c>
      <c r="AI26" s="863">
        <v>40.3979</v>
      </c>
      <c r="AJ26" s="863">
        <v>40.394300000000001</v>
      </c>
      <c r="AK26" s="863">
        <v>40.3934</v>
      </c>
      <c r="AL26" s="733">
        <f>(AF26-AI26)/AD23*100</f>
        <v>-1.3691507798959014E-2</v>
      </c>
      <c r="AM26" s="733">
        <f>(AG26-AJ26)/AD23*100</f>
        <v>-7.452339688042698E-3</v>
      </c>
      <c r="AN26" s="733">
        <f>(AH26-AK26)/AD23*100</f>
        <v>-5.8925476603105395E-3</v>
      </c>
    </row>
    <row r="27" spans="1:40" outlineLevel="1">
      <c r="A27" s="3224"/>
      <c r="B27" s="3225"/>
      <c r="C27" s="862">
        <v>40.39</v>
      </c>
      <c r="D27" s="862">
        <v>40.39</v>
      </c>
      <c r="E27" s="862">
        <v>40.39</v>
      </c>
      <c r="F27" s="863">
        <v>40.3979</v>
      </c>
      <c r="G27" s="863">
        <v>40.394300000000001</v>
      </c>
      <c r="H27" s="863">
        <v>40.3934</v>
      </c>
      <c r="I27" s="733">
        <f>(C27-F27)/A24*100</f>
        <v>-1.3691507798959014E-2</v>
      </c>
      <c r="J27" s="733">
        <f>(D27-G27)/A24*100</f>
        <v>-7.452339688042698E-3</v>
      </c>
      <c r="K27" s="733">
        <f>(E27-H27)/A24*100</f>
        <v>-5.8925476603105395E-3</v>
      </c>
      <c r="L27" s="3229"/>
      <c r="Q27" s="3224"/>
      <c r="R27" s="3225"/>
      <c r="S27" s="862">
        <v>34.619999999999997</v>
      </c>
      <c r="T27" s="862">
        <v>34.619999999999997</v>
      </c>
      <c r="U27" s="862">
        <v>34.619999999999997</v>
      </c>
      <c r="V27" s="863">
        <v>34.626800000000003</v>
      </c>
      <c r="W27" s="863">
        <v>34.623899999999999</v>
      </c>
      <c r="X27" s="863">
        <v>34.623899999999999</v>
      </c>
      <c r="Y27" s="733">
        <f>(S27-V27)/Q23*100</f>
        <v>-1.1785095320633394E-2</v>
      </c>
      <c r="Z27" s="733">
        <f>(T27-W27)/Q23*100</f>
        <v>-6.7590987868311409E-3</v>
      </c>
      <c r="AA27" s="733">
        <f>(U27-X27)/Q23*100</f>
        <v>-6.7590987868311409E-3</v>
      </c>
      <c r="AB27" s="3229"/>
      <c r="AD27" s="3224"/>
      <c r="AE27" s="3225"/>
      <c r="AF27" s="862">
        <v>34.619999999999997</v>
      </c>
      <c r="AG27" s="862">
        <v>34.619999999999997</v>
      </c>
      <c r="AH27" s="862">
        <v>34.619999999999997</v>
      </c>
      <c r="AI27" s="863">
        <v>34.626800000000003</v>
      </c>
      <c r="AJ27" s="863">
        <v>34.623899999999999</v>
      </c>
      <c r="AK27" s="863">
        <v>34.623899999999999</v>
      </c>
      <c r="AL27" s="733">
        <f>(AF27-AI27)/AD23*100</f>
        <v>-1.1785095320633394E-2</v>
      </c>
      <c r="AM27" s="733">
        <f>(AG27-AJ27)/AD23*100</f>
        <v>-6.7590987868311409E-3</v>
      </c>
      <c r="AN27" s="733">
        <f>(AH27-AK27)/AD23*100</f>
        <v>-6.7590987868311409E-3</v>
      </c>
    </row>
    <row r="28" spans="1:40" outlineLevel="1">
      <c r="A28" s="3224"/>
      <c r="B28" s="3225"/>
      <c r="C28" s="862">
        <v>34.619999999999997</v>
      </c>
      <c r="D28" s="862">
        <v>34.619999999999997</v>
      </c>
      <c r="E28" s="862">
        <v>34.619999999999997</v>
      </c>
      <c r="F28" s="863">
        <v>34.626800000000003</v>
      </c>
      <c r="G28" s="863">
        <v>34.623899999999999</v>
      </c>
      <c r="H28" s="863">
        <v>34.623899999999999</v>
      </c>
      <c r="I28" s="733">
        <f>(C28-F28)/A24*100</f>
        <v>-1.1785095320633394E-2</v>
      </c>
      <c r="J28" s="733">
        <f>(D28-G28)/A24*100</f>
        <v>-6.7590987868311409E-3</v>
      </c>
      <c r="K28" s="733">
        <f>(E28-H28)/A24*100</f>
        <v>-6.7590987868311409E-3</v>
      </c>
      <c r="L28" s="3229"/>
      <c r="Q28" s="3224"/>
      <c r="R28" s="3225"/>
      <c r="S28" s="862">
        <v>28.85</v>
      </c>
      <c r="T28" s="862">
        <v>28.85</v>
      </c>
      <c r="U28" s="862">
        <v>28.85</v>
      </c>
      <c r="V28" s="863">
        <v>28.854700000000001</v>
      </c>
      <c r="W28" s="863">
        <v>28.855799999999999</v>
      </c>
      <c r="X28" s="863">
        <v>28.852399999999999</v>
      </c>
      <c r="Y28" s="733">
        <f>(S28-V28)/Q23*100</f>
        <v>-8.1455805892542525E-3</v>
      </c>
      <c r="Z28" s="733">
        <f>(T28-W28)/Q23*100</f>
        <v>-1.0051993067586031E-2</v>
      </c>
      <c r="AA28" s="733">
        <f>(U28-X28)/Q23*100</f>
        <v>-4.1594454072754923E-3</v>
      </c>
      <c r="AB28" s="3229"/>
      <c r="AD28" s="3224"/>
      <c r="AE28" s="3225"/>
      <c r="AF28" s="862">
        <v>28.85</v>
      </c>
      <c r="AG28" s="862">
        <v>28.85</v>
      </c>
      <c r="AH28" s="862">
        <v>28.85</v>
      </c>
      <c r="AI28" s="863">
        <v>28.854700000000001</v>
      </c>
      <c r="AJ28" s="863">
        <v>28.855799999999999</v>
      </c>
      <c r="AK28" s="863">
        <v>28.852399999999999</v>
      </c>
      <c r="AL28" s="733">
        <f>(AF28-AI28)/AD23*100</f>
        <v>-8.1455805892542525E-3</v>
      </c>
      <c r="AM28" s="733">
        <f>(AG28-AJ28)/AD23*100</f>
        <v>-1.0051993067586031E-2</v>
      </c>
      <c r="AN28" s="733">
        <f>(AH28-AK28)/AD23*100</f>
        <v>-4.1594454072754923E-3</v>
      </c>
    </row>
    <row r="29" spans="1:40" outlineLevel="1">
      <c r="A29" s="3224"/>
      <c r="B29" s="3225"/>
      <c r="C29" s="862">
        <v>28.85</v>
      </c>
      <c r="D29" s="862">
        <v>28.85</v>
      </c>
      <c r="E29" s="862">
        <v>28.85</v>
      </c>
      <c r="F29" s="863">
        <v>28.854700000000001</v>
      </c>
      <c r="G29" s="863">
        <v>28.855799999999999</v>
      </c>
      <c r="H29" s="863">
        <v>28.852399999999999</v>
      </c>
      <c r="I29" s="733">
        <f>(C29-F29)/A24*100</f>
        <v>-8.1455805892542525E-3</v>
      </c>
      <c r="J29" s="733">
        <f>(D29-G29)/A24*100</f>
        <v>-1.0051993067586031E-2</v>
      </c>
      <c r="K29" s="733">
        <f>(E29-H29)/A24*100</f>
        <v>-4.1594454072754923E-3</v>
      </c>
      <c r="L29" s="3229"/>
      <c r="Q29" s="3224"/>
      <c r="R29" s="3225"/>
      <c r="S29" s="862">
        <v>23.08</v>
      </c>
      <c r="T29" s="862">
        <v>23.08</v>
      </c>
      <c r="U29" s="862">
        <v>23.08</v>
      </c>
      <c r="V29" s="863">
        <v>23.073699999999999</v>
      </c>
      <c r="W29" s="863">
        <v>23.091799999999999</v>
      </c>
      <c r="X29" s="863">
        <v>23.081800000000001</v>
      </c>
      <c r="Y29" s="733">
        <f>(S29-V29)/Q23*100</f>
        <v>1.0918544194106634E-2</v>
      </c>
      <c r="Z29" s="733">
        <f>(T29-W29)/Q23*100</f>
        <v>-2.0450606585790156E-2</v>
      </c>
      <c r="AA29" s="733">
        <f>(U29-X29)/Q23*100</f>
        <v>-3.1195840554643158E-3</v>
      </c>
      <c r="AB29" s="3229"/>
      <c r="AD29" s="3224"/>
      <c r="AE29" s="3225"/>
      <c r="AF29" s="862">
        <v>23.08</v>
      </c>
      <c r="AG29" s="862">
        <v>23.08</v>
      </c>
      <c r="AH29" s="862">
        <v>23.08</v>
      </c>
      <c r="AI29" s="863">
        <v>23.073699999999999</v>
      </c>
      <c r="AJ29" s="863">
        <v>23.091799999999999</v>
      </c>
      <c r="AK29" s="863">
        <v>23.081800000000001</v>
      </c>
      <c r="AL29" s="733">
        <f>(AF29-AI29)/AD23*100</f>
        <v>1.0918544194106634E-2</v>
      </c>
      <c r="AM29" s="733">
        <f>(AG29-AJ29)/AD23*100</f>
        <v>-2.0450606585790156E-2</v>
      </c>
      <c r="AN29" s="733">
        <f>(AH29-AK29)/AD23*100</f>
        <v>-3.1195840554643158E-3</v>
      </c>
    </row>
    <row r="30" spans="1:40" outlineLevel="1">
      <c r="A30" s="3224"/>
      <c r="B30" s="3225"/>
      <c r="C30" s="862">
        <v>23.08</v>
      </c>
      <c r="D30" s="862">
        <v>23.08</v>
      </c>
      <c r="E30" s="862">
        <v>23.08</v>
      </c>
      <c r="F30" s="863">
        <v>23.073699999999999</v>
      </c>
      <c r="G30" s="863">
        <v>23.091799999999999</v>
      </c>
      <c r="H30" s="863">
        <v>23.081800000000001</v>
      </c>
      <c r="I30" s="733">
        <f>(C30-F30)/A24*100</f>
        <v>1.0918544194106634E-2</v>
      </c>
      <c r="J30" s="733">
        <f>(D30-G30)/A24*100</f>
        <v>-2.0450606585790156E-2</v>
      </c>
      <c r="K30" s="733">
        <f>(E30-H30)/A24*100</f>
        <v>-3.1195840554643158E-3</v>
      </c>
      <c r="L30" s="3229"/>
      <c r="Q30" s="3224"/>
      <c r="R30" s="3225"/>
      <c r="S30" s="862">
        <v>17.309999999999999</v>
      </c>
      <c r="T30" s="862">
        <v>17.309999999999999</v>
      </c>
      <c r="U30" s="862">
        <v>17.309999999999999</v>
      </c>
      <c r="V30" s="863">
        <v>17.311800000000002</v>
      </c>
      <c r="W30" s="863">
        <v>17.309699999999999</v>
      </c>
      <c r="X30" s="863">
        <v>17.311900000000001</v>
      </c>
      <c r="Y30" s="733">
        <f>(S30-V30)/Q23*100</f>
        <v>-3.1195840554643158E-3</v>
      </c>
      <c r="Z30" s="733">
        <f>(T30-W30)/Q23*100</f>
        <v>5.1993067590866697E-4</v>
      </c>
      <c r="AA30" s="733">
        <f>(U30-X30)/Q23*100</f>
        <v>-3.2928942807672048E-3</v>
      </c>
      <c r="AB30" s="3229"/>
      <c r="AD30" s="3224"/>
      <c r="AE30" s="3225"/>
      <c r="AF30" s="862">
        <v>17.309999999999999</v>
      </c>
      <c r="AG30" s="862">
        <v>17.309999999999999</v>
      </c>
      <c r="AH30" s="862">
        <v>17.309999999999999</v>
      </c>
      <c r="AI30" s="863">
        <v>17.311800000000002</v>
      </c>
      <c r="AJ30" s="863">
        <v>17.309699999999999</v>
      </c>
      <c r="AK30" s="863">
        <v>17.311900000000001</v>
      </c>
      <c r="AL30" s="733">
        <f>(AF30-AI30)/AD23*100</f>
        <v>-3.1195840554643158E-3</v>
      </c>
      <c r="AM30" s="733">
        <f>(AG30-AJ30)/AD23*100</f>
        <v>5.1993067590866697E-4</v>
      </c>
      <c r="AN30" s="733">
        <f>(AH30-AK30)/AD23*100</f>
        <v>-3.2928942807672048E-3</v>
      </c>
    </row>
    <row r="31" spans="1:40" outlineLevel="1">
      <c r="A31" s="3224"/>
      <c r="B31" s="3225"/>
      <c r="C31" s="862">
        <v>17.309999999999999</v>
      </c>
      <c r="D31" s="862">
        <v>17.309999999999999</v>
      </c>
      <c r="E31" s="862">
        <v>17.309999999999999</v>
      </c>
      <c r="F31" s="863">
        <v>17.311800000000002</v>
      </c>
      <c r="G31" s="863">
        <v>17.309699999999999</v>
      </c>
      <c r="H31" s="863">
        <v>17.311900000000001</v>
      </c>
      <c r="I31" s="733">
        <f>(C31-F31)/A24*100</f>
        <v>-3.1195840554643158E-3</v>
      </c>
      <c r="J31" s="733">
        <f>(D31-G31)/A24*100</f>
        <v>5.1993067590866697E-4</v>
      </c>
      <c r="K31" s="733">
        <f>(E31-H31)/A24*100</f>
        <v>-3.2928942807672048E-3</v>
      </c>
      <c r="L31" s="3229"/>
      <c r="Q31" s="3224"/>
      <c r="R31" s="3225"/>
      <c r="S31" s="862">
        <v>11.54</v>
      </c>
      <c r="T31" s="862">
        <v>11.54</v>
      </c>
      <c r="U31" s="862">
        <v>11.54</v>
      </c>
      <c r="V31" s="863">
        <v>11.534800000000001</v>
      </c>
      <c r="W31" s="863">
        <v>11.5383</v>
      </c>
      <c r="X31" s="863">
        <v>11.537100000000001</v>
      </c>
      <c r="Y31" s="733">
        <f>(S31-V31)/Q23*100</f>
        <v>9.0121317157686974E-3</v>
      </c>
      <c r="Z31" s="733">
        <f>(T31-W31)/Q23*100</f>
        <v>2.9462738301552697E-3</v>
      </c>
      <c r="AA31" s="733">
        <f>(U31-X31)/Q23*100</f>
        <v>5.0259965337930155E-3</v>
      </c>
      <c r="AB31" s="3229"/>
      <c r="AD31" s="3224"/>
      <c r="AE31" s="3225"/>
      <c r="AF31" s="862">
        <v>11.54</v>
      </c>
      <c r="AG31" s="862">
        <v>11.54</v>
      </c>
      <c r="AH31" s="862">
        <v>11.54</v>
      </c>
      <c r="AI31" s="863">
        <v>11.534800000000001</v>
      </c>
      <c r="AJ31" s="863">
        <v>11.5383</v>
      </c>
      <c r="AK31" s="863">
        <v>11.537100000000001</v>
      </c>
      <c r="AL31" s="733">
        <f>(AF31-AI31)/AD23*100</f>
        <v>9.0121317157686974E-3</v>
      </c>
      <c r="AM31" s="733">
        <f>(AG31-AJ31)/AD23*100</f>
        <v>2.9462738301552697E-3</v>
      </c>
      <c r="AN31" s="733">
        <f>(AH31-AK31)/AD23*100</f>
        <v>5.0259965337930155E-3</v>
      </c>
    </row>
    <row r="32" spans="1:40" outlineLevel="1">
      <c r="A32" s="3224"/>
      <c r="B32" s="3225"/>
      <c r="C32" s="862">
        <v>11.54</v>
      </c>
      <c r="D32" s="862">
        <v>11.54</v>
      </c>
      <c r="E32" s="862">
        <v>11.54</v>
      </c>
      <c r="F32" s="863">
        <v>11.534800000000001</v>
      </c>
      <c r="G32" s="863">
        <v>11.5383</v>
      </c>
      <c r="H32" s="863">
        <v>11.537100000000001</v>
      </c>
      <c r="I32" s="733">
        <f>(C32-F32)/A24*100</f>
        <v>9.0121317157686974E-3</v>
      </c>
      <c r="J32" s="733">
        <f>(D32-G32)/A24*100</f>
        <v>2.9462738301552697E-3</v>
      </c>
      <c r="K32" s="733">
        <f>(E32-H32)/A24*100</f>
        <v>5.0259965337930155E-3</v>
      </c>
      <c r="L32" s="3229"/>
      <c r="Q32" s="3226"/>
      <c r="R32" s="3227"/>
      <c r="S32" s="862">
        <v>5.77</v>
      </c>
      <c r="T32" s="862">
        <v>5.77</v>
      </c>
      <c r="U32" s="862">
        <v>5.77</v>
      </c>
      <c r="V32" s="863">
        <v>5.7472000000000003</v>
      </c>
      <c r="W32" s="863">
        <v>5.7530999999999999</v>
      </c>
      <c r="X32" s="863">
        <v>5.7583000000000002</v>
      </c>
      <c r="Y32" s="733">
        <f>(S32-V32)/Q23*100</f>
        <v>3.95147313691495E-2</v>
      </c>
      <c r="Z32" s="733">
        <f>(T32-W32)/Q23*100</f>
        <v>2.9289428076255966E-2</v>
      </c>
      <c r="AA32" s="733">
        <f>(U32-X32)/Q23*100</f>
        <v>2.0277296360484188E-2</v>
      </c>
      <c r="AB32" s="3230"/>
      <c r="AD32" s="3226"/>
      <c r="AE32" s="3227"/>
      <c r="AF32" s="862">
        <v>5.77</v>
      </c>
      <c r="AG32" s="862">
        <v>5.77</v>
      </c>
      <c r="AH32" s="862">
        <v>5.77</v>
      </c>
      <c r="AI32" s="863">
        <v>5.7472000000000003</v>
      </c>
      <c r="AJ32" s="863">
        <v>5.7530999999999999</v>
      </c>
      <c r="AK32" s="863">
        <v>5.7583000000000002</v>
      </c>
      <c r="AL32" s="733">
        <f>(AF32-AI32)/AD23*100</f>
        <v>3.95147313691495E-2</v>
      </c>
      <c r="AM32" s="733">
        <f>(AG32-AJ32)/AD23*100</f>
        <v>2.9289428076255966E-2</v>
      </c>
      <c r="AN32" s="733">
        <f>(AH32-AK32)/AD23*100</f>
        <v>2.0277296360484188E-2</v>
      </c>
    </row>
    <row r="33" spans="1:40" outlineLevel="1">
      <c r="A33" s="3226"/>
      <c r="B33" s="3227"/>
      <c r="C33" s="862">
        <v>5.77</v>
      </c>
      <c r="D33" s="862">
        <v>5.77</v>
      </c>
      <c r="E33" s="862">
        <v>5.77</v>
      </c>
      <c r="F33" s="863">
        <v>5.7472000000000003</v>
      </c>
      <c r="G33" s="863">
        <v>5.7530999999999999</v>
      </c>
      <c r="H33" s="863">
        <v>5.7583000000000002</v>
      </c>
      <c r="I33" s="733">
        <f>(C33-F33)/A24*100</f>
        <v>3.95147313691495E-2</v>
      </c>
      <c r="J33" s="733">
        <f>(D33-G33)/A24*100</f>
        <v>2.9289428076255966E-2</v>
      </c>
      <c r="K33" s="733">
        <f>(E33-H33)/A24*100</f>
        <v>2.0277296360484188E-2</v>
      </c>
      <c r="L33" s="3230"/>
      <c r="Q33" s="2358">
        <v>220</v>
      </c>
      <c r="R33" s="2364"/>
      <c r="S33" s="864">
        <v>220</v>
      </c>
      <c r="T33" s="864">
        <v>220</v>
      </c>
      <c r="U33" s="864">
        <v>220</v>
      </c>
      <c r="V33" s="864">
        <v>220.05099999999999</v>
      </c>
      <c r="W33" s="864">
        <v>220.02</v>
      </c>
      <c r="X33" s="864">
        <v>220.01400000000001</v>
      </c>
      <c r="Y33" s="865">
        <f>(S33-V33)/Q33*100</f>
        <v>-2.3181818181812603E-2</v>
      </c>
      <c r="Z33" s="865">
        <f t="shared" ref="Z33:AA37" si="0">(T33-W33)/$A$34*100</f>
        <v>-9.0909090909137413E-3</v>
      </c>
      <c r="AA33" s="865">
        <f t="shared" si="0"/>
        <v>-6.3636363636409106E-3</v>
      </c>
      <c r="AB33" s="3217">
        <f>2*(0.00002^2+0.00005^2+0.000029^2)^0.5</f>
        <v>1.2232742946698423E-4</v>
      </c>
      <c r="AD33" s="2358">
        <v>220</v>
      </c>
      <c r="AE33" s="2364"/>
      <c r="AF33" s="864">
        <v>220</v>
      </c>
      <c r="AG33" s="864">
        <v>220</v>
      </c>
      <c r="AH33" s="864">
        <v>220</v>
      </c>
      <c r="AI33" s="864">
        <v>220.05099999999999</v>
      </c>
      <c r="AJ33" s="864">
        <v>220.02</v>
      </c>
      <c r="AK33" s="864">
        <v>220.01400000000001</v>
      </c>
      <c r="AL33" s="865">
        <f>(AF33-AI33)/AD33*100</f>
        <v>-2.3181818181812603E-2</v>
      </c>
      <c r="AM33" s="865">
        <f t="shared" ref="AM33:AN37" si="1">(AG33-AJ33)/$A$34*100</f>
        <v>-9.0909090909137413E-3</v>
      </c>
      <c r="AN33" s="865">
        <f t="shared" si="1"/>
        <v>-6.3636363636409106E-3</v>
      </c>
    </row>
    <row r="34" spans="1:40" outlineLevel="1">
      <c r="A34" s="2358">
        <v>220</v>
      </c>
      <c r="B34" s="2364"/>
      <c r="C34" s="864">
        <v>220</v>
      </c>
      <c r="D34" s="864">
        <v>220</v>
      </c>
      <c r="E34" s="864">
        <v>220</v>
      </c>
      <c r="F34" s="864">
        <v>220.05099999999999</v>
      </c>
      <c r="G34" s="864">
        <v>220.02</v>
      </c>
      <c r="H34" s="864">
        <v>220.01400000000001</v>
      </c>
      <c r="I34" s="865">
        <f>(C34-F34)/A34*100</f>
        <v>-2.3181818181812603E-2</v>
      </c>
      <c r="J34" s="865">
        <f t="shared" ref="J34:K38" si="2">(D34-G34)/$A$34*100</f>
        <v>-9.0909090909137413E-3</v>
      </c>
      <c r="K34" s="865">
        <f t="shared" si="2"/>
        <v>-6.3636363636409106E-3</v>
      </c>
      <c r="L34" s="3217">
        <f>2*(0.00002^2+0.00005^2+0.000029^2)^0.5</f>
        <v>1.2232742946698423E-4</v>
      </c>
      <c r="Q34" s="2365"/>
      <c r="R34" s="2366"/>
      <c r="S34" s="864">
        <v>176</v>
      </c>
      <c r="T34" s="864">
        <v>176</v>
      </c>
      <c r="U34" s="864">
        <v>176</v>
      </c>
      <c r="V34" s="864">
        <v>176.07499999999999</v>
      </c>
      <c r="W34" s="864">
        <v>176.00700000000001</v>
      </c>
      <c r="X34" s="864">
        <v>176.03800000000001</v>
      </c>
      <c r="Y34" s="865">
        <f>(S34-V34)/Q33*100</f>
        <v>-3.4090909090903919E-2</v>
      </c>
      <c r="Z34" s="865">
        <f t="shared" si="0"/>
        <v>-3.1818181818204553E-3</v>
      </c>
      <c r="AA34" s="865">
        <f t="shared" si="0"/>
        <v>-1.7272727272732234E-2</v>
      </c>
      <c r="AB34" s="3218"/>
      <c r="AD34" s="2365"/>
      <c r="AE34" s="2366"/>
      <c r="AF34" s="864">
        <v>176</v>
      </c>
      <c r="AG34" s="864">
        <v>176</v>
      </c>
      <c r="AH34" s="864">
        <v>176</v>
      </c>
      <c r="AI34" s="864">
        <v>176.07499999999999</v>
      </c>
      <c r="AJ34" s="864">
        <v>176.00700000000001</v>
      </c>
      <c r="AK34" s="864">
        <v>176.03800000000001</v>
      </c>
      <c r="AL34" s="865">
        <f>(AF34-AI34)/AD33*100</f>
        <v>-3.4090909090903919E-2</v>
      </c>
      <c r="AM34" s="865">
        <f t="shared" si="1"/>
        <v>-3.1818181818204553E-3</v>
      </c>
      <c r="AN34" s="865">
        <f t="shared" si="1"/>
        <v>-1.7272727272732234E-2</v>
      </c>
    </row>
    <row r="35" spans="1:40" outlineLevel="1">
      <c r="A35" s="2365"/>
      <c r="B35" s="2366"/>
      <c r="C35" s="864">
        <v>176</v>
      </c>
      <c r="D35" s="864">
        <v>176</v>
      </c>
      <c r="E35" s="864">
        <v>176</v>
      </c>
      <c r="F35" s="864">
        <v>176.07499999999999</v>
      </c>
      <c r="G35" s="864">
        <v>176.00700000000001</v>
      </c>
      <c r="H35" s="864">
        <v>176.03800000000001</v>
      </c>
      <c r="I35" s="865">
        <f>(C35-F35)/A34*100</f>
        <v>-3.4090909090903919E-2</v>
      </c>
      <c r="J35" s="865">
        <f t="shared" si="2"/>
        <v>-3.1818181818204553E-3</v>
      </c>
      <c r="K35" s="865">
        <f t="shared" si="2"/>
        <v>-1.7272727272732234E-2</v>
      </c>
      <c r="L35" s="3218"/>
      <c r="Q35" s="2365"/>
      <c r="R35" s="2366"/>
      <c r="S35" s="864">
        <v>132</v>
      </c>
      <c r="T35" s="864">
        <v>132</v>
      </c>
      <c r="U35" s="864">
        <v>132</v>
      </c>
      <c r="V35" s="864">
        <v>131.99700000000001</v>
      </c>
      <c r="W35" s="864">
        <v>132.03399999999999</v>
      </c>
      <c r="X35" s="864">
        <v>132.04499999999999</v>
      </c>
      <c r="Y35" s="865">
        <f>(S35-V35)/Q33*100</f>
        <v>1.3636363636299559E-3</v>
      </c>
      <c r="Z35" s="865">
        <f t="shared" si="0"/>
        <v>-1.5454545454541732E-2</v>
      </c>
      <c r="AA35" s="865">
        <f t="shared" si="0"/>
        <v>-2.0454545454539771E-2</v>
      </c>
      <c r="AB35" s="3218"/>
      <c r="AD35" s="2365"/>
      <c r="AE35" s="2366"/>
      <c r="AF35" s="864">
        <v>132</v>
      </c>
      <c r="AG35" s="864">
        <v>132</v>
      </c>
      <c r="AH35" s="864">
        <v>132</v>
      </c>
      <c r="AI35" s="864">
        <v>131.99700000000001</v>
      </c>
      <c r="AJ35" s="864">
        <v>132.03399999999999</v>
      </c>
      <c r="AK35" s="864">
        <v>132.04499999999999</v>
      </c>
      <c r="AL35" s="865">
        <f>(AF35-AI35)/AD33*100</f>
        <v>1.3636363636299559E-3</v>
      </c>
      <c r="AM35" s="865">
        <f t="shared" si="1"/>
        <v>-1.5454545454541732E-2</v>
      </c>
      <c r="AN35" s="865">
        <f t="shared" si="1"/>
        <v>-2.0454545454539771E-2</v>
      </c>
    </row>
    <row r="36" spans="1:40" outlineLevel="1">
      <c r="A36" s="2365"/>
      <c r="B36" s="2366"/>
      <c r="C36" s="864">
        <v>132</v>
      </c>
      <c r="D36" s="864">
        <v>132</v>
      </c>
      <c r="E36" s="864">
        <v>132</v>
      </c>
      <c r="F36" s="864">
        <v>131.99700000000001</v>
      </c>
      <c r="G36" s="864">
        <v>132.03399999999999</v>
      </c>
      <c r="H36" s="864">
        <v>132.04499999999999</v>
      </c>
      <c r="I36" s="865">
        <f>(C36-F36)/A34*100</f>
        <v>1.3636363636299559E-3</v>
      </c>
      <c r="J36" s="865">
        <f t="shared" si="2"/>
        <v>-1.5454545454541732E-2</v>
      </c>
      <c r="K36" s="865">
        <f t="shared" si="2"/>
        <v>-2.0454545454539771E-2</v>
      </c>
      <c r="L36" s="3218"/>
      <c r="Q36" s="2365"/>
      <c r="R36" s="2366"/>
      <c r="S36" s="864">
        <v>88</v>
      </c>
      <c r="T36" s="864">
        <v>88</v>
      </c>
      <c r="U36" s="864">
        <v>88</v>
      </c>
      <c r="V36" s="864">
        <v>88.036000000000001</v>
      </c>
      <c r="W36" s="864">
        <v>88.021000000000001</v>
      </c>
      <c r="X36" s="864">
        <v>88.03</v>
      </c>
      <c r="Y36" s="865">
        <f>(S36-V36)/Q33*100</f>
        <v>-1.6363636363636982E-2</v>
      </c>
      <c r="Z36" s="865">
        <f t="shared" si="0"/>
        <v>-9.545454545454907E-3</v>
      </c>
      <c r="AA36" s="865">
        <f t="shared" si="0"/>
        <v>-1.3636363636364153E-2</v>
      </c>
      <c r="AB36" s="3218"/>
      <c r="AD36" s="2365"/>
      <c r="AE36" s="2366"/>
      <c r="AF36" s="864">
        <v>88</v>
      </c>
      <c r="AG36" s="864">
        <v>88</v>
      </c>
      <c r="AH36" s="864">
        <v>88</v>
      </c>
      <c r="AI36" s="864">
        <v>88.036000000000001</v>
      </c>
      <c r="AJ36" s="864">
        <v>88.021000000000001</v>
      </c>
      <c r="AK36" s="864">
        <v>88.03</v>
      </c>
      <c r="AL36" s="865">
        <f>(AF36-AI36)/AD33*100</f>
        <v>-1.6363636363636982E-2</v>
      </c>
      <c r="AM36" s="865">
        <f t="shared" si="1"/>
        <v>-9.545454545454907E-3</v>
      </c>
      <c r="AN36" s="865">
        <f t="shared" si="1"/>
        <v>-1.3636363636364153E-2</v>
      </c>
    </row>
    <row r="37" spans="1:40" outlineLevel="1">
      <c r="A37" s="2365"/>
      <c r="B37" s="2366"/>
      <c r="C37" s="864">
        <v>88</v>
      </c>
      <c r="D37" s="864">
        <v>88</v>
      </c>
      <c r="E37" s="864">
        <v>88</v>
      </c>
      <c r="F37" s="864">
        <v>88.036000000000001</v>
      </c>
      <c r="G37" s="864">
        <v>88.021000000000001</v>
      </c>
      <c r="H37" s="864">
        <v>88.03</v>
      </c>
      <c r="I37" s="865">
        <f>(C37-F37)/A34*100</f>
        <v>-1.6363636363636982E-2</v>
      </c>
      <c r="J37" s="865">
        <f t="shared" si="2"/>
        <v>-9.545454545454907E-3</v>
      </c>
      <c r="K37" s="865">
        <f t="shared" si="2"/>
        <v>-1.3636363636364153E-2</v>
      </c>
      <c r="L37" s="3218"/>
      <c r="Q37" s="2367"/>
      <c r="R37" s="2368"/>
      <c r="S37" s="864">
        <v>44</v>
      </c>
      <c r="T37" s="864">
        <v>44</v>
      </c>
      <c r="U37" s="864">
        <v>44</v>
      </c>
      <c r="V37" s="864">
        <v>44.003399999999999</v>
      </c>
      <c r="W37" s="864">
        <v>43.993000000000002</v>
      </c>
      <c r="X37" s="864">
        <v>44.003</v>
      </c>
      <c r="Y37" s="865">
        <f>(S37-V37)/Q33*100</f>
        <v>-1.5454545454541735E-3</v>
      </c>
      <c r="Z37" s="865">
        <f t="shared" si="0"/>
        <v>3.1818181818172261E-3</v>
      </c>
      <c r="AA37" s="865">
        <f t="shared" si="0"/>
        <v>-1.3636363636364154E-3</v>
      </c>
      <c r="AB37" s="3219"/>
      <c r="AD37" s="2367"/>
      <c r="AE37" s="2368"/>
      <c r="AF37" s="864">
        <v>44</v>
      </c>
      <c r="AG37" s="864">
        <v>44</v>
      </c>
      <c r="AH37" s="864">
        <v>44</v>
      </c>
      <c r="AI37" s="864">
        <v>44.003399999999999</v>
      </c>
      <c r="AJ37" s="864">
        <v>43.993000000000002</v>
      </c>
      <c r="AK37" s="864">
        <v>44.003</v>
      </c>
      <c r="AL37" s="865">
        <f>(AF37-AI37)/AD33*100</f>
        <v>-1.5454545454541735E-3</v>
      </c>
      <c r="AM37" s="865">
        <f t="shared" si="1"/>
        <v>3.1818181818172261E-3</v>
      </c>
      <c r="AN37" s="865">
        <f t="shared" si="1"/>
        <v>-1.3636363636364154E-3</v>
      </c>
    </row>
    <row r="38" spans="1:40" outlineLevel="1">
      <c r="A38" s="2367"/>
      <c r="B38" s="2368"/>
      <c r="C38" s="864">
        <v>44</v>
      </c>
      <c r="D38" s="864">
        <v>44</v>
      </c>
      <c r="E38" s="864">
        <v>44</v>
      </c>
      <c r="F38" s="864">
        <v>44.003399999999999</v>
      </c>
      <c r="G38" s="864">
        <v>43.993000000000002</v>
      </c>
      <c r="H38" s="864">
        <v>44.003</v>
      </c>
      <c r="I38" s="865">
        <f>(C38-F38)/A34*100</f>
        <v>-1.5454545454541735E-3</v>
      </c>
      <c r="J38" s="865">
        <f t="shared" si="2"/>
        <v>3.1818181818172261E-3</v>
      </c>
      <c r="K38" s="865">
        <f t="shared" si="2"/>
        <v>-1.3636363636364154E-3</v>
      </c>
      <c r="L38" s="3219"/>
      <c r="Q38" s="2358">
        <v>300</v>
      </c>
      <c r="R38" s="2364"/>
      <c r="S38" s="864">
        <v>300</v>
      </c>
      <c r="T38" s="864">
        <v>300</v>
      </c>
      <c r="U38" s="864">
        <v>300</v>
      </c>
      <c r="V38" s="866">
        <v>299.83100000000002</v>
      </c>
      <c r="W38" s="866">
        <v>299.84399999999999</v>
      </c>
      <c r="X38" s="866">
        <v>299.84899999999999</v>
      </c>
      <c r="Y38" s="865">
        <f>(S38-V38)/Q38*100</f>
        <v>5.6333333333327573E-2</v>
      </c>
      <c r="Z38" s="865">
        <f>(T38-W38)/Q38*100</f>
        <v>5.2000000000001968E-2</v>
      </c>
      <c r="AA38" s="867">
        <f>(U38-X38)/Q38*100</f>
        <v>5.0333333333336817E-2</v>
      </c>
      <c r="AB38" s="868"/>
      <c r="AD38" s="2358">
        <v>300</v>
      </c>
      <c r="AE38" s="2364"/>
      <c r="AF38" s="864">
        <v>300</v>
      </c>
      <c r="AG38" s="864">
        <v>300</v>
      </c>
      <c r="AH38" s="864">
        <v>300</v>
      </c>
      <c r="AI38" s="866">
        <v>299.83100000000002</v>
      </c>
      <c r="AJ38" s="866">
        <v>299.84399999999999</v>
      </c>
      <c r="AK38" s="866">
        <v>299.84899999999999</v>
      </c>
      <c r="AL38" s="865">
        <f>(AF38-AI38)/AD38*100</f>
        <v>5.6333333333327573E-2</v>
      </c>
      <c r="AM38" s="865">
        <f>(AG38-AJ38)/AD38*100</f>
        <v>5.2000000000001968E-2</v>
      </c>
      <c r="AN38" s="867">
        <f>(AH38-AK38)/AD38*100</f>
        <v>5.0333333333336817E-2</v>
      </c>
    </row>
    <row r="39" spans="1:40" outlineLevel="1">
      <c r="A39" s="2358">
        <v>300</v>
      </c>
      <c r="B39" s="2364"/>
      <c r="C39" s="864">
        <v>300</v>
      </c>
      <c r="D39" s="864">
        <v>300</v>
      </c>
      <c r="E39" s="864">
        <v>300</v>
      </c>
      <c r="F39" s="866">
        <v>299.83100000000002</v>
      </c>
      <c r="G39" s="866">
        <v>299.84399999999999</v>
      </c>
      <c r="H39" s="866">
        <v>299.84899999999999</v>
      </c>
      <c r="I39" s="865">
        <f>(C39-F39)/A39*100</f>
        <v>5.6333333333327573E-2</v>
      </c>
      <c r="J39" s="865">
        <f>(D39-G39)/A39*100</f>
        <v>5.2000000000001968E-2</v>
      </c>
      <c r="K39" s="867">
        <f>(E39-H39)/A39*100</f>
        <v>5.0333333333336817E-2</v>
      </c>
      <c r="L39" s="868"/>
      <c r="Q39" s="2365"/>
      <c r="R39" s="2366"/>
      <c r="S39" s="864">
        <v>179.98</v>
      </c>
      <c r="T39" s="864">
        <v>179.99</v>
      </c>
      <c r="U39" s="864">
        <v>179.99</v>
      </c>
      <c r="V39" s="866">
        <v>179.91300000000001</v>
      </c>
      <c r="W39" s="866">
        <v>179.941</v>
      </c>
      <c r="X39" s="866">
        <v>179.93899999999999</v>
      </c>
      <c r="Y39" s="865">
        <f>(S39-V39)/Q38*100</f>
        <v>2.2333333333326287E-2</v>
      </c>
      <c r="Z39" s="865">
        <f>(T39-W39)/Q38*100</f>
        <v>1.6333333333335531E-2</v>
      </c>
      <c r="AA39" s="867">
        <f>(U39-X39)/Q38*100</f>
        <v>1.7000000000005382E-2</v>
      </c>
      <c r="AB39" s="868"/>
      <c r="AD39" s="2365"/>
      <c r="AE39" s="2366"/>
      <c r="AF39" s="864">
        <v>179.98</v>
      </c>
      <c r="AG39" s="864">
        <v>179.99</v>
      </c>
      <c r="AH39" s="864">
        <v>179.99</v>
      </c>
      <c r="AI39" s="866">
        <v>179.91300000000001</v>
      </c>
      <c r="AJ39" s="866">
        <v>179.941</v>
      </c>
      <c r="AK39" s="866">
        <v>179.93899999999999</v>
      </c>
      <c r="AL39" s="865">
        <f>(AF39-AI39)/AD38*100</f>
        <v>2.2333333333326287E-2</v>
      </c>
      <c r="AM39" s="865">
        <f>(AG39-AJ39)/AD38*100</f>
        <v>1.6333333333335531E-2</v>
      </c>
      <c r="AN39" s="867">
        <f>(AH39-AK39)/AD38*100</f>
        <v>1.7000000000005382E-2</v>
      </c>
    </row>
    <row r="40" spans="1:40" outlineLevel="1">
      <c r="A40" s="2365"/>
      <c r="B40" s="2366"/>
      <c r="C40" s="864">
        <v>179.98</v>
      </c>
      <c r="D40" s="864">
        <v>179.99</v>
      </c>
      <c r="E40" s="864">
        <v>179.99</v>
      </c>
      <c r="F40" s="866">
        <v>179.91300000000001</v>
      </c>
      <c r="G40" s="866">
        <v>179.941</v>
      </c>
      <c r="H40" s="866">
        <v>179.93899999999999</v>
      </c>
      <c r="I40" s="865">
        <f>(C40-F40)/A39*100</f>
        <v>2.2333333333326287E-2</v>
      </c>
      <c r="J40" s="865">
        <f>(D40-G40)/A39*100</f>
        <v>1.6333333333335531E-2</v>
      </c>
      <c r="K40" s="867">
        <f>(E40-H40)/A39*100</f>
        <v>1.7000000000005382E-2</v>
      </c>
      <c r="L40" s="868"/>
      <c r="Q40" s="2367"/>
      <c r="R40" s="2368"/>
      <c r="S40" s="864">
        <f>S38*0.1</f>
        <v>30</v>
      </c>
      <c r="T40" s="864">
        <f>S40</f>
        <v>30</v>
      </c>
      <c r="U40" s="864">
        <f>S40</f>
        <v>30</v>
      </c>
      <c r="V40" s="866">
        <v>29.952000000000002</v>
      </c>
      <c r="W40" s="866">
        <v>29.952999999999999</v>
      </c>
      <c r="X40" s="866">
        <v>29.949000000000002</v>
      </c>
      <c r="Y40" s="865">
        <f>(S40-V40)/Q38*100</f>
        <v>1.5999999999999421E-2</v>
      </c>
      <c r="Z40" s="865">
        <f>(T40-W40)/Q38*100</f>
        <v>1.5666666666666867E-2</v>
      </c>
      <c r="AA40" s="867">
        <f>(U40-X40)/Q38*100</f>
        <v>1.699999999999946E-2</v>
      </c>
      <c r="AB40" s="868"/>
      <c r="AD40" s="2367"/>
      <c r="AE40" s="2368"/>
      <c r="AF40" s="864">
        <f>AF38*0.1</f>
        <v>30</v>
      </c>
      <c r="AG40" s="864">
        <f>AF40</f>
        <v>30</v>
      </c>
      <c r="AH40" s="864">
        <f>AF40</f>
        <v>30</v>
      </c>
      <c r="AI40" s="866">
        <v>29.952000000000002</v>
      </c>
      <c r="AJ40" s="866">
        <v>29.952999999999999</v>
      </c>
      <c r="AK40" s="866">
        <v>29.949000000000002</v>
      </c>
      <c r="AL40" s="865">
        <f>(AF40-AI40)/AD38*100</f>
        <v>1.5999999999999421E-2</v>
      </c>
      <c r="AM40" s="865">
        <f>(AG40-AJ40)/AD38*100</f>
        <v>1.5666666666666867E-2</v>
      </c>
      <c r="AN40" s="867">
        <f>(AH40-AK40)/AD38*100</f>
        <v>1.699999999999946E-2</v>
      </c>
    </row>
    <row r="41" spans="1:40" outlineLevel="1">
      <c r="A41" s="2367"/>
      <c r="B41" s="2368"/>
      <c r="C41" s="864">
        <f>C39*0.1</f>
        <v>30</v>
      </c>
      <c r="D41" s="864">
        <f>C41</f>
        <v>30</v>
      </c>
      <c r="E41" s="864">
        <f>C41</f>
        <v>30</v>
      </c>
      <c r="F41" s="866">
        <v>29.952000000000002</v>
      </c>
      <c r="G41" s="866">
        <v>29.952999999999999</v>
      </c>
      <c r="H41" s="866">
        <v>29.949000000000002</v>
      </c>
      <c r="I41" s="865">
        <f>(C41-F41)/A39*100</f>
        <v>1.5999999999999421E-2</v>
      </c>
      <c r="J41" s="865">
        <f>(D41-G41)/A39*100</f>
        <v>1.5666666666666867E-2</v>
      </c>
      <c r="K41" s="867">
        <f>(E41-H41)/A39*100</f>
        <v>1.699999999999946E-2</v>
      </c>
      <c r="L41" s="868"/>
      <c r="Q41" s="2358">
        <v>400</v>
      </c>
      <c r="R41" s="2364"/>
      <c r="S41" s="864">
        <f>Q41</f>
        <v>400</v>
      </c>
      <c r="T41" s="864">
        <f>S41</f>
        <v>400</v>
      </c>
      <c r="U41" s="864">
        <f>S41</f>
        <v>400</v>
      </c>
      <c r="V41" s="866">
        <v>400.09300000000002</v>
      </c>
      <c r="W41" s="866">
        <v>399.99599999999998</v>
      </c>
      <c r="X41" s="866">
        <v>399.995</v>
      </c>
      <c r="Y41" s="865">
        <f>(S41-V41)/Q41*100</f>
        <v>-2.3250000000004434E-2</v>
      </c>
      <c r="Z41" s="865">
        <f>(T41-W41)/Q41*100</f>
        <v>1.0000000000047748E-3</v>
      </c>
      <c r="AA41" s="867">
        <f>(U41-X41)/Q41*100</f>
        <v>1.2499999999988631E-3</v>
      </c>
      <c r="AB41" s="868"/>
      <c r="AD41" s="2358">
        <v>400</v>
      </c>
      <c r="AE41" s="2364"/>
      <c r="AF41" s="864">
        <f>AD41</f>
        <v>400</v>
      </c>
      <c r="AG41" s="864">
        <f>AF41</f>
        <v>400</v>
      </c>
      <c r="AH41" s="864">
        <f>AF41</f>
        <v>400</v>
      </c>
      <c r="AI41" s="866">
        <v>400.09300000000002</v>
      </c>
      <c r="AJ41" s="866">
        <v>399.99599999999998</v>
      </c>
      <c r="AK41" s="866">
        <v>399.995</v>
      </c>
      <c r="AL41" s="865">
        <f>(AF41-AI41)/AD41*100</f>
        <v>-2.3250000000004434E-2</v>
      </c>
      <c r="AM41" s="865">
        <f>(AG41-AJ41)/AD41*100</f>
        <v>1.0000000000047748E-3</v>
      </c>
      <c r="AN41" s="867">
        <f>(AH41-AK41)/AD41*100</f>
        <v>1.2499999999988631E-3</v>
      </c>
    </row>
    <row r="42" spans="1:40" outlineLevel="1">
      <c r="A42" s="2358">
        <v>400</v>
      </c>
      <c r="B42" s="2364"/>
      <c r="C42" s="864">
        <f>A42</f>
        <v>400</v>
      </c>
      <c r="D42" s="864">
        <f>C42</f>
        <v>400</v>
      </c>
      <c r="E42" s="864">
        <f>C42</f>
        <v>400</v>
      </c>
      <c r="F42" s="866">
        <v>400.09300000000002</v>
      </c>
      <c r="G42" s="866">
        <v>399.99599999999998</v>
      </c>
      <c r="H42" s="866">
        <v>399.995</v>
      </c>
      <c r="I42" s="865">
        <f>(C42-F42)/A42*100</f>
        <v>-2.3250000000004434E-2</v>
      </c>
      <c r="J42" s="865">
        <f>(D42-G42)/A42*100</f>
        <v>1.0000000000047748E-3</v>
      </c>
      <c r="K42" s="867">
        <f>(E42-H42)/A42*100</f>
        <v>1.2499999999988631E-3</v>
      </c>
      <c r="L42" s="868"/>
      <c r="Q42" s="2365"/>
      <c r="R42" s="2366"/>
      <c r="S42" s="864">
        <f>S41*0.6</f>
        <v>240</v>
      </c>
      <c r="T42" s="864">
        <f>S42</f>
        <v>240</v>
      </c>
      <c r="U42" s="864">
        <f>S42</f>
        <v>240</v>
      </c>
      <c r="V42" s="866">
        <v>240.108</v>
      </c>
      <c r="W42" s="866">
        <v>240.06</v>
      </c>
      <c r="X42" s="866">
        <v>240.05099999999999</v>
      </c>
      <c r="Y42" s="865">
        <f>(S42-V42)/Q41*100</f>
        <v>-2.7000000000001023E-2</v>
      </c>
      <c r="Z42" s="865">
        <f>(T42-W42)/Q41*100</f>
        <v>-1.5000000000000568E-2</v>
      </c>
      <c r="AA42" s="869">
        <f>(U42-X42)/Q41*100</f>
        <v>-1.274999999999693E-2</v>
      </c>
      <c r="AB42" s="868"/>
      <c r="AD42" s="2365"/>
      <c r="AE42" s="2366"/>
      <c r="AF42" s="864">
        <f>AF41*0.6</f>
        <v>240</v>
      </c>
      <c r="AG42" s="864">
        <f>AF42</f>
        <v>240</v>
      </c>
      <c r="AH42" s="864">
        <f>AF42</f>
        <v>240</v>
      </c>
      <c r="AI42" s="866">
        <v>240.108</v>
      </c>
      <c r="AJ42" s="866">
        <v>240.06</v>
      </c>
      <c r="AK42" s="866">
        <v>240.05099999999999</v>
      </c>
      <c r="AL42" s="865">
        <f>(AF42-AI42)/AD41*100</f>
        <v>-2.7000000000001023E-2</v>
      </c>
      <c r="AM42" s="865">
        <f>(AG42-AJ42)/AD41*100</f>
        <v>-1.5000000000000568E-2</v>
      </c>
      <c r="AN42" s="869">
        <f>(AH42-AK42)/AD41*100</f>
        <v>-1.274999999999693E-2</v>
      </c>
    </row>
    <row r="43" spans="1:40" outlineLevel="1">
      <c r="A43" s="2365"/>
      <c r="B43" s="2366"/>
      <c r="C43" s="864">
        <f>C42*0.6</f>
        <v>240</v>
      </c>
      <c r="D43" s="864">
        <f>C43</f>
        <v>240</v>
      </c>
      <c r="E43" s="864">
        <f>C43</f>
        <v>240</v>
      </c>
      <c r="F43" s="866">
        <v>240.108</v>
      </c>
      <c r="G43" s="866">
        <v>240.06</v>
      </c>
      <c r="H43" s="866">
        <v>240.05099999999999</v>
      </c>
      <c r="I43" s="865">
        <f>(C43-F43)/A42*100</f>
        <v>-2.7000000000001023E-2</v>
      </c>
      <c r="J43" s="865">
        <f>(D43-G43)/A42*100</f>
        <v>-1.5000000000000568E-2</v>
      </c>
      <c r="K43" s="869">
        <f>(E43-H43)/A42*100</f>
        <v>-1.274999999999693E-2</v>
      </c>
      <c r="L43" s="868"/>
      <c r="Q43" s="3220"/>
      <c r="R43" s="3221"/>
      <c r="S43" s="738">
        <f>S41*0.1</f>
        <v>40</v>
      </c>
      <c r="T43" s="738">
        <f>S43</f>
        <v>40</v>
      </c>
      <c r="U43" s="738">
        <f>S43</f>
        <v>40</v>
      </c>
      <c r="V43" s="739">
        <v>39.965000000000003</v>
      </c>
      <c r="W43" s="739">
        <v>39.965000000000003</v>
      </c>
      <c r="X43" s="739">
        <v>39.948999999999998</v>
      </c>
      <c r="Y43" s="740">
        <f>(S43-V43)/Q41*100</f>
        <v>8.7499999999991473E-3</v>
      </c>
      <c r="Z43" s="870">
        <f>(T43-W43)/Q41*100</f>
        <v>8.7499999999991473E-3</v>
      </c>
      <c r="AA43" s="870">
        <f>(U43-X43)/Q41*100</f>
        <v>1.2750000000000483E-2</v>
      </c>
      <c r="AB43" s="871"/>
      <c r="AD43" s="3220"/>
      <c r="AE43" s="3221"/>
      <c r="AF43" s="738">
        <f>AF41*0.1</f>
        <v>40</v>
      </c>
      <c r="AG43" s="738">
        <f>AF43</f>
        <v>40</v>
      </c>
      <c r="AH43" s="738">
        <f>AF43</f>
        <v>40</v>
      </c>
      <c r="AI43" s="739">
        <v>39.965000000000003</v>
      </c>
      <c r="AJ43" s="739">
        <v>39.965000000000003</v>
      </c>
      <c r="AK43" s="739">
        <v>39.948999999999998</v>
      </c>
      <c r="AL43" s="740">
        <f>(AF43-AI43)/AD41*100</f>
        <v>8.7499999999991473E-3</v>
      </c>
      <c r="AM43" s="870">
        <f>(AG43-AJ43)/AD41*100</f>
        <v>8.7499999999991473E-3</v>
      </c>
      <c r="AN43" s="870">
        <f>(AH43-AK43)/AD41*100</f>
        <v>1.2750000000000483E-2</v>
      </c>
    </row>
    <row r="44" spans="1:40" outlineLevel="1">
      <c r="A44" s="3220"/>
      <c r="B44" s="3221"/>
      <c r="C44" s="738">
        <f>C42*0.1</f>
        <v>40</v>
      </c>
      <c r="D44" s="738">
        <f>C44</f>
        <v>40</v>
      </c>
      <c r="E44" s="738">
        <f>C44</f>
        <v>40</v>
      </c>
      <c r="F44" s="739">
        <v>39.965000000000003</v>
      </c>
      <c r="G44" s="739">
        <v>39.965000000000003</v>
      </c>
      <c r="H44" s="739">
        <v>39.948999999999998</v>
      </c>
      <c r="I44" s="740">
        <f>(C44-F44)/A42*100</f>
        <v>8.7499999999991473E-3</v>
      </c>
      <c r="J44" s="870">
        <f>(D44-G44)/A42*100</f>
        <v>8.7499999999991473E-3</v>
      </c>
      <c r="K44" s="870">
        <f>(E44-H44)/A42*100</f>
        <v>1.2750000000000483E-2</v>
      </c>
      <c r="L44" s="871"/>
      <c r="Q44" s="821" t="s">
        <v>2291</v>
      </c>
      <c r="R44" s="872"/>
      <c r="S44" s="873"/>
      <c r="T44" s="873"/>
      <c r="U44" s="873"/>
      <c r="V44" s="873"/>
      <c r="W44" s="873"/>
      <c r="X44" s="873"/>
      <c r="Y44" s="874"/>
      <c r="Z44" s="875"/>
      <c r="AA44" s="874"/>
      <c r="AB44" s="876"/>
      <c r="AD44" s="821" t="s">
        <v>2291</v>
      </c>
      <c r="AE44" s="872"/>
      <c r="AF44" s="873"/>
      <c r="AG44" s="873"/>
      <c r="AH44" s="873"/>
      <c r="AI44" s="873"/>
      <c r="AJ44" s="873"/>
      <c r="AK44" s="873"/>
      <c r="AL44" s="874"/>
      <c r="AM44" s="875"/>
      <c r="AN44" s="874"/>
    </row>
    <row r="45" spans="1:40" outlineLevel="1">
      <c r="A45" t="s">
        <v>4380</v>
      </c>
      <c r="B45" s="872"/>
      <c r="C45" s="873"/>
      <c r="D45" s="873"/>
      <c r="E45" s="873"/>
      <c r="F45" s="873"/>
      <c r="G45" s="873"/>
      <c r="H45" s="873"/>
      <c r="I45" s="874"/>
      <c r="J45" s="875"/>
      <c r="K45" s="874"/>
      <c r="L45" s="876"/>
    </row>
    <row r="46" spans="1:40" outlineLevel="1">
      <c r="A46" s="828"/>
      <c r="B46" s="828"/>
      <c r="C46" s="828"/>
      <c r="D46" s="828"/>
      <c r="E46" s="828"/>
      <c r="F46" s="828"/>
      <c r="G46" s="828"/>
      <c r="H46" s="828"/>
      <c r="I46" s="877"/>
      <c r="J46" s="877"/>
      <c r="K46" s="877"/>
      <c r="L46" s="728"/>
    </row>
    <row r="47" spans="1:40" outlineLevel="1">
      <c r="A47" s="713" t="s">
        <v>2292</v>
      </c>
      <c r="B47" t="s">
        <v>4381</v>
      </c>
      <c r="C47" s="714"/>
      <c r="D47" s="714"/>
      <c r="E47" s="714"/>
      <c r="F47" s="714"/>
      <c r="G47" s="714"/>
      <c r="H47" s="714"/>
      <c r="I47" s="714"/>
      <c r="J47" s="714"/>
      <c r="K47" s="714"/>
      <c r="L47" s="714"/>
      <c r="M47" s="714"/>
      <c r="N47" s="714"/>
      <c r="O47" s="714"/>
      <c r="P47" s="878"/>
      <c r="Q47" s="3247"/>
      <c r="R47" s="3247"/>
      <c r="S47" s="3247"/>
    </row>
    <row r="48" spans="1:40" ht="14.25" customHeight="1" outlineLevel="1">
      <c r="A48" s="2381" t="s">
        <v>2293</v>
      </c>
      <c r="B48" s="2382"/>
      <c r="C48" s="2385" t="s">
        <v>2294</v>
      </c>
      <c r="D48" s="2386"/>
      <c r="E48" s="2386"/>
      <c r="F48" s="2379"/>
      <c r="G48" s="2385" t="s">
        <v>2295</v>
      </c>
      <c r="H48" s="2386"/>
      <c r="I48" s="2386"/>
      <c r="J48" s="2379"/>
      <c r="K48" s="2385" t="s">
        <v>2296</v>
      </c>
      <c r="L48" s="2386"/>
      <c r="M48" s="2386"/>
      <c r="N48" s="2379"/>
      <c r="O48" s="2735" t="s">
        <v>2297</v>
      </c>
    </row>
    <row r="49" spans="1:15" ht="18.75" outlineLevel="1">
      <c r="A49" s="2383"/>
      <c r="B49" s="2384"/>
      <c r="C49" s="1749" t="s">
        <v>4379</v>
      </c>
      <c r="D49" s="3248"/>
      <c r="E49" s="3249" t="s">
        <v>2298</v>
      </c>
      <c r="F49" s="3248"/>
      <c r="G49" s="2859" t="s">
        <v>3454</v>
      </c>
      <c r="H49" s="2789"/>
      <c r="I49" s="2788" t="s">
        <v>2298</v>
      </c>
      <c r="J49" s="2789"/>
      <c r="K49" s="2788" t="s">
        <v>2299</v>
      </c>
      <c r="L49" s="2789"/>
      <c r="M49" s="2859" t="s">
        <v>3453</v>
      </c>
      <c r="N49" s="2789"/>
      <c r="O49" s="2737"/>
    </row>
    <row r="50" spans="1:15" outlineLevel="1">
      <c r="A50" s="3241">
        <v>100</v>
      </c>
      <c r="B50" s="3242"/>
      <c r="C50" s="2911">
        <v>100.248</v>
      </c>
      <c r="D50" s="2913"/>
      <c r="E50" s="2911">
        <v>100.235</v>
      </c>
      <c r="F50" s="2913"/>
      <c r="G50" s="2911">
        <v>100.18</v>
      </c>
      <c r="H50" s="2913"/>
      <c r="I50" s="2911">
        <v>100.18300000000001</v>
      </c>
      <c r="J50" s="2913"/>
      <c r="K50" s="3234">
        <f t="shared" ref="K50:K60" si="3">(C50-G50)/$A$50*100</f>
        <v>6.799999999999784E-2</v>
      </c>
      <c r="L50" s="3235"/>
      <c r="M50" s="3234">
        <f>(E50-I50)/$A$50*100</f>
        <v>5.199999999999249E-2</v>
      </c>
      <c r="N50" s="3235"/>
      <c r="O50" s="3231">
        <f>2*(0.00002^2+0.00005^2+0.000029^2)^0.5</f>
        <v>1.2232742946698423E-4</v>
      </c>
    </row>
    <row r="51" spans="1:15" outlineLevel="1">
      <c r="A51" s="3243"/>
      <c r="B51" s="3244"/>
      <c r="C51" s="2911">
        <v>90.242999999999995</v>
      </c>
      <c r="D51" s="2913"/>
      <c r="E51" s="2911">
        <v>90.218000000000004</v>
      </c>
      <c r="F51" s="2913"/>
      <c r="G51" s="2911">
        <v>90.177000000000007</v>
      </c>
      <c r="H51" s="2913"/>
      <c r="I51" s="2911">
        <v>90.165000000000006</v>
      </c>
      <c r="J51" s="2913"/>
      <c r="K51" s="3234">
        <f t="shared" si="3"/>
        <v>6.599999999998829E-2</v>
      </c>
      <c r="L51" s="3235"/>
      <c r="M51" s="3234">
        <f t="shared" ref="M51:M65" si="4">(E51-I51)/$A$50*100</f>
        <v>5.2999999999997278E-2</v>
      </c>
      <c r="N51" s="3235"/>
      <c r="O51" s="3232"/>
    </row>
    <row r="52" spans="1:15" outlineLevel="1">
      <c r="A52" s="3243"/>
      <c r="B52" s="3244"/>
      <c r="C52" s="2911">
        <v>80.096999999999994</v>
      </c>
      <c r="D52" s="2913"/>
      <c r="E52" s="2911">
        <v>80.138000000000005</v>
      </c>
      <c r="F52" s="2913"/>
      <c r="G52" s="2911">
        <v>80.128</v>
      </c>
      <c r="H52" s="2913"/>
      <c r="I52" s="2911">
        <v>80.069999999999993</v>
      </c>
      <c r="J52" s="2913"/>
      <c r="K52" s="3234">
        <f t="shared" si="3"/>
        <v>-3.1000000000005915E-2</v>
      </c>
      <c r="L52" s="3235"/>
      <c r="M52" s="3234">
        <f t="shared" si="4"/>
        <v>6.8000000000012051E-2</v>
      </c>
      <c r="N52" s="3235"/>
      <c r="O52" s="3232"/>
    </row>
    <row r="53" spans="1:15" outlineLevel="1">
      <c r="A53" s="3243"/>
      <c r="B53" s="3244"/>
      <c r="C53" s="2911">
        <v>70.025999999999996</v>
      </c>
      <c r="D53" s="2913"/>
      <c r="E53" s="2911">
        <v>70.128</v>
      </c>
      <c r="F53" s="2913"/>
      <c r="G53" s="2911">
        <v>70.067999999999998</v>
      </c>
      <c r="H53" s="2913"/>
      <c r="I53" s="2911">
        <v>70.048000000000002</v>
      </c>
      <c r="J53" s="2913"/>
      <c r="K53" s="3234">
        <f t="shared" si="3"/>
        <v>-4.2000000000001592E-2</v>
      </c>
      <c r="L53" s="3235"/>
      <c r="M53" s="3234">
        <f t="shared" si="4"/>
        <v>7.9999999999998295E-2</v>
      </c>
      <c r="N53" s="3235"/>
      <c r="O53" s="3232"/>
    </row>
    <row r="54" spans="1:15" outlineLevel="1">
      <c r="A54" s="3243"/>
      <c r="B54" s="3244"/>
      <c r="C54" s="2911">
        <v>60.113</v>
      </c>
      <c r="D54" s="2913"/>
      <c r="E54" s="2911">
        <v>60.024999999999999</v>
      </c>
      <c r="F54" s="2913"/>
      <c r="G54" s="2911">
        <v>60.076000000000001</v>
      </c>
      <c r="H54" s="2913"/>
      <c r="I54" s="2911">
        <v>59.97</v>
      </c>
      <c r="J54" s="2913"/>
      <c r="K54" s="3234">
        <f t="shared" si="3"/>
        <v>3.6999999999999034E-2</v>
      </c>
      <c r="L54" s="3235"/>
      <c r="M54" s="3234">
        <f t="shared" si="4"/>
        <v>5.4999999999999709E-2</v>
      </c>
      <c r="N54" s="3235"/>
      <c r="O54" s="3232"/>
    </row>
    <row r="55" spans="1:15" outlineLevel="1">
      <c r="A55" s="3243"/>
      <c r="B55" s="3244"/>
      <c r="C55" s="2911">
        <v>50.134999999999998</v>
      </c>
      <c r="D55" s="2913"/>
      <c r="E55" s="2911">
        <v>49.982999999999997</v>
      </c>
      <c r="F55" s="2913"/>
      <c r="G55" s="2911">
        <v>50.093699999999998</v>
      </c>
      <c r="H55" s="2913"/>
      <c r="I55" s="2911">
        <v>49.939599999999999</v>
      </c>
      <c r="J55" s="2913"/>
      <c r="K55" s="3234">
        <f t="shared" si="3"/>
        <v>4.129999999999967E-2</v>
      </c>
      <c r="L55" s="3235"/>
      <c r="M55" s="3234">
        <f t="shared" si="4"/>
        <v>4.3399999999998329E-2</v>
      </c>
      <c r="N55" s="3235"/>
      <c r="O55" s="3232"/>
    </row>
    <row r="56" spans="1:15" outlineLevel="1">
      <c r="A56" s="3243"/>
      <c r="B56" s="3244"/>
      <c r="C56" s="2911">
        <v>40.031999999999996</v>
      </c>
      <c r="D56" s="2913"/>
      <c r="E56" s="2911">
        <v>39.908999999999999</v>
      </c>
      <c r="F56" s="2913"/>
      <c r="G56" s="2911">
        <v>40.091999999999999</v>
      </c>
      <c r="H56" s="2913"/>
      <c r="I56" s="2911">
        <v>39.933</v>
      </c>
      <c r="J56" s="2913"/>
      <c r="K56" s="3234">
        <f t="shared" si="3"/>
        <v>-6.0000000000002274E-2</v>
      </c>
      <c r="L56" s="3235"/>
      <c r="M56" s="3234">
        <f t="shared" si="4"/>
        <v>-2.4000000000000909E-2</v>
      </c>
      <c r="N56" s="3235"/>
      <c r="O56" s="3232"/>
    </row>
    <row r="57" spans="1:15" outlineLevel="1">
      <c r="A57" s="3243"/>
      <c r="B57" s="3244"/>
      <c r="C57" s="2911">
        <v>30.052</v>
      </c>
      <c r="D57" s="2913"/>
      <c r="E57" s="2911">
        <v>29.896000000000001</v>
      </c>
      <c r="F57" s="2913"/>
      <c r="G57" s="2911">
        <v>30.018999999999998</v>
      </c>
      <c r="H57" s="2913"/>
      <c r="I57" s="2911">
        <v>29.867000000000001</v>
      </c>
      <c r="J57" s="2913"/>
      <c r="K57" s="3234">
        <f t="shared" si="3"/>
        <v>3.3000000000001251E-2</v>
      </c>
      <c r="L57" s="3235"/>
      <c r="M57" s="3234">
        <f t="shared" si="4"/>
        <v>2.8999999999999915E-2</v>
      </c>
      <c r="N57" s="3235"/>
      <c r="O57" s="3232"/>
    </row>
    <row r="58" spans="1:15" outlineLevel="1">
      <c r="A58" s="3243"/>
      <c r="B58" s="3244"/>
      <c r="C58" s="2911">
        <v>20.030999999999999</v>
      </c>
      <c r="D58" s="2913"/>
      <c r="E58" s="2911">
        <v>19.864999999999998</v>
      </c>
      <c r="F58" s="2913"/>
      <c r="G58" s="2911">
        <v>19.989999999999998</v>
      </c>
      <c r="H58" s="2913"/>
      <c r="I58" s="2911">
        <v>19.805</v>
      </c>
      <c r="J58" s="2913"/>
      <c r="K58" s="3234">
        <f t="shared" si="3"/>
        <v>4.1000000000000369E-2</v>
      </c>
      <c r="L58" s="3235"/>
      <c r="M58" s="3234">
        <f t="shared" si="4"/>
        <v>5.9999999999998728E-2</v>
      </c>
      <c r="N58" s="3235"/>
      <c r="O58" s="3232"/>
    </row>
    <row r="59" spans="1:15" ht="12.75" customHeight="1" outlineLevel="1">
      <c r="A59" s="3245"/>
      <c r="B59" s="3246"/>
      <c r="C59" s="2911">
        <v>9.98</v>
      </c>
      <c r="D59" s="2913"/>
      <c r="E59" s="2911">
        <v>9.8010000000000002</v>
      </c>
      <c r="F59" s="2913"/>
      <c r="G59" s="2385">
        <v>9.9610000000000003</v>
      </c>
      <c r="H59" s="2379"/>
      <c r="I59" s="2385">
        <v>9.7249999999999996</v>
      </c>
      <c r="J59" s="2379"/>
      <c r="K59" s="3234">
        <f t="shared" si="3"/>
        <v>1.9000000000000128E-2</v>
      </c>
      <c r="L59" s="3235"/>
      <c r="M59" s="3234">
        <f t="shared" si="4"/>
        <v>7.6000000000000512E-2</v>
      </c>
      <c r="N59" s="3235"/>
      <c r="O59" s="3236"/>
    </row>
    <row r="60" spans="1:15" outlineLevel="1">
      <c r="A60" s="2354">
        <v>250</v>
      </c>
      <c r="B60" s="2355"/>
      <c r="C60" s="2911">
        <v>250.489</v>
      </c>
      <c r="D60" s="2913"/>
      <c r="E60" s="2911">
        <v>250.476</v>
      </c>
      <c r="F60" s="2913"/>
      <c r="G60" s="2911">
        <v>250.33799999999999</v>
      </c>
      <c r="H60" s="2913"/>
      <c r="I60" s="2911">
        <v>250.39</v>
      </c>
      <c r="J60" s="2913"/>
      <c r="K60" s="3237">
        <f t="shared" si="3"/>
        <v>0.15100000000001046</v>
      </c>
      <c r="L60" s="3238"/>
      <c r="M60" s="3234">
        <f t="shared" si="4"/>
        <v>8.6000000000012733E-2</v>
      </c>
      <c r="N60" s="3235"/>
      <c r="O60" s="3231">
        <f>2*(0.00002^2+0.00005^2+0.000029^2)^0.5</f>
        <v>1.2232742946698423E-4</v>
      </c>
    </row>
    <row r="61" spans="1:15" outlineLevel="1">
      <c r="A61" s="2356"/>
      <c r="B61" s="2357"/>
      <c r="C61" s="2911">
        <v>150.11799999999999</v>
      </c>
      <c r="D61" s="2913"/>
      <c r="E61" s="2911">
        <v>150.01599999999999</v>
      </c>
      <c r="F61" s="2913"/>
      <c r="G61" s="2911">
        <v>150.12700000000001</v>
      </c>
      <c r="H61" s="2913"/>
      <c r="I61" s="2911">
        <v>149.89699999999999</v>
      </c>
      <c r="J61" s="2913"/>
      <c r="K61" s="3234">
        <f>(C61-G61)/$A$50*100</f>
        <v>-9.0000000000145519E-3</v>
      </c>
      <c r="L61" s="3235"/>
      <c r="M61" s="3234">
        <f t="shared" si="4"/>
        <v>0.11899999999999977</v>
      </c>
      <c r="N61" s="3235"/>
      <c r="O61" s="3232"/>
    </row>
    <row r="62" spans="1:15" outlineLevel="1">
      <c r="A62" s="3239"/>
      <c r="B62" s="3240"/>
      <c r="C62" s="2911">
        <v>24.978000000000002</v>
      </c>
      <c r="D62" s="2913"/>
      <c r="E62" s="2911">
        <v>24.876999999999999</v>
      </c>
      <c r="F62" s="2913"/>
      <c r="G62" s="2911">
        <v>24.882999999999999</v>
      </c>
      <c r="H62" s="2913"/>
      <c r="I62" s="2911">
        <v>24.861999999999998</v>
      </c>
      <c r="J62" s="2913"/>
      <c r="K62" s="3234">
        <f>(C62-G62)/$A$50*100</f>
        <v>9.5000000000002416E-2</v>
      </c>
      <c r="L62" s="3235"/>
      <c r="M62" s="3234">
        <f t="shared" si="4"/>
        <v>1.5000000000000568E-2</v>
      </c>
      <c r="N62" s="3235"/>
      <c r="O62" s="3236"/>
    </row>
    <row r="63" spans="1:15" outlineLevel="1">
      <c r="A63" s="2354">
        <v>600</v>
      </c>
      <c r="B63" s="2355"/>
      <c r="C63" s="2385">
        <v>601.28499999999997</v>
      </c>
      <c r="D63" s="2379"/>
      <c r="E63" s="2385">
        <v>601.54100000000005</v>
      </c>
      <c r="F63" s="2379"/>
      <c r="G63" s="2385">
        <v>601.202</v>
      </c>
      <c r="H63" s="2379"/>
      <c r="I63" s="2385">
        <v>601.11400000000003</v>
      </c>
      <c r="J63" s="2379"/>
      <c r="K63" s="3234">
        <f>(C63-G63)/$A$50*100</f>
        <v>8.2999999999969987E-2</v>
      </c>
      <c r="L63" s="3235"/>
      <c r="M63" s="3234">
        <f t="shared" si="4"/>
        <v>0.42700000000002092</v>
      </c>
      <c r="N63" s="3235"/>
      <c r="O63" s="3231">
        <f>2*(0.00002^2+0.00005^2+0.000029^2)^0.5</f>
        <v>1.2232742946698423E-4</v>
      </c>
    </row>
    <row r="64" spans="1:15" outlineLevel="1">
      <c r="A64" s="2356"/>
      <c r="B64" s="2357"/>
      <c r="C64" s="2385">
        <v>360.87299999999999</v>
      </c>
      <c r="D64" s="2379"/>
      <c r="E64" s="2385">
        <v>360.363</v>
      </c>
      <c r="F64" s="2379"/>
      <c r="G64" s="2385">
        <v>360.43599999999998</v>
      </c>
      <c r="H64" s="2379"/>
      <c r="I64" s="2385">
        <v>359.85500000000002</v>
      </c>
      <c r="J64" s="2379"/>
      <c r="K64" s="3234">
        <f>(C64-G64)/$A$50*100</f>
        <v>0.43700000000001188</v>
      </c>
      <c r="L64" s="3235"/>
      <c r="M64" s="3234">
        <f t="shared" si="4"/>
        <v>0.50799999999998136</v>
      </c>
      <c r="N64" s="3235"/>
      <c r="O64" s="3232"/>
    </row>
    <row r="65" spans="1:19" outlineLevel="1">
      <c r="A65" s="3239"/>
      <c r="B65" s="3240"/>
      <c r="C65" s="2385">
        <v>59.872300000000003</v>
      </c>
      <c r="D65" s="2379"/>
      <c r="E65" s="2385">
        <v>58.489199999999997</v>
      </c>
      <c r="F65" s="2379"/>
      <c r="G65" s="2385">
        <v>59.7654</v>
      </c>
      <c r="H65" s="2379"/>
      <c r="I65" s="2385">
        <v>58.401299999999999</v>
      </c>
      <c r="J65" s="2379"/>
      <c r="K65" s="3234">
        <f>(C65-G65)/$A$50*100</f>
        <v>0.1069000000000031</v>
      </c>
      <c r="L65" s="3235"/>
      <c r="M65" s="3234">
        <f t="shared" si="4"/>
        <v>8.7899999999997647E-2</v>
      </c>
      <c r="N65" s="3235"/>
      <c r="O65" s="3233"/>
      <c r="P65" s="28"/>
      <c r="Q65" s="28"/>
      <c r="R65" s="28"/>
      <c r="S65" s="28"/>
    </row>
    <row r="66" spans="1:19" outlineLevel="1">
      <c r="A66" s="821" t="s">
        <v>2300</v>
      </c>
      <c r="B66" s="822"/>
      <c r="C66" s="822"/>
      <c r="D66" s="822"/>
      <c r="E66" s="822"/>
      <c r="F66" s="822"/>
      <c r="G66" s="822"/>
      <c r="H66" s="822"/>
      <c r="I66" s="822"/>
      <c r="J66" s="822"/>
      <c r="K66" s="822"/>
      <c r="L66" s="822"/>
      <c r="M66" s="822"/>
      <c r="N66" s="822"/>
      <c r="O66" s="822"/>
      <c r="P66" s="828"/>
      <c r="Q66" s="828"/>
      <c r="R66" s="828"/>
      <c r="S66" s="828"/>
    </row>
    <row r="67" spans="1:19">
      <c r="A67" s="824"/>
      <c r="B67" s="824"/>
      <c r="C67" s="824"/>
      <c r="D67" s="824"/>
      <c r="E67" s="824"/>
      <c r="F67" s="824"/>
      <c r="G67" s="824"/>
      <c r="H67" s="824"/>
      <c r="I67" s="824"/>
      <c r="J67" s="824"/>
      <c r="K67" s="824"/>
      <c r="L67" s="824"/>
      <c r="M67" s="824"/>
      <c r="N67" s="824"/>
      <c r="O67" s="824"/>
      <c r="P67" s="880"/>
      <c r="Q67" s="880"/>
      <c r="R67" s="880"/>
      <c r="S67" s="728"/>
    </row>
    <row r="69" spans="1:19">
      <c r="A69" s="702" t="s">
        <v>2301</v>
      </c>
    </row>
    <row r="70" spans="1:19">
      <c r="B70" s="702" t="s">
        <v>2302</v>
      </c>
    </row>
  </sheetData>
  <mergeCells count="149">
    <mergeCell ref="A24:B33"/>
    <mergeCell ref="L24:L33"/>
    <mergeCell ref="A34:B38"/>
    <mergeCell ref="L34:L38"/>
    <mergeCell ref="A39:B41"/>
    <mergeCell ref="A42:B44"/>
    <mergeCell ref="A1:E1"/>
    <mergeCell ref="A3:C3"/>
    <mergeCell ref="A19:F19"/>
    <mergeCell ref="K21:L21"/>
    <mergeCell ref="A22:B23"/>
    <mergeCell ref="C22:E22"/>
    <mergeCell ref="F22:H22"/>
    <mergeCell ref="I22:K22"/>
    <mergeCell ref="L22:L23"/>
    <mergeCell ref="Q47:S47"/>
    <mergeCell ref="A48:B49"/>
    <mergeCell ref="C48:F48"/>
    <mergeCell ref="G48:J48"/>
    <mergeCell ref="K48:N48"/>
    <mergeCell ref="O48:O49"/>
    <mergeCell ref="C49:D49"/>
    <mergeCell ref="E49:F49"/>
    <mergeCell ref="G49:H49"/>
    <mergeCell ref="I49:J49"/>
    <mergeCell ref="K49:L49"/>
    <mergeCell ref="M49:N49"/>
    <mergeCell ref="A50:B59"/>
    <mergeCell ref="C50:D50"/>
    <mergeCell ref="E50:F50"/>
    <mergeCell ref="G50:H50"/>
    <mergeCell ref="I50:J50"/>
    <mergeCell ref="K50:L50"/>
    <mergeCell ref="M50:N50"/>
    <mergeCell ref="I52:J52"/>
    <mergeCell ref="K52:L52"/>
    <mergeCell ref="M52:N52"/>
    <mergeCell ref="C53:D53"/>
    <mergeCell ref="E53:F53"/>
    <mergeCell ref="G53:H53"/>
    <mergeCell ref="I53:J53"/>
    <mergeCell ref="K53:L53"/>
    <mergeCell ref="M53:N53"/>
    <mergeCell ref="G57:H57"/>
    <mergeCell ref="I57:J57"/>
    <mergeCell ref="K57:L57"/>
    <mergeCell ref="M57:N57"/>
    <mergeCell ref="C56:D56"/>
    <mergeCell ref="E56:F56"/>
    <mergeCell ref="G56:H56"/>
    <mergeCell ref="I56:J56"/>
    <mergeCell ref="O50:O59"/>
    <mergeCell ref="C51:D51"/>
    <mergeCell ref="E51:F51"/>
    <mergeCell ref="G51:H51"/>
    <mergeCell ref="I51:J51"/>
    <mergeCell ref="K51:L51"/>
    <mergeCell ref="M51:N51"/>
    <mergeCell ref="C52:D52"/>
    <mergeCell ref="E52:F52"/>
    <mergeCell ref="G52:H52"/>
    <mergeCell ref="C55:D55"/>
    <mergeCell ref="E55:F55"/>
    <mergeCell ref="G55:H55"/>
    <mergeCell ref="I55:J55"/>
    <mergeCell ref="K55:L55"/>
    <mergeCell ref="M55:N55"/>
    <mergeCell ref="C54:D54"/>
    <mergeCell ref="E54:F54"/>
    <mergeCell ref="G54:H54"/>
    <mergeCell ref="I54:J54"/>
    <mergeCell ref="K54:L54"/>
    <mergeCell ref="M54:N54"/>
    <mergeCell ref="C57:D57"/>
    <mergeCell ref="E57:F57"/>
    <mergeCell ref="K56:L56"/>
    <mergeCell ref="M56:N56"/>
    <mergeCell ref="C59:D59"/>
    <mergeCell ref="E59:F59"/>
    <mergeCell ref="G59:H59"/>
    <mergeCell ref="I59:J59"/>
    <mergeCell ref="K59:L59"/>
    <mergeCell ref="E62:F62"/>
    <mergeCell ref="M59:N59"/>
    <mergeCell ref="C58:D58"/>
    <mergeCell ref="E58:F58"/>
    <mergeCell ref="G58:H58"/>
    <mergeCell ref="I58:J58"/>
    <mergeCell ref="K58:L58"/>
    <mergeCell ref="M58:N58"/>
    <mergeCell ref="M60:N60"/>
    <mergeCell ref="A60:B62"/>
    <mergeCell ref="C60:D60"/>
    <mergeCell ref="E60:F60"/>
    <mergeCell ref="G60:H60"/>
    <mergeCell ref="I60:J60"/>
    <mergeCell ref="K65:L65"/>
    <mergeCell ref="G65:H65"/>
    <mergeCell ref="A63:B65"/>
    <mergeCell ref="C63:D63"/>
    <mergeCell ref="E63:F63"/>
    <mergeCell ref="G62:H62"/>
    <mergeCell ref="I62:J62"/>
    <mergeCell ref="K62:L62"/>
    <mergeCell ref="O60:O62"/>
    <mergeCell ref="C61:D61"/>
    <mergeCell ref="E61:F61"/>
    <mergeCell ref="G61:H61"/>
    <mergeCell ref="I61:J61"/>
    <mergeCell ref="K61:L61"/>
    <mergeCell ref="M61:N61"/>
    <mergeCell ref="C62:D62"/>
    <mergeCell ref="M62:N62"/>
    <mergeCell ref="K60:L60"/>
    <mergeCell ref="O63:O65"/>
    <mergeCell ref="C64:D64"/>
    <mergeCell ref="E64:F64"/>
    <mergeCell ref="G64:H64"/>
    <mergeCell ref="I64:J64"/>
    <mergeCell ref="K64:L64"/>
    <mergeCell ref="M64:N64"/>
    <mergeCell ref="C65:D65"/>
    <mergeCell ref="E65:F65"/>
    <mergeCell ref="G63:H63"/>
    <mergeCell ref="I63:J63"/>
    <mergeCell ref="K63:L63"/>
    <mergeCell ref="M63:N63"/>
    <mergeCell ref="I65:J65"/>
    <mergeCell ref="M65:N65"/>
    <mergeCell ref="AI21:AK21"/>
    <mergeCell ref="AL21:AN21"/>
    <mergeCell ref="Q23:R32"/>
    <mergeCell ref="AB23:AB32"/>
    <mergeCell ref="AD23:AE32"/>
    <mergeCell ref="AA20:AB20"/>
    <mergeCell ref="Q21:R22"/>
    <mergeCell ref="S21:U21"/>
    <mergeCell ref="V21:X21"/>
    <mergeCell ref="Y21:AA21"/>
    <mergeCell ref="AB21:AB22"/>
    <mergeCell ref="Q33:R37"/>
    <mergeCell ref="AB33:AB37"/>
    <mergeCell ref="AD33:AE37"/>
    <mergeCell ref="Q38:R40"/>
    <mergeCell ref="AD38:AE40"/>
    <mergeCell ref="Q41:R43"/>
    <mergeCell ref="AD41:AE43"/>
    <mergeCell ref="AD21:AE22"/>
    <mergeCell ref="AF21:AH21"/>
  </mergeCells>
  <phoneticPr fontId="31" type="noConversion"/>
  <conditionalFormatting sqref="I42:K44">
    <cfRule type="cellIs" dxfId="36" priority="11" stopIfTrue="1" operator="greaterThan">
      <formula>0.05</formula>
    </cfRule>
    <cfRule type="cellIs" dxfId="35" priority="12" stopIfTrue="1" operator="lessThan">
      <formula>-0.05</formula>
    </cfRule>
  </conditionalFormatting>
  <conditionalFormatting sqref="I24:K41">
    <cfRule type="cellIs" dxfId="34" priority="13" stopIfTrue="1" operator="greaterThan">
      <formula>0.05</formula>
    </cfRule>
    <cfRule type="cellIs" dxfId="33" priority="14" stopIfTrue="1" operator="lessThan">
      <formula>-0.05</formula>
    </cfRule>
  </conditionalFormatting>
  <conditionalFormatting sqref="K50:N65">
    <cfRule type="cellIs" dxfId="32" priority="9" stopIfTrue="1" operator="greaterThan">
      <formula>0.1</formula>
    </cfRule>
    <cfRule type="cellIs" dxfId="31" priority="10" stopIfTrue="1" operator="lessThan">
      <formula>-0.1</formula>
    </cfRule>
  </conditionalFormatting>
  <conditionalFormatting sqref="Y41:AA43">
    <cfRule type="cellIs" dxfId="30" priority="5" stopIfTrue="1" operator="greaterThan">
      <formula>0.05</formula>
    </cfRule>
    <cfRule type="cellIs" dxfId="29" priority="6" stopIfTrue="1" operator="lessThan">
      <formula>-0.05</formula>
    </cfRule>
  </conditionalFormatting>
  <conditionalFormatting sqref="Y23:AA40">
    <cfRule type="cellIs" dxfId="28" priority="7" stopIfTrue="1" operator="greaterThan">
      <formula>0.05</formula>
    </cfRule>
    <cfRule type="cellIs" dxfId="27" priority="8" stopIfTrue="1" operator="lessThan">
      <formula>-0.05</formula>
    </cfRule>
  </conditionalFormatting>
  <conditionalFormatting sqref="AL41:AN43">
    <cfRule type="cellIs" dxfId="26" priority="1" stopIfTrue="1" operator="greaterThan">
      <formula>0.05</formula>
    </cfRule>
    <cfRule type="cellIs" dxfId="25" priority="2" stopIfTrue="1" operator="lessThan">
      <formula>-0.05</formula>
    </cfRule>
  </conditionalFormatting>
  <conditionalFormatting sqref="AL23:AN40">
    <cfRule type="cellIs" dxfId="24" priority="3" stopIfTrue="1" operator="greaterThan">
      <formula>0.05</formula>
    </cfRule>
    <cfRule type="cellIs" dxfId="23" priority="4" stopIfTrue="1" operator="lessThan">
      <formula>-0.05</formula>
    </cfRule>
  </conditionalFormatting>
  <pageMargins left="0.75" right="0.75" top="1" bottom="1" header="0.5" footer="0.5"/>
  <drawing r:id="rId1"/>
  <legacyDrawing r:id="rId2"/>
</worksheet>
</file>

<file path=xl/worksheets/sheet62.xml><?xml version="1.0" encoding="utf-8"?>
<worksheet xmlns="http://schemas.openxmlformats.org/spreadsheetml/2006/main" xmlns:r="http://schemas.openxmlformats.org/officeDocument/2006/relationships">
  <dimension ref="A1:T22"/>
  <sheetViews>
    <sheetView topLeftCell="A10" workbookViewId="0">
      <selection activeCell="F18" sqref="F18"/>
    </sheetView>
  </sheetViews>
  <sheetFormatPr defaultRowHeight="14.25"/>
  <sheetData>
    <row r="1" spans="1:20">
      <c r="A1" t="s">
        <v>3889</v>
      </c>
    </row>
    <row r="2" spans="1:20" ht="15.75">
      <c r="A2" s="1605" t="s">
        <v>3890</v>
      </c>
      <c r="B2" s="1605"/>
      <c r="C2" s="1605"/>
      <c r="D2" s="1605"/>
      <c r="E2" s="1605"/>
      <c r="F2" s="1605"/>
      <c r="G2" s="1605"/>
      <c r="H2" s="1605"/>
      <c r="I2" s="1605"/>
      <c r="J2" s="1605"/>
      <c r="K2" s="1605"/>
      <c r="L2" s="1605"/>
      <c r="M2" s="1605"/>
      <c r="N2" s="1605"/>
      <c r="O2" s="1605"/>
      <c r="P2" s="1606"/>
      <c r="Q2" s="1605"/>
      <c r="R2" s="1605"/>
      <c r="S2" s="1605"/>
      <c r="T2" s="1605"/>
    </row>
    <row r="3" spans="1:20" ht="15.75">
      <c r="A3" s="2455" t="s">
        <v>3891</v>
      </c>
      <c r="B3" s="2455"/>
      <c r="C3" s="2455"/>
      <c r="D3" s="347" t="s">
        <v>3892</v>
      </c>
      <c r="E3" s="2455" t="s">
        <v>3893</v>
      </c>
      <c r="F3" s="2455"/>
      <c r="G3" s="2455"/>
      <c r="H3" s="2455"/>
      <c r="I3" s="2455" t="s">
        <v>3894</v>
      </c>
      <c r="J3" s="2455"/>
      <c r="K3" s="2455" t="s">
        <v>3895</v>
      </c>
      <c r="L3" s="2455"/>
      <c r="M3" s="2455"/>
      <c r="N3" s="1605"/>
      <c r="O3" s="1605"/>
      <c r="P3" s="1606"/>
      <c r="Q3" s="1605"/>
      <c r="R3" s="1605"/>
      <c r="S3" s="1605"/>
      <c r="T3" s="1605"/>
    </row>
    <row r="4" spans="1:20" ht="15.75">
      <c r="A4" s="2451">
        <v>0.99447300000000005</v>
      </c>
      <c r="B4" s="2451"/>
      <c r="C4" s="2451"/>
      <c r="D4" s="349">
        <v>0.99545300000000003</v>
      </c>
      <c r="E4" s="2451">
        <v>0.99447300000000005</v>
      </c>
      <c r="F4" s="2451"/>
      <c r="G4" s="2451"/>
      <c r="H4" s="2451"/>
      <c r="I4" s="2451">
        <v>0.99545300000000003</v>
      </c>
      <c r="J4" s="2451"/>
      <c r="K4" s="2451">
        <v>0.99447300000000005</v>
      </c>
      <c r="L4" s="2451"/>
      <c r="M4" s="2451"/>
      <c r="N4" s="1605"/>
      <c r="O4" s="1605"/>
      <c r="P4" s="1606"/>
      <c r="Q4" s="1605"/>
      <c r="R4" s="1605"/>
      <c r="S4" s="1605"/>
      <c r="T4" s="1605"/>
    </row>
    <row r="5" spans="1:20" ht="15.75">
      <c r="A5" s="2451">
        <v>0.99545300000000003</v>
      </c>
      <c r="B5" s="2451"/>
      <c r="C5" s="2451"/>
      <c r="D5" s="349">
        <v>0.99447300000000005</v>
      </c>
      <c r="E5" s="2451">
        <v>0.99545300000000003</v>
      </c>
      <c r="F5" s="2451"/>
      <c r="G5" s="2451"/>
      <c r="H5" s="2451"/>
      <c r="I5" s="2451">
        <v>0.99447300000000005</v>
      </c>
      <c r="J5" s="2451"/>
      <c r="K5" s="2451">
        <v>0.99545300000000003</v>
      </c>
      <c r="L5" s="2451"/>
      <c r="M5" s="2451"/>
      <c r="N5" s="1605"/>
      <c r="O5" s="1605"/>
      <c r="P5" s="1606"/>
      <c r="Q5" s="1605"/>
      <c r="R5" s="1605"/>
      <c r="S5" s="1605"/>
      <c r="T5" s="1605"/>
    </row>
    <row r="6" spans="1:20" ht="18.75">
      <c r="A6" s="2452" t="s">
        <v>3896</v>
      </c>
      <c r="B6" s="2453"/>
      <c r="C6" s="2454"/>
      <c r="D6" s="1814"/>
      <c r="E6" s="1713"/>
      <c r="F6" s="1713"/>
      <c r="G6" s="1713"/>
      <c r="H6" s="1713"/>
      <c r="I6" s="1713"/>
      <c r="J6" s="1713"/>
      <c r="K6" s="1713"/>
      <c r="L6" s="1713"/>
      <c r="M6" s="1714"/>
      <c r="N6" s="1605"/>
      <c r="O6" s="1605"/>
      <c r="P6" s="1606"/>
      <c r="Q6" s="1605"/>
      <c r="R6" s="1605"/>
      <c r="S6" s="1605"/>
      <c r="T6" s="1605"/>
    </row>
    <row r="7" spans="1:20" ht="15.75">
      <c r="A7" s="1605"/>
      <c r="B7" s="1605"/>
      <c r="C7" s="1605"/>
      <c r="D7" s="1605"/>
      <c r="E7" s="1605"/>
      <c r="F7" s="1605"/>
      <c r="G7" s="1605"/>
      <c r="H7" s="1605"/>
      <c r="I7" s="1605"/>
      <c r="J7" s="1605"/>
      <c r="K7" s="1605"/>
      <c r="L7" s="1605"/>
      <c r="M7" s="1605"/>
      <c r="N7" s="1605"/>
      <c r="O7" s="1605"/>
      <c r="P7" s="1606"/>
      <c r="Q7" s="1605"/>
      <c r="R7" s="1605"/>
      <c r="S7" s="1605"/>
      <c r="T7" s="1605"/>
    </row>
    <row r="8" spans="1:20" ht="15.75">
      <c r="A8" s="1605"/>
      <c r="B8" s="1605"/>
      <c r="C8" s="1605"/>
      <c r="D8" s="1605"/>
      <c r="E8" s="1605"/>
      <c r="F8" s="1605"/>
      <c r="G8" s="1605"/>
      <c r="H8" s="1605"/>
      <c r="I8" s="1605"/>
      <c r="J8" s="1605"/>
      <c r="K8" s="1605"/>
      <c r="L8" s="1605"/>
      <c r="M8" s="1605"/>
      <c r="N8" s="1605"/>
      <c r="O8" s="1605"/>
      <c r="P8" s="1606"/>
      <c r="Q8" s="1605"/>
      <c r="R8" s="1605"/>
      <c r="S8" s="1605"/>
      <c r="T8" s="1605"/>
    </row>
    <row r="9" spans="1:20" ht="15.75">
      <c r="A9" s="1605" t="s">
        <v>3897</v>
      </c>
      <c r="B9" s="1605"/>
      <c r="C9" s="1605"/>
      <c r="D9" s="1605"/>
      <c r="E9" s="1605"/>
      <c r="F9" s="1605"/>
      <c r="G9" s="1605"/>
      <c r="H9" s="1605"/>
      <c r="I9" s="1605"/>
      <c r="J9" s="1605"/>
      <c r="K9" s="1605"/>
      <c r="L9" s="1605"/>
      <c r="M9" s="1605"/>
      <c r="N9" s="1605"/>
      <c r="O9" s="1605"/>
      <c r="P9" s="1606"/>
      <c r="Q9" s="1605"/>
      <c r="R9" s="1605"/>
      <c r="S9" s="1605"/>
      <c r="T9" s="1605"/>
    </row>
    <row r="10" spans="1:20" ht="15.75">
      <c r="A10" s="2450" t="s">
        <v>3898</v>
      </c>
      <c r="B10" s="2450"/>
      <c r="C10" s="2450"/>
      <c r="D10" s="2450"/>
      <c r="E10" s="2450"/>
      <c r="F10" s="2450"/>
      <c r="G10" s="2450"/>
      <c r="H10" s="2450"/>
      <c r="I10" s="2450"/>
      <c r="J10" s="2450" t="s">
        <v>3899</v>
      </c>
      <c r="K10" s="2450"/>
      <c r="L10" s="2450" t="s">
        <v>3900</v>
      </c>
      <c r="M10" s="2450"/>
      <c r="N10" s="2450"/>
      <c r="O10" s="1749" t="s">
        <v>3901</v>
      </c>
      <c r="P10" s="2450"/>
      <c r="Q10" s="1749" t="s">
        <v>3902</v>
      </c>
      <c r="R10" s="2450"/>
      <c r="S10" s="2450"/>
      <c r="T10" s="2450"/>
    </row>
    <row r="11" spans="1:20" ht="18.75">
      <c r="A11" s="1749" t="s">
        <v>3903</v>
      </c>
      <c r="B11" s="1749"/>
      <c r="C11" s="1749"/>
      <c r="D11" s="1749"/>
      <c r="E11" s="1749"/>
      <c r="F11" s="1749"/>
      <c r="G11" s="1749"/>
      <c r="H11" s="1749"/>
      <c r="I11" s="1749"/>
      <c r="J11" s="1749">
        <v>4.0000000000000003E-5</v>
      </c>
      <c r="K11" s="1749"/>
      <c r="L11" s="2450" t="s">
        <v>3904</v>
      </c>
      <c r="M11" s="2450"/>
      <c r="N11" s="2450"/>
      <c r="O11" s="2450">
        <v>2</v>
      </c>
      <c r="P11" s="2450"/>
      <c r="Q11" s="1749">
        <f>J11/O11</f>
        <v>2.0000000000000002E-5</v>
      </c>
      <c r="R11" s="1749"/>
      <c r="S11" s="1749"/>
      <c r="T11" s="1749"/>
    </row>
    <row r="12" spans="1:20" ht="18.75">
      <c r="A12" s="2450" t="s">
        <v>3905</v>
      </c>
      <c r="B12" s="2450"/>
      <c r="C12" s="2450"/>
      <c r="D12" s="2450"/>
      <c r="E12" s="2450"/>
      <c r="F12" s="2450"/>
      <c r="G12" s="2450"/>
      <c r="H12" s="2450"/>
      <c r="I12" s="2450"/>
      <c r="J12" s="1749">
        <v>2.0000000000000001E-4</v>
      </c>
      <c r="K12" s="1749"/>
      <c r="L12" s="2450" t="s">
        <v>3906</v>
      </c>
      <c r="M12" s="2450"/>
      <c r="N12" s="2450"/>
      <c r="O12" s="2450">
        <v>2</v>
      </c>
      <c r="P12" s="2450"/>
      <c r="Q12" s="1749">
        <f>J12/O12</f>
        <v>1E-4</v>
      </c>
      <c r="R12" s="1749"/>
      <c r="S12" s="1749"/>
      <c r="T12" s="1749"/>
    </row>
    <row r="13" spans="1:20" ht="18.75">
      <c r="A13" s="2450" t="s">
        <v>3907</v>
      </c>
      <c r="B13" s="2450"/>
      <c r="C13" s="2450"/>
      <c r="D13" s="2450"/>
      <c r="E13" s="2450"/>
      <c r="F13" s="2450"/>
      <c r="G13" s="2450"/>
      <c r="H13" s="2450"/>
      <c r="I13" s="2450"/>
      <c r="J13" s="1749">
        <v>5.0000000000000004E-6</v>
      </c>
      <c r="K13" s="1749"/>
      <c r="L13" s="1749" t="s">
        <v>3908</v>
      </c>
      <c r="M13" s="2450"/>
      <c r="N13" s="2450"/>
      <c r="O13" s="1749" t="s">
        <v>3909</v>
      </c>
      <c r="P13" s="1749"/>
      <c r="Q13" s="1749">
        <f>J13/SQRT(3)</f>
        <v>2.8867513459481293E-6</v>
      </c>
      <c r="R13" s="1749"/>
      <c r="S13" s="1749"/>
      <c r="T13" s="1749"/>
    </row>
    <row r="14" spans="1:20" ht="15.75">
      <c r="A14" s="1749" t="s">
        <v>3910</v>
      </c>
      <c r="B14" s="1749"/>
      <c r="C14" s="1749"/>
      <c r="D14" s="1749"/>
      <c r="E14" s="1749"/>
      <c r="F14" s="1749"/>
      <c r="G14" s="1749"/>
      <c r="H14" s="1749"/>
      <c r="I14" s="1749"/>
      <c r="J14" s="1749">
        <v>2.0000000000000001E-4</v>
      </c>
      <c r="K14" s="1749"/>
      <c r="L14" s="1749" t="s">
        <v>3911</v>
      </c>
      <c r="M14" s="1749"/>
      <c r="N14" s="1749"/>
      <c r="O14" s="2450">
        <v>3</v>
      </c>
      <c r="P14" s="2450"/>
      <c r="Q14" s="1749">
        <v>6.0000000000000002E-5</v>
      </c>
      <c r="R14" s="1749"/>
      <c r="S14" s="1749"/>
      <c r="T14" s="1749"/>
    </row>
    <row r="15" spans="1:20" ht="15.75">
      <c r="A15" s="1749" t="s">
        <v>3912</v>
      </c>
      <c r="B15" s="1749"/>
      <c r="C15" s="1749"/>
      <c r="D15" s="1749"/>
      <c r="E15" s="1749"/>
      <c r="F15" s="1749"/>
      <c r="G15" s="1749"/>
      <c r="H15" s="1749"/>
      <c r="I15" s="1749"/>
      <c r="J15" s="1749">
        <v>2.0000000000000001E-4</v>
      </c>
      <c r="K15" s="1749"/>
      <c r="L15" s="1749" t="s">
        <v>3911</v>
      </c>
      <c r="M15" s="1749"/>
      <c r="N15" s="1749"/>
      <c r="O15" s="2450">
        <v>3</v>
      </c>
      <c r="P15" s="2450"/>
      <c r="Q15" s="1749">
        <v>6.0000000000000002E-5</v>
      </c>
      <c r="R15" s="1749"/>
      <c r="S15" s="1749"/>
      <c r="T15" s="1749"/>
    </row>
    <row r="16" spans="1:20" ht="18.75">
      <c r="A16" s="2450" t="s">
        <v>3913</v>
      </c>
      <c r="B16" s="2450"/>
      <c r="C16" s="2450"/>
      <c r="D16" s="2450"/>
      <c r="E16" s="2450"/>
      <c r="F16" s="2450"/>
      <c r="G16" s="2450"/>
      <c r="H16" s="2450"/>
      <c r="I16" s="2450"/>
      <c r="J16" s="2450"/>
      <c r="K16" s="2450"/>
      <c r="L16" s="2450"/>
      <c r="M16" s="2450"/>
      <c r="N16" s="2450"/>
      <c r="O16" s="2450"/>
      <c r="P16" s="2450"/>
      <c r="Q16" s="2450"/>
      <c r="R16" s="2450"/>
      <c r="S16" s="2450"/>
      <c r="T16" s="1605"/>
    </row>
    <row r="17" spans="1:20" ht="15.75">
      <c r="A17" s="1605" t="s">
        <v>3914</v>
      </c>
      <c r="B17" s="1605"/>
      <c r="C17" s="1605"/>
      <c r="D17" s="1605"/>
      <c r="E17" s="1605"/>
      <c r="F17" s="1605"/>
      <c r="G17" s="1605"/>
      <c r="H17" s="1605"/>
      <c r="I17" s="1605"/>
      <c r="J17" s="1605"/>
      <c r="L17" s="1605"/>
      <c r="M17" s="1605"/>
      <c r="N17" s="1605"/>
      <c r="O17" s="1605"/>
      <c r="P17" s="1606"/>
      <c r="Q17" s="1605"/>
      <c r="R17" s="1605"/>
      <c r="S17" s="1605"/>
      <c r="T17" s="1605"/>
    </row>
    <row r="18" spans="1:20" ht="18.75">
      <c r="A18" s="1605"/>
      <c r="B18" t="s">
        <v>3915</v>
      </c>
      <c r="C18" s="1605"/>
      <c r="D18" s="1749"/>
      <c r="E18" s="1749"/>
      <c r="F18" s="1605"/>
      <c r="G18" s="1605"/>
      <c r="H18" s="1605"/>
      <c r="I18" s="1605"/>
      <c r="J18" s="1605"/>
      <c r="L18" s="1605"/>
      <c r="M18" s="1605"/>
      <c r="N18" s="1605"/>
      <c r="O18" s="1605"/>
      <c r="P18" s="1606"/>
      <c r="Q18" s="1605"/>
      <c r="R18" s="1605"/>
      <c r="S18" s="1605"/>
      <c r="T18" s="1605"/>
    </row>
    <row r="19" spans="1:20" ht="15.75">
      <c r="A19" s="1605" t="s">
        <v>3916</v>
      </c>
      <c r="B19" s="1605"/>
      <c r="C19" s="1605"/>
      <c r="D19" s="1605"/>
      <c r="E19" s="1605"/>
      <c r="F19" s="1605"/>
      <c r="G19" s="1605"/>
      <c r="H19" s="1605"/>
      <c r="I19" s="1605"/>
      <c r="J19" s="1605"/>
      <c r="L19" s="1605"/>
      <c r="M19" s="1605"/>
      <c r="N19" s="1605"/>
      <c r="O19" s="1605"/>
      <c r="P19" s="1606"/>
      <c r="Q19" s="1605"/>
      <c r="R19" s="1605"/>
      <c r="S19" s="1605"/>
      <c r="T19" s="1605"/>
    </row>
    <row r="20" spans="1:20" ht="18.75">
      <c r="A20" s="1605"/>
      <c r="B20" t="s">
        <v>3917</v>
      </c>
      <c r="E20" s="1605"/>
      <c r="F20" s="1605"/>
      <c r="G20" s="1605"/>
      <c r="H20" s="1605"/>
      <c r="I20" s="1605"/>
      <c r="J20" s="1605"/>
      <c r="L20" s="1605"/>
      <c r="M20" s="1605"/>
      <c r="N20" s="1605"/>
      <c r="O20" s="1605"/>
      <c r="P20" s="1606"/>
      <c r="Q20" s="1605"/>
      <c r="R20" s="1605"/>
      <c r="S20" s="1605"/>
      <c r="T20" s="1605"/>
    </row>
    <row r="21" spans="1:20" ht="15.75">
      <c r="A21" s="1605" t="s">
        <v>3918</v>
      </c>
      <c r="B21" s="1605"/>
      <c r="C21" s="1605"/>
      <c r="D21" s="1605"/>
      <c r="E21" s="1605"/>
      <c r="F21" s="1605"/>
      <c r="G21" s="1605"/>
      <c r="H21" s="1605"/>
      <c r="I21" s="1605"/>
      <c r="J21" s="1605"/>
      <c r="L21" s="1605"/>
      <c r="M21" s="1605"/>
      <c r="N21" s="1605"/>
      <c r="P21" s="1606"/>
      <c r="Q21" s="1605"/>
      <c r="R21" s="1605"/>
      <c r="S21" s="1605"/>
      <c r="T21" s="1605"/>
    </row>
    <row r="22" spans="1:20" ht="15.75">
      <c r="A22" t="s">
        <v>3919</v>
      </c>
      <c r="B22" s="1605"/>
      <c r="E22" s="1749"/>
      <c r="F22" s="1749"/>
      <c r="G22" s="1749"/>
      <c r="H22" s="1749"/>
      <c r="I22" s="1749"/>
      <c r="J22" s="1749"/>
      <c r="K22" s="1605"/>
      <c r="L22" s="1605"/>
      <c r="M22" s="1605"/>
      <c r="N22" s="1605"/>
      <c r="O22" s="1605"/>
      <c r="P22" s="1606"/>
      <c r="Q22" s="1605"/>
      <c r="R22" s="1605"/>
      <c r="S22" s="1605"/>
      <c r="T22" s="1605"/>
    </row>
  </sheetData>
  <mergeCells count="49">
    <mergeCell ref="A3:C3"/>
    <mergeCell ref="E3:H3"/>
    <mergeCell ref="I3:J3"/>
    <mergeCell ref="K3:M3"/>
    <mergeCell ref="A4:C4"/>
    <mergeCell ref="E4:H4"/>
    <mergeCell ref="I4:J4"/>
    <mergeCell ref="K4:M4"/>
    <mergeCell ref="A5:C5"/>
    <mergeCell ref="E5:H5"/>
    <mergeCell ref="I5:J5"/>
    <mergeCell ref="K5:M5"/>
    <mergeCell ref="A6:C6"/>
    <mergeCell ref="D6:M6"/>
    <mergeCell ref="A11:I11"/>
    <mergeCell ref="J11:K11"/>
    <mergeCell ref="L11:N11"/>
    <mergeCell ref="O11:P11"/>
    <mergeCell ref="Q11:T11"/>
    <mergeCell ref="A10:I10"/>
    <mergeCell ref="J10:K10"/>
    <mergeCell ref="L10:N10"/>
    <mergeCell ref="O10:P10"/>
    <mergeCell ref="Q10:T10"/>
    <mergeCell ref="A13:I13"/>
    <mergeCell ref="J13:K13"/>
    <mergeCell ref="L13:N13"/>
    <mergeCell ref="O13:P13"/>
    <mergeCell ref="Q13:T13"/>
    <mergeCell ref="A12:I12"/>
    <mergeCell ref="J12:K12"/>
    <mergeCell ref="L12:N12"/>
    <mergeCell ref="O12:P12"/>
    <mergeCell ref="Q12:T12"/>
    <mergeCell ref="A15:I15"/>
    <mergeCell ref="J15:K15"/>
    <mergeCell ref="L15:N15"/>
    <mergeCell ref="O15:P15"/>
    <mergeCell ref="Q15:T15"/>
    <mergeCell ref="A14:I14"/>
    <mergeCell ref="J14:K14"/>
    <mergeCell ref="L14:N14"/>
    <mergeCell ref="O14:P14"/>
    <mergeCell ref="Q14:T14"/>
    <mergeCell ref="A16:B16"/>
    <mergeCell ref="C16:S16"/>
    <mergeCell ref="D18:E18"/>
    <mergeCell ref="E22:G22"/>
    <mergeCell ref="H22:J22"/>
  </mergeCells>
  <phoneticPr fontId="2" type="noConversion"/>
  <pageMargins left="0.7" right="0.7" top="0.75" bottom="0.75" header="0.3" footer="0.3"/>
  <legacyDrawing r:id="rId1"/>
  <oleObjects>
    <oleObject progId="Equation.3" shapeId="241665" r:id="rId2"/>
  </oleObjects>
</worksheet>
</file>

<file path=xl/worksheets/sheet63.xml><?xml version="1.0" encoding="utf-8"?>
<worksheet xmlns="http://schemas.openxmlformats.org/spreadsheetml/2006/main" xmlns:r="http://schemas.openxmlformats.org/officeDocument/2006/relationships">
  <dimension ref="A1:AR39"/>
  <sheetViews>
    <sheetView workbookViewId="0">
      <selection sqref="A1:C1"/>
    </sheetView>
  </sheetViews>
  <sheetFormatPr defaultRowHeight="14.25" outlineLevelRow="1"/>
  <cols>
    <col min="2" max="2" width="17.875" customWidth="1"/>
    <col min="3" max="3" width="19.375" customWidth="1"/>
    <col min="4" max="4" width="32.625" customWidth="1"/>
  </cols>
  <sheetData>
    <row r="1" spans="1:34">
      <c r="A1" s="2478" t="s">
        <v>2303</v>
      </c>
      <c r="B1" s="2478"/>
      <c r="C1" s="2478"/>
    </row>
    <row r="2" spans="1:34" ht="14.25" customHeight="1"/>
    <row r="3" spans="1:34" outlineLevel="1">
      <c r="A3" s="2434" t="s">
        <v>2304</v>
      </c>
      <c r="B3" s="2298"/>
      <c r="C3" s="2298"/>
      <c r="D3" s="2"/>
    </row>
    <row r="4" spans="1:34" ht="18.75" outlineLevel="1">
      <c r="A4" s="699" t="s">
        <v>1920</v>
      </c>
      <c r="B4" s="699"/>
      <c r="C4" s="6" t="s">
        <v>69</v>
      </c>
      <c r="D4" s="6" t="s">
        <v>70</v>
      </c>
      <c r="E4" s="700" t="s">
        <v>2305</v>
      </c>
    </row>
    <row r="5" spans="1:34" outlineLevel="1">
      <c r="A5" s="698" t="s">
        <v>2306</v>
      </c>
      <c r="B5" s="698"/>
      <c r="C5" s="6" t="s">
        <v>72</v>
      </c>
      <c r="D5" s="6" t="s">
        <v>72</v>
      </c>
      <c r="E5" s="837" t="s">
        <v>2307</v>
      </c>
    </row>
    <row r="6" spans="1:34" outlineLevel="1">
      <c r="A6" s="731" t="s">
        <v>2308</v>
      </c>
      <c r="B6" s="731"/>
      <c r="C6" s="6" t="s">
        <v>72</v>
      </c>
      <c r="D6" s="698" t="s">
        <v>2309</v>
      </c>
      <c r="E6" s="61" t="s">
        <v>2307</v>
      </c>
    </row>
    <row r="7" spans="1:34" ht="28.5" outlineLevel="1">
      <c r="A7" s="1674" t="s">
        <v>4414</v>
      </c>
      <c r="B7" s="1366" t="s">
        <v>3450</v>
      </c>
      <c r="C7" s="6" t="s">
        <v>72</v>
      </c>
      <c r="D7" s="6" t="s">
        <v>2309</v>
      </c>
      <c r="E7" s="837" t="s">
        <v>2310</v>
      </c>
    </row>
    <row r="8" spans="1:34" ht="28.5" outlineLevel="1">
      <c r="A8" s="698"/>
      <c r="B8" s="1366" t="s">
        <v>3451</v>
      </c>
      <c r="C8" s="6"/>
      <c r="D8" s="6"/>
      <c r="E8" s="837"/>
    </row>
    <row r="9" spans="1:34" outlineLevel="1">
      <c r="A9" s="698" t="s">
        <v>2311</v>
      </c>
      <c r="B9" s="698"/>
      <c r="C9" s="6" t="s">
        <v>72</v>
      </c>
      <c r="D9" s="6" t="s">
        <v>2309</v>
      </c>
      <c r="E9" s="61" t="s">
        <v>2307</v>
      </c>
    </row>
    <row r="10" spans="1:34" outlineLevel="1">
      <c r="A10" s="6"/>
      <c r="B10" s="6"/>
      <c r="C10" s="6"/>
      <c r="D10" s="6"/>
      <c r="E10" s="2"/>
    </row>
    <row r="11" spans="1:34" outlineLevel="1">
      <c r="A11" s="6"/>
      <c r="B11" s="6"/>
      <c r="C11" s="6"/>
      <c r="D11" s="6"/>
      <c r="E11" s="2"/>
    </row>
    <row r="12" spans="1:34" outlineLevel="1">
      <c r="A12" s="6"/>
      <c r="B12" s="6"/>
      <c r="C12" s="6"/>
      <c r="D12" s="6"/>
      <c r="E12" s="2"/>
    </row>
    <row r="13" spans="1:34" outlineLevel="1">
      <c r="A13" t="s">
        <v>73</v>
      </c>
    </row>
    <row r="15" spans="1:34">
      <c r="A15" s="3200" t="s">
        <v>2312</v>
      </c>
      <c r="B15" s="2559"/>
      <c r="C15" s="2559"/>
      <c r="D15" s="2559"/>
      <c r="E15" s="2559"/>
      <c r="F15" s="2559"/>
    </row>
    <row r="16" spans="1:34" outlineLevel="1">
      <c r="A16" s="713" t="s">
        <v>2313</v>
      </c>
      <c r="B16" s="1672" t="s">
        <v>4416</v>
      </c>
      <c r="C16" s="881"/>
      <c r="D16" s="881"/>
      <c r="E16" s="881"/>
      <c r="F16" s="881"/>
      <c r="G16" s="881"/>
      <c r="H16" s="881"/>
      <c r="I16" s="881"/>
      <c r="J16" s="881"/>
      <c r="K16" s="882"/>
      <c r="L16" s="723"/>
      <c r="T16" s="703" t="s">
        <v>2314</v>
      </c>
      <c r="AH16" s="703" t="s">
        <v>2315</v>
      </c>
    </row>
    <row r="17" spans="1:44" outlineLevel="1">
      <c r="A17" s="3273" t="s">
        <v>4417</v>
      </c>
      <c r="B17" s="2799"/>
      <c r="C17" s="2799"/>
      <c r="D17" s="2799"/>
      <c r="E17" s="2799"/>
      <c r="F17" s="2799"/>
      <c r="G17" s="2799"/>
      <c r="H17" s="2799"/>
      <c r="I17" s="2799"/>
      <c r="J17" s="2799"/>
      <c r="K17" s="2800"/>
      <c r="L17" s="723"/>
      <c r="T17" s="2440" t="s">
        <v>2316</v>
      </c>
      <c r="U17" s="2799"/>
      <c r="V17" s="2799"/>
      <c r="W17" s="2799"/>
      <c r="X17" s="2799"/>
      <c r="Y17" s="2799"/>
      <c r="Z17" s="2799"/>
      <c r="AA17" s="2799"/>
      <c r="AB17" s="2799"/>
      <c r="AC17" s="2799"/>
      <c r="AD17" s="2800"/>
      <c r="AE17" s="723"/>
      <c r="AH17" s="2440" t="s">
        <v>2316</v>
      </c>
      <c r="AI17" s="2799"/>
      <c r="AJ17" s="2799"/>
      <c r="AK17" s="2799"/>
      <c r="AL17" s="2799"/>
      <c r="AM17" s="2799"/>
      <c r="AN17" s="2799"/>
      <c r="AO17" s="2799"/>
      <c r="AP17" s="2799"/>
      <c r="AQ17" s="2799"/>
      <c r="AR17" s="2800"/>
    </row>
    <row r="18" spans="1:44" ht="57" outlineLevel="1">
      <c r="A18" s="731" t="s">
        <v>2317</v>
      </c>
      <c r="B18" s="885" t="s">
        <v>2318</v>
      </c>
      <c r="C18" s="2434" t="s">
        <v>2319</v>
      </c>
      <c r="D18" s="2434"/>
      <c r="E18" s="2434"/>
      <c r="F18" s="2434" t="s">
        <v>2320</v>
      </c>
      <c r="G18" s="2434"/>
      <c r="H18" s="2434"/>
      <c r="I18" s="2434" t="s">
        <v>2321</v>
      </c>
      <c r="J18" s="2434"/>
      <c r="K18" s="2434"/>
      <c r="L18" s="767" t="s">
        <v>2322</v>
      </c>
      <c r="M18" s="1680" t="s">
        <v>4429</v>
      </c>
      <c r="T18" s="731" t="s">
        <v>2323</v>
      </c>
      <c r="U18" s="885" t="s">
        <v>2318</v>
      </c>
      <c r="V18" s="2434" t="s">
        <v>2319</v>
      </c>
      <c r="W18" s="2434"/>
      <c r="X18" s="2434"/>
      <c r="Y18" s="2434" t="s">
        <v>2324</v>
      </c>
      <c r="Z18" s="2434"/>
      <c r="AA18" s="2434"/>
      <c r="AB18" s="2434" t="s">
        <v>2321</v>
      </c>
      <c r="AC18" s="2434"/>
      <c r="AD18" s="2434"/>
      <c r="AE18" s="767" t="s">
        <v>2322</v>
      </c>
      <c r="AH18" s="731" t="s">
        <v>2323</v>
      </c>
      <c r="AI18" s="885" t="s">
        <v>2318</v>
      </c>
      <c r="AJ18" s="2434" t="s">
        <v>2319</v>
      </c>
      <c r="AK18" s="2434"/>
      <c r="AL18" s="2434"/>
      <c r="AM18" s="2434" t="s">
        <v>2324</v>
      </c>
      <c r="AN18" s="2434"/>
      <c r="AO18" s="2434"/>
      <c r="AP18" s="2434" t="s">
        <v>2321</v>
      </c>
      <c r="AQ18" s="2434"/>
      <c r="AR18" s="2434"/>
    </row>
    <row r="19" spans="1:44" outlineLevel="1">
      <c r="A19" s="3269">
        <v>57.7</v>
      </c>
      <c r="B19" s="3271">
        <v>1</v>
      </c>
      <c r="C19" s="3266">
        <v>865.57</v>
      </c>
      <c r="D19" s="3266"/>
      <c r="E19" s="3266"/>
      <c r="F19" s="3266">
        <v>865.54</v>
      </c>
      <c r="G19" s="3266"/>
      <c r="H19" s="3266"/>
      <c r="I19" s="3194">
        <f t="shared" ref="I19:I25" si="0">(C19-F19)/1500*100</f>
        <v>2.0000000000057602E-3</v>
      </c>
      <c r="J19" s="3194"/>
      <c r="K19" s="3194"/>
      <c r="L19" s="2375">
        <f>2*(0.00002^2+0.00005^2+0.00000029^2)^0.5</f>
        <v>1.07704857829162E-4</v>
      </c>
      <c r="T19" s="3269">
        <v>57.7</v>
      </c>
      <c r="U19" s="3271">
        <v>1</v>
      </c>
      <c r="V19" s="3266">
        <v>865.57</v>
      </c>
      <c r="W19" s="3266"/>
      <c r="X19" s="3266"/>
      <c r="Y19" s="3266">
        <v>865.54</v>
      </c>
      <c r="Z19" s="3266"/>
      <c r="AA19" s="3266"/>
      <c r="AB19" s="3194">
        <f t="shared" ref="AB19:AB25" si="1">(V19-Y19)/1500*100</f>
        <v>2.0000000000057602E-3</v>
      </c>
      <c r="AC19" s="3194"/>
      <c r="AD19" s="3194"/>
      <c r="AE19" s="2375">
        <f>2*(0.00002^2+0.00005^2+0.00000029^2)^0.5</f>
        <v>1.07704857829162E-4</v>
      </c>
      <c r="AH19" s="3269">
        <v>57.7</v>
      </c>
      <c r="AI19" s="3271">
        <v>1</v>
      </c>
      <c r="AJ19" s="3266">
        <v>865.57</v>
      </c>
      <c r="AK19" s="3266"/>
      <c r="AL19" s="3266"/>
      <c r="AM19" s="3266">
        <v>865.54</v>
      </c>
      <c r="AN19" s="3266"/>
      <c r="AO19" s="3266"/>
      <c r="AP19" s="3194">
        <f t="shared" ref="AP19:AP25" si="2">(AJ19-AM19)/1500*100</f>
        <v>2.0000000000057602E-3</v>
      </c>
      <c r="AQ19" s="3194"/>
      <c r="AR19" s="3194"/>
    </row>
    <row r="20" spans="1:44" outlineLevel="1">
      <c r="A20" s="3270"/>
      <c r="B20" s="3272"/>
      <c r="C20" s="3266">
        <v>692.47</v>
      </c>
      <c r="D20" s="3266"/>
      <c r="E20" s="3266"/>
      <c r="F20" s="3266">
        <v>692.45</v>
      </c>
      <c r="G20" s="3266"/>
      <c r="H20" s="3266"/>
      <c r="I20" s="3194">
        <f t="shared" si="0"/>
        <v>1.3333333333321207E-3</v>
      </c>
      <c r="J20" s="3194"/>
      <c r="K20" s="3194"/>
      <c r="L20" s="2376"/>
      <c r="M20" s="702" t="s">
        <v>2325</v>
      </c>
      <c r="T20" s="3270"/>
      <c r="U20" s="3272"/>
      <c r="V20" s="3266">
        <v>692.47</v>
      </c>
      <c r="W20" s="3266"/>
      <c r="X20" s="3266"/>
      <c r="Y20" s="3266">
        <v>692.45</v>
      </c>
      <c r="Z20" s="3266"/>
      <c r="AA20" s="3266"/>
      <c r="AB20" s="3194">
        <f t="shared" si="1"/>
        <v>1.3333333333321207E-3</v>
      </c>
      <c r="AC20" s="3194"/>
      <c r="AD20" s="3194"/>
      <c r="AE20" s="2376"/>
      <c r="AH20" s="3270"/>
      <c r="AI20" s="3272"/>
      <c r="AJ20" s="3266">
        <v>692.47</v>
      </c>
      <c r="AK20" s="3266"/>
      <c r="AL20" s="3266"/>
      <c r="AM20" s="3266">
        <v>692.45</v>
      </c>
      <c r="AN20" s="3266"/>
      <c r="AO20" s="3266"/>
      <c r="AP20" s="3194">
        <f t="shared" si="2"/>
        <v>1.3333333333321207E-3</v>
      </c>
      <c r="AQ20" s="3194"/>
      <c r="AR20" s="3194"/>
    </row>
    <row r="21" spans="1:44" outlineLevel="1">
      <c r="A21" s="3270"/>
      <c r="B21" s="3272"/>
      <c r="C21" s="3266">
        <v>519.35</v>
      </c>
      <c r="D21" s="3266"/>
      <c r="E21" s="3266"/>
      <c r="F21" s="3266">
        <v>519.34</v>
      </c>
      <c r="G21" s="3266"/>
      <c r="H21" s="3266"/>
      <c r="I21" s="3194">
        <f t="shared" si="0"/>
        <v>6.6666666666606036E-4</v>
      </c>
      <c r="J21" s="3194"/>
      <c r="K21" s="3194"/>
      <c r="L21" s="2376"/>
      <c r="T21" s="3270"/>
      <c r="U21" s="3272"/>
      <c r="V21" s="3266">
        <v>519.35</v>
      </c>
      <c r="W21" s="3266"/>
      <c r="X21" s="3266"/>
      <c r="Y21" s="3266">
        <v>519.34</v>
      </c>
      <c r="Z21" s="3266"/>
      <c r="AA21" s="3266"/>
      <c r="AB21" s="3194">
        <f t="shared" si="1"/>
        <v>6.6666666666606036E-4</v>
      </c>
      <c r="AC21" s="3194"/>
      <c r="AD21" s="3194"/>
      <c r="AE21" s="2376"/>
      <c r="AH21" s="3270"/>
      <c r="AI21" s="3272"/>
      <c r="AJ21" s="3266">
        <v>519.35</v>
      </c>
      <c r="AK21" s="3266"/>
      <c r="AL21" s="3266"/>
      <c r="AM21" s="3266">
        <v>519.34</v>
      </c>
      <c r="AN21" s="3266"/>
      <c r="AO21" s="3266"/>
      <c r="AP21" s="3194">
        <f t="shared" si="2"/>
        <v>6.6666666666606036E-4</v>
      </c>
      <c r="AQ21" s="3194"/>
      <c r="AR21" s="3194"/>
    </row>
    <row r="22" spans="1:44" outlineLevel="1">
      <c r="A22" s="3270"/>
      <c r="B22" s="3272"/>
      <c r="C22" s="3266">
        <v>346.25</v>
      </c>
      <c r="D22" s="3266"/>
      <c r="E22" s="3266"/>
      <c r="F22" s="3266">
        <v>346.23</v>
      </c>
      <c r="G22" s="3266"/>
      <c r="H22" s="3266"/>
      <c r="I22" s="3194">
        <f t="shared" si="0"/>
        <v>1.3333333333321207E-3</v>
      </c>
      <c r="J22" s="3194"/>
      <c r="K22" s="3194"/>
      <c r="L22" s="2376"/>
      <c r="T22" s="3270"/>
      <c r="U22" s="3272"/>
      <c r="V22" s="3266">
        <v>346.25</v>
      </c>
      <c r="W22" s="3266"/>
      <c r="X22" s="3266"/>
      <c r="Y22" s="3266">
        <v>346.23</v>
      </c>
      <c r="Z22" s="3266"/>
      <c r="AA22" s="3266"/>
      <c r="AB22" s="3194">
        <f t="shared" si="1"/>
        <v>1.3333333333321207E-3</v>
      </c>
      <c r="AC22" s="3194"/>
      <c r="AD22" s="3194"/>
      <c r="AE22" s="2376"/>
      <c r="AH22" s="3270"/>
      <c r="AI22" s="3272"/>
      <c r="AJ22" s="3266">
        <v>346.25</v>
      </c>
      <c r="AK22" s="3266"/>
      <c r="AL22" s="3266"/>
      <c r="AM22" s="3266">
        <v>346.23</v>
      </c>
      <c r="AN22" s="3266"/>
      <c r="AO22" s="3266"/>
      <c r="AP22" s="3194">
        <f t="shared" si="2"/>
        <v>1.3333333333321207E-3</v>
      </c>
      <c r="AQ22" s="3194"/>
      <c r="AR22" s="3194"/>
    </row>
    <row r="23" spans="1:44" outlineLevel="1">
      <c r="A23" s="3267" t="s">
        <v>2326</v>
      </c>
      <c r="B23" s="3272"/>
      <c r="C23" s="3266">
        <v>173.12</v>
      </c>
      <c r="D23" s="3266"/>
      <c r="E23" s="3266"/>
      <c r="F23" s="3266">
        <v>173.1</v>
      </c>
      <c r="G23" s="3266"/>
      <c r="H23" s="3266"/>
      <c r="I23" s="3194">
        <f t="shared" si="0"/>
        <v>1.3333333333340155E-3</v>
      </c>
      <c r="J23" s="3194"/>
      <c r="K23" s="3194"/>
      <c r="L23" s="2376"/>
      <c r="T23" s="3267" t="s">
        <v>2326</v>
      </c>
      <c r="U23" s="3272"/>
      <c r="V23" s="3266">
        <v>173.12</v>
      </c>
      <c r="W23" s="3266"/>
      <c r="X23" s="3266"/>
      <c r="Y23" s="3266">
        <v>173.1</v>
      </c>
      <c r="Z23" s="3266"/>
      <c r="AA23" s="3266"/>
      <c r="AB23" s="3194">
        <f t="shared" si="1"/>
        <v>1.3333333333340155E-3</v>
      </c>
      <c r="AC23" s="3194"/>
      <c r="AD23" s="3194"/>
      <c r="AE23" s="2376"/>
      <c r="AH23" s="3267" t="s">
        <v>2326</v>
      </c>
      <c r="AI23" s="3272"/>
      <c r="AJ23" s="3266">
        <v>173.12</v>
      </c>
      <c r="AK23" s="3266"/>
      <c r="AL23" s="3266"/>
      <c r="AM23" s="3266">
        <v>173.1</v>
      </c>
      <c r="AN23" s="3266"/>
      <c r="AO23" s="3266"/>
      <c r="AP23" s="3194">
        <f t="shared" si="2"/>
        <v>1.3333333333340155E-3</v>
      </c>
      <c r="AQ23" s="3194"/>
      <c r="AR23" s="3194"/>
    </row>
    <row r="24" spans="1:44" outlineLevel="1">
      <c r="A24" s="3267"/>
      <c r="B24" s="1673" t="s">
        <v>2327</v>
      </c>
      <c r="C24" s="3266">
        <v>433.15</v>
      </c>
      <c r="D24" s="3266"/>
      <c r="E24" s="3266"/>
      <c r="F24" s="3266">
        <v>433.18</v>
      </c>
      <c r="G24" s="3266"/>
      <c r="H24" s="3266"/>
      <c r="I24" s="3194">
        <f t="shared" si="0"/>
        <v>-2.0000000000019707E-3</v>
      </c>
      <c r="J24" s="3194"/>
      <c r="K24" s="3194"/>
      <c r="L24" s="2376"/>
      <c r="T24" s="3267"/>
      <c r="U24" s="879" t="s">
        <v>2327</v>
      </c>
      <c r="V24" s="3266">
        <v>433.15</v>
      </c>
      <c r="W24" s="3266"/>
      <c r="X24" s="3266"/>
      <c r="Y24" s="3266">
        <v>433.18</v>
      </c>
      <c r="Z24" s="3266"/>
      <c r="AA24" s="3266"/>
      <c r="AB24" s="3194">
        <f t="shared" si="1"/>
        <v>-2.0000000000019707E-3</v>
      </c>
      <c r="AC24" s="3194"/>
      <c r="AD24" s="3194"/>
      <c r="AE24" s="2376"/>
      <c r="AH24" s="3267"/>
      <c r="AI24" s="879" t="s">
        <v>2327</v>
      </c>
      <c r="AJ24" s="3266">
        <v>433.15</v>
      </c>
      <c r="AK24" s="3266"/>
      <c r="AL24" s="3266"/>
      <c r="AM24" s="3266">
        <v>433.18</v>
      </c>
      <c r="AN24" s="3266"/>
      <c r="AO24" s="3266"/>
      <c r="AP24" s="3194">
        <f t="shared" si="2"/>
        <v>-2.0000000000019707E-3</v>
      </c>
      <c r="AQ24" s="3194"/>
      <c r="AR24" s="3194"/>
    </row>
    <row r="25" spans="1:44" outlineLevel="1">
      <c r="A25" s="3268"/>
      <c r="B25" s="790" t="s">
        <v>2328</v>
      </c>
      <c r="C25" s="3266">
        <v>432.45</v>
      </c>
      <c r="D25" s="3266"/>
      <c r="E25" s="3266"/>
      <c r="F25" s="3266">
        <v>432.43</v>
      </c>
      <c r="G25" s="3266"/>
      <c r="H25" s="3266"/>
      <c r="I25" s="3194">
        <f t="shared" si="0"/>
        <v>1.3333333333321207E-3</v>
      </c>
      <c r="J25" s="3194"/>
      <c r="K25" s="3194"/>
      <c r="L25" s="2377"/>
      <c r="T25" s="3268"/>
      <c r="U25" s="790" t="s">
        <v>2329</v>
      </c>
      <c r="V25" s="3266">
        <v>432.45</v>
      </c>
      <c r="W25" s="3266"/>
      <c r="X25" s="3266"/>
      <c r="Y25" s="3266">
        <v>432.43</v>
      </c>
      <c r="Z25" s="3266"/>
      <c r="AA25" s="3266"/>
      <c r="AB25" s="3194">
        <f t="shared" si="1"/>
        <v>1.3333333333321207E-3</v>
      </c>
      <c r="AC25" s="3194"/>
      <c r="AD25" s="3194"/>
      <c r="AE25" s="2377"/>
      <c r="AH25" s="3268"/>
      <c r="AI25" s="790" t="s">
        <v>2329</v>
      </c>
      <c r="AJ25" s="3266">
        <v>432.45</v>
      </c>
      <c r="AK25" s="3266"/>
      <c r="AL25" s="3266"/>
      <c r="AM25" s="3266">
        <v>432.43</v>
      </c>
      <c r="AN25" s="3266"/>
      <c r="AO25" s="3266"/>
      <c r="AP25" s="3194">
        <f t="shared" si="2"/>
        <v>1.3333333333321207E-3</v>
      </c>
      <c r="AQ25" s="3194"/>
      <c r="AR25" s="3194"/>
    </row>
    <row r="26" spans="1:44" outlineLevel="1">
      <c r="A26" s="3216" t="s">
        <v>4415</v>
      </c>
      <c r="B26" s="3024"/>
      <c r="C26" s="3024"/>
      <c r="D26" s="3024"/>
      <c r="E26" s="3024"/>
      <c r="F26" s="3024"/>
      <c r="G26" s="3024"/>
      <c r="H26" s="3024"/>
      <c r="I26" s="3024"/>
      <c r="J26" s="3024"/>
      <c r="K26" s="3024"/>
      <c r="L26" s="723"/>
      <c r="T26" s="3024" t="s">
        <v>2330</v>
      </c>
      <c r="U26" s="3024"/>
      <c r="V26" s="3024"/>
      <c r="W26" s="3024"/>
      <c r="X26" s="3024"/>
      <c r="Y26" s="3024"/>
      <c r="Z26" s="3024"/>
      <c r="AA26" s="3024"/>
      <c r="AB26" s="3024"/>
      <c r="AC26" s="3024"/>
      <c r="AD26" s="3024"/>
      <c r="AE26" s="723"/>
      <c r="AH26" s="3024" t="s">
        <v>2330</v>
      </c>
      <c r="AI26" s="3024"/>
      <c r="AJ26" s="3024"/>
      <c r="AK26" s="3024"/>
      <c r="AL26" s="3024"/>
      <c r="AM26" s="3024"/>
      <c r="AN26" s="3024"/>
      <c r="AO26" s="3024"/>
      <c r="AP26" s="3024"/>
      <c r="AQ26" s="3024"/>
      <c r="AR26" s="3024"/>
    </row>
    <row r="27" spans="1:44" ht="57" outlineLevel="1">
      <c r="A27" s="731" t="s">
        <v>2317</v>
      </c>
      <c r="B27" s="731" t="s">
        <v>2331</v>
      </c>
      <c r="C27" s="2434" t="s">
        <v>2332</v>
      </c>
      <c r="D27" s="2434"/>
      <c r="E27" s="2434"/>
      <c r="F27" s="2434" t="s">
        <v>2320</v>
      </c>
      <c r="G27" s="2434"/>
      <c r="H27" s="2434"/>
      <c r="I27" s="2385" t="s">
        <v>2333</v>
      </c>
      <c r="J27" s="2386"/>
      <c r="K27" s="2379"/>
      <c r="L27" s="767" t="s">
        <v>2334</v>
      </c>
      <c r="T27" s="731" t="s">
        <v>2317</v>
      </c>
      <c r="U27" s="731" t="s">
        <v>2331</v>
      </c>
      <c r="V27" s="2434" t="s">
        <v>2332</v>
      </c>
      <c r="W27" s="2434"/>
      <c r="X27" s="2434"/>
      <c r="Y27" s="2434" t="s">
        <v>2320</v>
      </c>
      <c r="Z27" s="2434"/>
      <c r="AA27" s="2434"/>
      <c r="AB27" s="2385" t="s">
        <v>2333</v>
      </c>
      <c r="AC27" s="2386"/>
      <c r="AD27" s="2379"/>
      <c r="AE27" s="767" t="s">
        <v>2334</v>
      </c>
      <c r="AH27" s="731" t="s">
        <v>2317</v>
      </c>
      <c r="AI27" s="731" t="s">
        <v>2331</v>
      </c>
      <c r="AJ27" s="2434" t="s">
        <v>2332</v>
      </c>
      <c r="AK27" s="2434"/>
      <c r="AL27" s="2434"/>
      <c r="AM27" s="2434" t="s">
        <v>2320</v>
      </c>
      <c r="AN27" s="2434"/>
      <c r="AO27" s="2434"/>
      <c r="AP27" s="2385" t="s">
        <v>2333</v>
      </c>
      <c r="AQ27" s="2386"/>
      <c r="AR27" s="2379"/>
    </row>
    <row r="28" spans="1:44" outlineLevel="1">
      <c r="A28" s="1749">
        <v>100</v>
      </c>
      <c r="B28" s="1749">
        <v>1</v>
      </c>
      <c r="C28" s="3256">
        <v>866.23</v>
      </c>
      <c r="D28" s="3257"/>
      <c r="E28" s="3258"/>
      <c r="F28" s="3250">
        <v>866.08</v>
      </c>
      <c r="G28" s="3250"/>
      <c r="H28" s="3250"/>
      <c r="I28" s="3251">
        <f t="shared" ref="I28:I34" si="3">(C28-F28)/866*100</f>
        <v>1.7321016166279127E-2</v>
      </c>
      <c r="J28" s="3252"/>
      <c r="K28" s="3253"/>
      <c r="L28" s="3263">
        <f>2*(0.00003^2+0.00005^2+0.00000029^2)^0.5</f>
        <v>1.1662048019108822E-4</v>
      </c>
      <c r="T28" s="3259">
        <v>100</v>
      </c>
      <c r="U28" s="3261">
        <v>1</v>
      </c>
      <c r="V28" s="3256">
        <v>866.23</v>
      </c>
      <c r="W28" s="3257"/>
      <c r="X28" s="3258"/>
      <c r="Y28" s="3250">
        <v>866.08</v>
      </c>
      <c r="Z28" s="3250"/>
      <c r="AA28" s="3250"/>
      <c r="AB28" s="3251">
        <f t="shared" ref="AB28:AB34" si="4">(V28-Y28)/866*100</f>
        <v>1.7321016166279127E-2</v>
      </c>
      <c r="AC28" s="3252"/>
      <c r="AD28" s="3253"/>
      <c r="AE28" s="3263">
        <f>2*(0.00003^2+0.00005^2+0.00000029^2)^0.5</f>
        <v>1.1662048019108822E-4</v>
      </c>
      <c r="AH28" s="3259">
        <v>100</v>
      </c>
      <c r="AI28" s="3261">
        <v>1</v>
      </c>
      <c r="AJ28" s="3256">
        <v>866.23</v>
      </c>
      <c r="AK28" s="3257"/>
      <c r="AL28" s="3258"/>
      <c r="AM28" s="3250">
        <v>866.08</v>
      </c>
      <c r="AN28" s="3250"/>
      <c r="AO28" s="3250"/>
      <c r="AP28" s="3251">
        <f t="shared" ref="AP28:AP34" si="5">(AJ28-AM28)/866*100</f>
        <v>1.7321016166279127E-2</v>
      </c>
      <c r="AQ28" s="3252"/>
      <c r="AR28" s="3253"/>
    </row>
    <row r="29" spans="1:44" outlineLevel="1">
      <c r="A29" s="1749"/>
      <c r="B29" s="1749"/>
      <c r="C29" s="3256">
        <v>692.87</v>
      </c>
      <c r="D29" s="3257"/>
      <c r="E29" s="3258"/>
      <c r="F29" s="3250">
        <v>692.81</v>
      </c>
      <c r="G29" s="3250"/>
      <c r="H29" s="3250"/>
      <c r="I29" s="3251">
        <f t="shared" si="3"/>
        <v>6.9284064665195285E-3</v>
      </c>
      <c r="J29" s="3252"/>
      <c r="K29" s="3253"/>
      <c r="L29" s="3264"/>
      <c r="T29" s="3260"/>
      <c r="U29" s="3262"/>
      <c r="V29" s="3256">
        <v>692.87</v>
      </c>
      <c r="W29" s="3257"/>
      <c r="X29" s="3258"/>
      <c r="Y29" s="3250">
        <v>692.81</v>
      </c>
      <c r="Z29" s="3250"/>
      <c r="AA29" s="3250"/>
      <c r="AB29" s="3251">
        <f t="shared" si="4"/>
        <v>6.9284064665195285E-3</v>
      </c>
      <c r="AC29" s="3252"/>
      <c r="AD29" s="3253"/>
      <c r="AE29" s="3264"/>
      <c r="AH29" s="3260"/>
      <c r="AI29" s="3262"/>
      <c r="AJ29" s="3256">
        <v>692.87</v>
      </c>
      <c r="AK29" s="3257"/>
      <c r="AL29" s="3258"/>
      <c r="AM29" s="3250">
        <v>692.81</v>
      </c>
      <c r="AN29" s="3250"/>
      <c r="AO29" s="3250"/>
      <c r="AP29" s="3251">
        <f t="shared" si="5"/>
        <v>6.9284064665195285E-3</v>
      </c>
      <c r="AQ29" s="3252"/>
      <c r="AR29" s="3253"/>
    </row>
    <row r="30" spans="1:44" outlineLevel="1">
      <c r="A30" s="1749"/>
      <c r="B30" s="1749"/>
      <c r="C30" s="3256">
        <v>519.55999999999995</v>
      </c>
      <c r="D30" s="3257"/>
      <c r="E30" s="3258"/>
      <c r="F30" s="3250">
        <v>519.52</v>
      </c>
      <c r="G30" s="3250"/>
      <c r="H30" s="3250"/>
      <c r="I30" s="3251">
        <f t="shared" si="3"/>
        <v>4.6189376443376007E-3</v>
      </c>
      <c r="J30" s="3252"/>
      <c r="K30" s="3253"/>
      <c r="L30" s="3264"/>
      <c r="T30" s="3260"/>
      <c r="U30" s="3262"/>
      <c r="V30" s="3256">
        <v>519.55999999999995</v>
      </c>
      <c r="W30" s="3257"/>
      <c r="X30" s="3258"/>
      <c r="Y30" s="3250">
        <v>519.52</v>
      </c>
      <c r="Z30" s="3250"/>
      <c r="AA30" s="3250"/>
      <c r="AB30" s="3251">
        <f t="shared" si="4"/>
        <v>4.6189376443376007E-3</v>
      </c>
      <c r="AC30" s="3252"/>
      <c r="AD30" s="3253"/>
      <c r="AE30" s="3264"/>
      <c r="AH30" s="3260"/>
      <c r="AI30" s="3262"/>
      <c r="AJ30" s="3256">
        <v>519.55999999999995</v>
      </c>
      <c r="AK30" s="3257"/>
      <c r="AL30" s="3258"/>
      <c r="AM30" s="3250">
        <v>519.52</v>
      </c>
      <c r="AN30" s="3250"/>
      <c r="AO30" s="3250"/>
      <c r="AP30" s="3251">
        <f t="shared" si="5"/>
        <v>4.6189376443376007E-3</v>
      </c>
      <c r="AQ30" s="3252"/>
      <c r="AR30" s="3253"/>
    </row>
    <row r="31" spans="1:44" outlineLevel="1">
      <c r="A31" s="1749"/>
      <c r="B31" s="1749"/>
      <c r="C31" s="3256">
        <v>346.51</v>
      </c>
      <c r="D31" s="3257"/>
      <c r="E31" s="3258"/>
      <c r="F31" s="3250">
        <v>346.42</v>
      </c>
      <c r="G31" s="3250"/>
      <c r="H31" s="3250"/>
      <c r="I31" s="3251">
        <f t="shared" si="3"/>
        <v>1.0392609699766164E-2</v>
      </c>
      <c r="J31" s="3252"/>
      <c r="K31" s="3253"/>
      <c r="L31" s="3264"/>
      <c r="T31" s="3260"/>
      <c r="U31" s="3262"/>
      <c r="V31" s="3256">
        <v>346.51</v>
      </c>
      <c r="W31" s="3257"/>
      <c r="X31" s="3258"/>
      <c r="Y31" s="3250">
        <v>346.42</v>
      </c>
      <c r="Z31" s="3250"/>
      <c r="AA31" s="3250"/>
      <c r="AB31" s="3251">
        <f t="shared" si="4"/>
        <v>1.0392609699766164E-2</v>
      </c>
      <c r="AC31" s="3252"/>
      <c r="AD31" s="3253"/>
      <c r="AE31" s="3264"/>
      <c r="AH31" s="3260"/>
      <c r="AI31" s="3262"/>
      <c r="AJ31" s="3256">
        <v>346.51</v>
      </c>
      <c r="AK31" s="3257"/>
      <c r="AL31" s="3258"/>
      <c r="AM31" s="3250">
        <v>346.42</v>
      </c>
      <c r="AN31" s="3250"/>
      <c r="AO31" s="3250"/>
      <c r="AP31" s="3251">
        <f t="shared" si="5"/>
        <v>1.0392609699766164E-2</v>
      </c>
      <c r="AQ31" s="3252"/>
      <c r="AR31" s="3253"/>
    </row>
    <row r="32" spans="1:44" outlineLevel="1">
      <c r="A32" s="1749" t="s">
        <v>2335</v>
      </c>
      <c r="B32" s="1749"/>
      <c r="C32" s="3256">
        <v>173.22</v>
      </c>
      <c r="D32" s="3257"/>
      <c r="E32" s="3258"/>
      <c r="F32" s="3250">
        <v>173.2</v>
      </c>
      <c r="G32" s="3250"/>
      <c r="H32" s="3250"/>
      <c r="I32" s="3251">
        <f t="shared" si="3"/>
        <v>2.3094688221720824E-3</v>
      </c>
      <c r="J32" s="3252"/>
      <c r="K32" s="3253"/>
      <c r="L32" s="3264"/>
      <c r="T32" s="3254" t="s">
        <v>2335</v>
      </c>
      <c r="U32" s="3262"/>
      <c r="V32" s="3256">
        <v>173.22</v>
      </c>
      <c r="W32" s="3257"/>
      <c r="X32" s="3258"/>
      <c r="Y32" s="3250">
        <v>173.2</v>
      </c>
      <c r="Z32" s="3250"/>
      <c r="AA32" s="3250"/>
      <c r="AB32" s="3251">
        <f t="shared" si="4"/>
        <v>2.3094688221720824E-3</v>
      </c>
      <c r="AC32" s="3252"/>
      <c r="AD32" s="3253"/>
      <c r="AE32" s="3264"/>
      <c r="AH32" s="3254" t="s">
        <v>2335</v>
      </c>
      <c r="AI32" s="3262"/>
      <c r="AJ32" s="3256">
        <v>173.22</v>
      </c>
      <c r="AK32" s="3257"/>
      <c r="AL32" s="3258"/>
      <c r="AM32" s="3250">
        <v>173.2</v>
      </c>
      <c r="AN32" s="3250"/>
      <c r="AO32" s="3250"/>
      <c r="AP32" s="3251">
        <f t="shared" si="5"/>
        <v>2.3094688221720824E-3</v>
      </c>
      <c r="AQ32" s="3252"/>
      <c r="AR32" s="3253"/>
    </row>
    <row r="33" spans="1:44" outlineLevel="1">
      <c r="A33" s="1749"/>
      <c r="B33" t="s">
        <v>2336</v>
      </c>
      <c r="C33" s="3256">
        <v>433.07</v>
      </c>
      <c r="D33" s="3257"/>
      <c r="E33" s="3258"/>
      <c r="F33" s="3250">
        <v>433.15</v>
      </c>
      <c r="G33" s="3250"/>
      <c r="H33" s="3250"/>
      <c r="I33" s="3251">
        <f t="shared" si="3"/>
        <v>-9.2378752886817638E-3</v>
      </c>
      <c r="J33" s="3252"/>
      <c r="K33" s="3253"/>
      <c r="L33" s="3264"/>
      <c r="T33" s="3254"/>
      <c r="U33" s="717" t="s">
        <v>2336</v>
      </c>
      <c r="V33" s="3256">
        <v>433.07</v>
      </c>
      <c r="W33" s="3257"/>
      <c r="X33" s="3258"/>
      <c r="Y33" s="3250">
        <v>433.15</v>
      </c>
      <c r="Z33" s="3250"/>
      <c r="AA33" s="3250"/>
      <c r="AB33" s="3251">
        <f t="shared" si="4"/>
        <v>-9.2378752886817638E-3</v>
      </c>
      <c r="AC33" s="3252"/>
      <c r="AD33" s="3253"/>
      <c r="AE33" s="3264"/>
      <c r="AH33" s="3254"/>
      <c r="AI33" s="717" t="s">
        <v>2336</v>
      </c>
      <c r="AJ33" s="3256">
        <v>433.07</v>
      </c>
      <c r="AK33" s="3257"/>
      <c r="AL33" s="3258"/>
      <c r="AM33" s="3250">
        <v>433.15</v>
      </c>
      <c r="AN33" s="3250"/>
      <c r="AO33" s="3250"/>
      <c r="AP33" s="3251">
        <f t="shared" si="5"/>
        <v>-9.2378752886817638E-3</v>
      </c>
      <c r="AQ33" s="3252"/>
      <c r="AR33" s="3253"/>
    </row>
    <row r="34" spans="1:44" outlineLevel="1">
      <c r="A34" s="1749"/>
      <c r="B34" t="s">
        <v>2329</v>
      </c>
      <c r="C34" s="3256">
        <v>433</v>
      </c>
      <c r="D34" s="3257"/>
      <c r="E34" s="3258"/>
      <c r="F34" s="3250">
        <v>432.71</v>
      </c>
      <c r="G34" s="3250"/>
      <c r="H34" s="3250"/>
      <c r="I34" s="3251">
        <f t="shared" si="3"/>
        <v>3.3487297921480426E-2</v>
      </c>
      <c r="J34" s="3252"/>
      <c r="K34" s="3253"/>
      <c r="L34" s="3265"/>
      <c r="T34" s="3255"/>
      <c r="U34" s="698" t="s">
        <v>2329</v>
      </c>
      <c r="V34" s="3256">
        <v>433</v>
      </c>
      <c r="W34" s="3257"/>
      <c r="X34" s="3258"/>
      <c r="Y34" s="3250">
        <v>432.71</v>
      </c>
      <c r="Z34" s="3250"/>
      <c r="AA34" s="3250"/>
      <c r="AB34" s="3251">
        <f t="shared" si="4"/>
        <v>3.3487297921480426E-2</v>
      </c>
      <c r="AC34" s="3252"/>
      <c r="AD34" s="3253"/>
      <c r="AE34" s="3265"/>
      <c r="AH34" s="3255"/>
      <c r="AI34" s="698" t="s">
        <v>2329</v>
      </c>
      <c r="AJ34" s="3256">
        <v>433</v>
      </c>
      <c r="AK34" s="3257"/>
      <c r="AL34" s="3258"/>
      <c r="AM34" s="3250">
        <v>432.71</v>
      </c>
      <c r="AN34" s="3250"/>
      <c r="AO34" s="3250"/>
      <c r="AP34" s="3251">
        <f t="shared" si="5"/>
        <v>3.3487297921480426E-2</v>
      </c>
      <c r="AQ34" s="3252"/>
      <c r="AR34" s="3253"/>
    </row>
    <row r="35" spans="1:44" outlineLevel="1">
      <c r="A35" s="888"/>
      <c r="B35" s="802"/>
      <c r="C35" s="802"/>
      <c r="D35" s="802"/>
      <c r="E35" s="889"/>
      <c r="F35" s="889"/>
      <c r="G35" s="889"/>
      <c r="H35" s="889"/>
      <c r="I35" s="889"/>
      <c r="J35" s="889"/>
      <c r="K35" s="890"/>
      <c r="L35" s="723"/>
    </row>
    <row r="38" spans="1:44">
      <c r="A38" s="702" t="s">
        <v>2264</v>
      </c>
    </row>
    <row r="39" spans="1:44">
      <c r="B39" s="702" t="s">
        <v>2337</v>
      </c>
    </row>
  </sheetData>
  <mergeCells count="175">
    <mergeCell ref="A1:C1"/>
    <mergeCell ref="A3:C3"/>
    <mergeCell ref="A15:F15"/>
    <mergeCell ref="A17:K17"/>
    <mergeCell ref="C18:E18"/>
    <mergeCell ref="F18:H18"/>
    <mergeCell ref="I18:K18"/>
    <mergeCell ref="C25:E25"/>
    <mergeCell ref="F25:H25"/>
    <mergeCell ref="I25:K25"/>
    <mergeCell ref="C24:E24"/>
    <mergeCell ref="A19:A22"/>
    <mergeCell ref="B19:B23"/>
    <mergeCell ref="C19:E19"/>
    <mergeCell ref="F19:H19"/>
    <mergeCell ref="I19:K19"/>
    <mergeCell ref="C20:E20"/>
    <mergeCell ref="F20:H20"/>
    <mergeCell ref="I20:K20"/>
    <mergeCell ref="C21:E21"/>
    <mergeCell ref="C27:E27"/>
    <mergeCell ref="F27:H27"/>
    <mergeCell ref="I27:K27"/>
    <mergeCell ref="A28:A31"/>
    <mergeCell ref="B28:B32"/>
    <mergeCell ref="C28:E28"/>
    <mergeCell ref="F28:H28"/>
    <mergeCell ref="I28:K28"/>
    <mergeCell ref="A32:A34"/>
    <mergeCell ref="C32:E32"/>
    <mergeCell ref="C33:E33"/>
    <mergeCell ref="F33:H33"/>
    <mergeCell ref="I33:K33"/>
    <mergeCell ref="C34:E34"/>
    <mergeCell ref="F34:H34"/>
    <mergeCell ref="I34:K34"/>
    <mergeCell ref="C29:E29"/>
    <mergeCell ref="F29:H29"/>
    <mergeCell ref="I29:K29"/>
    <mergeCell ref="C30:E30"/>
    <mergeCell ref="F30:H30"/>
    <mergeCell ref="I30:K30"/>
    <mergeCell ref="C31:E31"/>
    <mergeCell ref="F31:H31"/>
    <mergeCell ref="I31:K31"/>
    <mergeCell ref="F32:H32"/>
    <mergeCell ref="I32:K32"/>
    <mergeCell ref="F24:H24"/>
    <mergeCell ref="I24:K24"/>
    <mergeCell ref="L19:L25"/>
    <mergeCell ref="V21:X21"/>
    <mergeCell ref="Y21:AA21"/>
    <mergeCell ref="AB21:AD21"/>
    <mergeCell ref="AJ21:AL21"/>
    <mergeCell ref="AH19:AH22"/>
    <mergeCell ref="AI19:AI23"/>
    <mergeCell ref="AJ19:AL19"/>
    <mergeCell ref="AJ22:AL22"/>
    <mergeCell ref="L28:L34"/>
    <mergeCell ref="A26:K26"/>
    <mergeCell ref="F21:H21"/>
    <mergeCell ref="I21:K21"/>
    <mergeCell ref="C22:E22"/>
    <mergeCell ref="F22:H22"/>
    <mergeCell ref="I22:K22"/>
    <mergeCell ref="A23:A25"/>
    <mergeCell ref="C23:E23"/>
    <mergeCell ref="F23:H23"/>
    <mergeCell ref="I23:K23"/>
    <mergeCell ref="V25:X25"/>
    <mergeCell ref="AB19:AD19"/>
    <mergeCell ref="AE19:AE25"/>
    <mergeCell ref="V22:X22"/>
    <mergeCell ref="Y22:AA22"/>
    <mergeCell ref="V24:X24"/>
    <mergeCell ref="Y24:AA24"/>
    <mergeCell ref="AB24:AD24"/>
    <mergeCell ref="AP22:AR22"/>
    <mergeCell ref="T17:AD17"/>
    <mergeCell ref="AH17:AR17"/>
    <mergeCell ref="V18:X18"/>
    <mergeCell ref="Y18:AA18"/>
    <mergeCell ref="AB18:AD18"/>
    <mergeCell ref="AJ18:AL18"/>
    <mergeCell ref="AM18:AO18"/>
    <mergeCell ref="AP18:AR18"/>
    <mergeCell ref="AM21:AO21"/>
    <mergeCell ref="AP21:AR21"/>
    <mergeCell ref="AM19:AO19"/>
    <mergeCell ref="T19:T22"/>
    <mergeCell ref="U19:U23"/>
    <mergeCell ref="AB22:AD22"/>
    <mergeCell ref="AP19:AR19"/>
    <mergeCell ref="V20:X20"/>
    <mergeCell ref="Y20:AA20"/>
    <mergeCell ref="AB20:AD20"/>
    <mergeCell ref="AJ20:AL20"/>
    <mergeCell ref="AM20:AO20"/>
    <mergeCell ref="AP20:AR20"/>
    <mergeCell ref="V19:X19"/>
    <mergeCell ref="Y19:AA19"/>
    <mergeCell ref="AJ24:AL24"/>
    <mergeCell ref="AM24:AO24"/>
    <mergeCell ref="AP24:AR24"/>
    <mergeCell ref="AM22:AO22"/>
    <mergeCell ref="V27:X27"/>
    <mergeCell ref="Y27:AA27"/>
    <mergeCell ref="AB27:AD27"/>
    <mergeCell ref="AJ27:AL27"/>
    <mergeCell ref="AM27:AO27"/>
    <mergeCell ref="AP27:AR27"/>
    <mergeCell ref="Y25:AA25"/>
    <mergeCell ref="AB25:AD25"/>
    <mergeCell ref="AJ25:AL25"/>
    <mergeCell ref="AM25:AO25"/>
    <mergeCell ref="AP25:AR25"/>
    <mergeCell ref="T26:AD26"/>
    <mergeCell ref="AH26:AR26"/>
    <mergeCell ref="T23:T25"/>
    <mergeCell ref="V23:X23"/>
    <mergeCell ref="Y23:AA23"/>
    <mergeCell ref="AB23:AD23"/>
    <mergeCell ref="AH23:AH25"/>
    <mergeCell ref="AJ23:AL23"/>
    <mergeCell ref="AM23:AO23"/>
    <mergeCell ref="AP23:AR23"/>
    <mergeCell ref="T28:T31"/>
    <mergeCell ref="U28:U32"/>
    <mergeCell ref="V28:X28"/>
    <mergeCell ref="Y28:AA28"/>
    <mergeCell ref="AB28:AD28"/>
    <mergeCell ref="AE28:AE34"/>
    <mergeCell ref="V31:X31"/>
    <mergeCell ref="Y31:AA31"/>
    <mergeCell ref="AB31:AD31"/>
    <mergeCell ref="V34:X34"/>
    <mergeCell ref="V30:X30"/>
    <mergeCell ref="Y30:AA30"/>
    <mergeCell ref="AB30:AD30"/>
    <mergeCell ref="V29:X29"/>
    <mergeCell ref="Y29:AA29"/>
    <mergeCell ref="AB29:AD29"/>
    <mergeCell ref="AJ30:AL30"/>
    <mergeCell ref="AJ33:AL33"/>
    <mergeCell ref="AM30:AO30"/>
    <mergeCell ref="AP30:AR30"/>
    <mergeCell ref="AH28:AH31"/>
    <mergeCell ref="AI28:AI32"/>
    <mergeCell ref="AJ28:AL28"/>
    <mergeCell ref="AJ31:AL31"/>
    <mergeCell ref="AM28:AO28"/>
    <mergeCell ref="AP28:AR28"/>
    <mergeCell ref="AM31:AO31"/>
    <mergeCell ref="AP31:AR31"/>
    <mergeCell ref="AJ29:AL29"/>
    <mergeCell ref="AM29:AO29"/>
    <mergeCell ref="AP29:AR29"/>
    <mergeCell ref="AM33:AO33"/>
    <mergeCell ref="AP33:AR33"/>
    <mergeCell ref="AM34:AO34"/>
    <mergeCell ref="AP34:AR34"/>
    <mergeCell ref="AM32:AO32"/>
    <mergeCell ref="AP32:AR32"/>
    <mergeCell ref="T32:T34"/>
    <mergeCell ref="V32:X32"/>
    <mergeCell ref="Y32:AA32"/>
    <mergeCell ref="AB32:AD32"/>
    <mergeCell ref="AH32:AH34"/>
    <mergeCell ref="AJ32:AL32"/>
    <mergeCell ref="Y33:AA33"/>
    <mergeCell ref="AB33:AD33"/>
    <mergeCell ref="V33:X33"/>
    <mergeCell ref="Y34:AA34"/>
    <mergeCell ref="AB34:AD34"/>
    <mergeCell ref="AJ34:AL34"/>
  </mergeCells>
  <phoneticPr fontId="31" type="noConversion"/>
  <conditionalFormatting sqref="I28:K34 I19:K25">
    <cfRule type="cellIs" dxfId="22" priority="5" stopIfTrue="1" operator="greaterThan">
      <formula>0.05</formula>
    </cfRule>
    <cfRule type="cellIs" dxfId="21" priority="6" stopIfTrue="1" operator="lessThan">
      <formula>-0.05</formula>
    </cfRule>
  </conditionalFormatting>
  <conditionalFormatting sqref="AB28:AD34 AB19:AD25">
    <cfRule type="cellIs" dxfId="20" priority="3" stopIfTrue="1" operator="greaterThan">
      <formula>0.05</formula>
    </cfRule>
    <cfRule type="cellIs" dxfId="19" priority="4" stopIfTrue="1" operator="lessThan">
      <formula>-0.05</formula>
    </cfRule>
  </conditionalFormatting>
  <conditionalFormatting sqref="AP28:AR34 AP19:AR25">
    <cfRule type="cellIs" dxfId="18" priority="1" stopIfTrue="1" operator="greaterThan">
      <formula>0.05</formula>
    </cfRule>
    <cfRule type="cellIs" dxfId="17" priority="2" stopIfTrue="1" operator="lessThan">
      <formula>-0.05</formula>
    </cfRule>
  </conditionalFormatting>
  <pageMargins left="0.75" right="0.75" top="1" bottom="1" header="0.5" footer="0.5"/>
  <drawing r:id="rId1"/>
  <legacyDrawing r:id="rId2"/>
</worksheet>
</file>

<file path=xl/worksheets/sheet64.xml><?xml version="1.0" encoding="utf-8"?>
<worksheet xmlns="http://schemas.openxmlformats.org/spreadsheetml/2006/main" xmlns:r="http://schemas.openxmlformats.org/officeDocument/2006/relationships">
  <dimension ref="A1:EJ111"/>
  <sheetViews>
    <sheetView workbookViewId="0"/>
  </sheetViews>
  <sheetFormatPr defaultRowHeight="14.25" outlineLevelRow="1"/>
  <cols>
    <col min="3" max="3" width="11.25" customWidth="1"/>
    <col min="4" max="4" width="18.375" customWidth="1"/>
    <col min="5" max="5" width="4.125" customWidth="1"/>
    <col min="7" max="7" width="2.625" customWidth="1"/>
    <col min="8" max="10" width="9" hidden="1" customWidth="1"/>
    <col min="11" max="11" width="11.25" customWidth="1"/>
    <col min="12" max="15" width="9" hidden="1" customWidth="1"/>
    <col min="17" max="17" width="3.75" customWidth="1"/>
    <col min="18" max="20" width="9" hidden="1" customWidth="1"/>
    <col min="22" max="22" width="0.25" customWidth="1"/>
    <col min="23" max="25" width="9" hidden="1" customWidth="1"/>
    <col min="27" max="27" width="1.625" customWidth="1"/>
    <col min="28" max="30" width="9" hidden="1" customWidth="1"/>
    <col min="31" max="31" width="7.375" customWidth="1"/>
    <col min="32" max="34" width="9" hidden="1" customWidth="1"/>
    <col min="35" max="35" width="6.5" customWidth="1"/>
    <col min="37" max="37" width="0.875" customWidth="1"/>
    <col min="38" max="40" width="9" hidden="1" customWidth="1"/>
    <col min="42" max="42" width="2.75" customWidth="1"/>
    <col min="43" max="45" width="9" hidden="1" customWidth="1"/>
    <col min="47" max="47" width="2.75" customWidth="1"/>
    <col min="48" max="50" width="9" hidden="1" customWidth="1"/>
    <col min="91" max="93" width="9" customWidth="1"/>
    <col min="94" max="94" width="6.375" customWidth="1"/>
    <col min="95" max="103" width="9" hidden="1" customWidth="1"/>
  </cols>
  <sheetData>
    <row r="1" spans="1:5">
      <c r="A1" s="153" t="s">
        <v>2338</v>
      </c>
      <c r="B1" s="803"/>
    </row>
    <row r="3" spans="1:5" outlineLevel="1">
      <c r="A3" s="2385" t="s">
        <v>2339</v>
      </c>
      <c r="B3" s="2386"/>
      <c r="C3" s="2379"/>
      <c r="D3" s="2"/>
    </row>
    <row r="4" spans="1:5" ht="18.75" outlineLevel="1">
      <c r="A4" s="699" t="s">
        <v>1920</v>
      </c>
      <c r="C4" s="6" t="s">
        <v>69</v>
      </c>
      <c r="D4" s="6" t="s">
        <v>70</v>
      </c>
      <c r="E4" s="698" t="s">
        <v>2340</v>
      </c>
    </row>
    <row r="5" spans="1:5" outlineLevel="1">
      <c r="A5" s="6" t="s">
        <v>35</v>
      </c>
      <c r="B5" s="6"/>
      <c r="C5" s="6" t="s">
        <v>72</v>
      </c>
      <c r="D5" s="6" t="s">
        <v>72</v>
      </c>
      <c r="E5" s="837" t="s">
        <v>2341</v>
      </c>
    </row>
    <row r="6" spans="1:5" outlineLevel="1">
      <c r="A6" s="698" t="s">
        <v>2165</v>
      </c>
      <c r="B6" s="698" t="s">
        <v>2342</v>
      </c>
      <c r="C6" s="6" t="s">
        <v>72</v>
      </c>
      <c r="D6" s="6" t="s">
        <v>72</v>
      </c>
      <c r="E6" s="61" t="s">
        <v>2343</v>
      </c>
    </row>
    <row r="7" spans="1:5" outlineLevel="1">
      <c r="A7" s="698"/>
      <c r="B7" s="698" t="s">
        <v>2344</v>
      </c>
      <c r="C7" s="6"/>
      <c r="D7" s="6"/>
      <c r="E7" s="61"/>
    </row>
    <row r="8" spans="1:5" outlineLevel="1">
      <c r="A8" s="698"/>
      <c r="B8" s="698" t="s">
        <v>2345</v>
      </c>
      <c r="C8" s="6"/>
      <c r="D8" s="6"/>
      <c r="E8" s="61"/>
    </row>
    <row r="9" spans="1:5" outlineLevel="1">
      <c r="A9" s="698"/>
      <c r="B9" s="698" t="s">
        <v>2346</v>
      </c>
      <c r="C9" s="6"/>
      <c r="D9" s="6"/>
      <c r="E9" s="61"/>
    </row>
    <row r="10" spans="1:5" outlineLevel="1">
      <c r="A10" s="698"/>
      <c r="B10" s="698" t="s">
        <v>2347</v>
      </c>
      <c r="C10" s="6"/>
      <c r="D10" s="6"/>
      <c r="E10" s="61"/>
    </row>
    <row r="11" spans="1:5" outlineLevel="1">
      <c r="A11" s="698"/>
      <c r="B11" s="698" t="s">
        <v>2331</v>
      </c>
      <c r="C11" s="6"/>
      <c r="D11" s="6"/>
      <c r="E11" s="61"/>
    </row>
    <row r="12" spans="1:5" outlineLevel="1">
      <c r="A12" s="6" t="s">
        <v>2348</v>
      </c>
      <c r="B12" s="6"/>
      <c r="C12" s="6" t="s">
        <v>72</v>
      </c>
      <c r="D12" s="6" t="s">
        <v>72</v>
      </c>
      <c r="E12" s="837" t="s">
        <v>2349</v>
      </c>
    </row>
    <row r="13" spans="1:5" outlineLevel="1">
      <c r="A13" s="6" t="s">
        <v>1936</v>
      </c>
      <c r="B13" s="6"/>
      <c r="C13" s="6" t="s">
        <v>72</v>
      </c>
      <c r="D13" s="6" t="s">
        <v>2350</v>
      </c>
      <c r="E13" s="837" t="s">
        <v>2349</v>
      </c>
    </row>
    <row r="14" spans="1:5" outlineLevel="1">
      <c r="A14" s="6" t="s">
        <v>2351</v>
      </c>
      <c r="B14" s="6"/>
      <c r="C14" s="6" t="s">
        <v>72</v>
      </c>
      <c r="D14" s="6" t="s">
        <v>2350</v>
      </c>
      <c r="E14" s="837" t="s">
        <v>2349</v>
      </c>
    </row>
    <row r="15" spans="1:5" outlineLevel="1">
      <c r="A15" s="6" t="s">
        <v>2352</v>
      </c>
      <c r="B15" s="6"/>
      <c r="C15" s="6" t="s">
        <v>72</v>
      </c>
      <c r="D15" s="6" t="s">
        <v>2350</v>
      </c>
      <c r="E15" s="837" t="s">
        <v>2349</v>
      </c>
    </row>
    <row r="16" spans="1:5" outlineLevel="1">
      <c r="A16" s="6"/>
      <c r="B16" s="6"/>
      <c r="C16" s="6"/>
      <c r="D16" s="3382" t="s">
        <v>3460</v>
      </c>
    </row>
    <row r="17" spans="1:140" outlineLevel="1">
      <c r="A17" s="6"/>
      <c r="B17" s="6"/>
      <c r="C17" s="6"/>
      <c r="D17" s="3383"/>
    </row>
    <row r="18" spans="1:140" outlineLevel="1">
      <c r="A18" s="6"/>
      <c r="B18" s="6"/>
      <c r="C18" s="6"/>
      <c r="D18" s="3383"/>
    </row>
    <row r="19" spans="1:140" outlineLevel="1">
      <c r="A19" s="6"/>
      <c r="B19" s="6"/>
      <c r="C19" s="6"/>
      <c r="D19" s="3384"/>
    </row>
    <row r="20" spans="1:140" outlineLevel="1">
      <c r="A20" s="6"/>
      <c r="B20" s="6"/>
      <c r="C20" s="6"/>
      <c r="D20" s="2"/>
    </row>
    <row r="21" spans="1:140" outlineLevel="1">
      <c r="A21" s="6"/>
      <c r="B21" s="6"/>
      <c r="C21" s="6"/>
      <c r="D21" s="2"/>
    </row>
    <row r="22" spans="1:140" outlineLevel="1">
      <c r="A22" s="6"/>
      <c r="B22" s="6"/>
      <c r="C22" s="6"/>
      <c r="D22" s="2"/>
    </row>
    <row r="23" spans="1:140" outlineLevel="1">
      <c r="A23" t="s">
        <v>73</v>
      </c>
    </row>
    <row r="24" spans="1:140">
      <c r="F24" s="2984" t="s">
        <v>2353</v>
      </c>
      <c r="G24" s="2984"/>
      <c r="H24" s="2984"/>
      <c r="I24" s="2984"/>
      <c r="J24" s="2984"/>
      <c r="K24" s="2984"/>
      <c r="L24" s="2984"/>
      <c r="M24" s="2984"/>
      <c r="N24" s="2984"/>
      <c r="O24" s="2984"/>
      <c r="P24" s="2984"/>
      <c r="Q24" s="2984"/>
      <c r="R24" s="2984"/>
      <c r="S24" s="2984"/>
      <c r="T24" s="2984"/>
      <c r="U24" s="2984"/>
      <c r="V24" s="2984"/>
      <c r="W24" s="2984"/>
      <c r="X24" s="2984"/>
      <c r="Y24" s="2984"/>
      <c r="Z24" s="2984"/>
    </row>
    <row r="25" spans="1:140">
      <c r="B25" s="1604"/>
      <c r="C25" s="891"/>
      <c r="D25" s="891"/>
      <c r="E25" s="891"/>
      <c r="F25" s="891"/>
      <c r="G25" s="891"/>
      <c r="L25" s="891"/>
      <c r="M25" s="891"/>
      <c r="N25" s="861"/>
      <c r="O25" s="861"/>
      <c r="P25" s="861"/>
      <c r="Q25" s="861"/>
      <c r="R25" s="861"/>
      <c r="S25" s="861"/>
      <c r="T25" s="861"/>
      <c r="U25" s="861"/>
      <c r="V25" s="861"/>
      <c r="W25" s="861"/>
      <c r="X25" s="861"/>
      <c r="Y25" s="861"/>
      <c r="Z25" s="861"/>
    </row>
    <row r="26" spans="1:140">
      <c r="A26" s="703" t="s">
        <v>2354</v>
      </c>
      <c r="B26" s="892"/>
      <c r="D26" s="892"/>
      <c r="E26" s="892"/>
      <c r="F26" s="892"/>
      <c r="G26" s="892"/>
      <c r="H26" s="892"/>
      <c r="I26" s="892"/>
      <c r="J26" s="892"/>
      <c r="K26" s="892"/>
      <c r="L26" s="892"/>
      <c r="M26" s="892"/>
      <c r="BB26" s="703" t="s">
        <v>2314</v>
      </c>
      <c r="DB26" s="703" t="s">
        <v>2315</v>
      </c>
    </row>
    <row r="27" spans="1:140" ht="16.5" outlineLevel="1">
      <c r="A27" s="3332" t="s">
        <v>124</v>
      </c>
      <c r="B27" s="3333"/>
      <c r="C27" s="3317" t="s">
        <v>125</v>
      </c>
      <c r="D27" s="3317"/>
      <c r="E27" s="3317"/>
      <c r="F27" s="893" t="s">
        <v>126</v>
      </c>
      <c r="G27" s="894" t="s">
        <v>127</v>
      </c>
      <c r="H27" s="895" t="s">
        <v>128</v>
      </c>
      <c r="I27" s="893" t="s">
        <v>129</v>
      </c>
      <c r="J27" s="3334">
        <v>57.7</v>
      </c>
      <c r="K27" s="3334"/>
      <c r="L27" s="3334"/>
      <c r="M27" s="3334"/>
      <c r="N27" s="893"/>
      <c r="O27" s="893" t="s">
        <v>130</v>
      </c>
      <c r="P27" s="3333" t="s">
        <v>131</v>
      </c>
      <c r="Q27" s="3333"/>
      <c r="R27" s="3333"/>
      <c r="S27" s="3336">
        <v>0.2</v>
      </c>
      <c r="T27" s="3336"/>
      <c r="U27" s="3336"/>
      <c r="V27" s="893" t="s">
        <v>132</v>
      </c>
      <c r="W27" s="893"/>
      <c r="X27" s="893" t="s">
        <v>133</v>
      </c>
      <c r="Y27" s="893"/>
      <c r="Z27" s="893"/>
      <c r="AA27" s="893"/>
      <c r="AB27" s="893"/>
      <c r="AC27" s="893"/>
      <c r="AD27" s="893"/>
      <c r="AE27" s="893" t="s">
        <v>2355</v>
      </c>
      <c r="AF27" s="893"/>
      <c r="AG27" s="893"/>
      <c r="AH27" s="893"/>
      <c r="AI27" s="893"/>
      <c r="AJ27" s="893"/>
      <c r="AK27" s="893"/>
      <c r="AL27" s="893"/>
      <c r="AM27" s="893"/>
      <c r="AN27" s="893"/>
      <c r="AO27" s="893"/>
      <c r="AP27" s="893"/>
      <c r="AQ27" s="893"/>
      <c r="AR27" s="893"/>
      <c r="AS27" s="893"/>
      <c r="AT27" s="893"/>
      <c r="AU27" s="896"/>
      <c r="AV27" s="897"/>
      <c r="AW27" s="897"/>
      <c r="AX27" s="897"/>
      <c r="BB27" s="3332" t="s">
        <v>124</v>
      </c>
      <c r="BC27" s="3333"/>
      <c r="BD27" s="3317" t="s">
        <v>125</v>
      </c>
      <c r="BE27" s="3317"/>
      <c r="BF27" s="3317"/>
      <c r="BG27" s="893" t="s">
        <v>126</v>
      </c>
      <c r="BH27" s="894" t="s">
        <v>127</v>
      </c>
      <c r="BI27" s="895" t="s">
        <v>128</v>
      </c>
      <c r="BJ27" s="893" t="s">
        <v>129</v>
      </c>
      <c r="BK27" s="3334">
        <v>57.7</v>
      </c>
      <c r="BL27" s="3334"/>
      <c r="BM27" s="3334"/>
      <c r="BN27" s="3334"/>
      <c r="BO27" s="893"/>
      <c r="BP27" s="893" t="s">
        <v>130</v>
      </c>
      <c r="BQ27" s="3333" t="s">
        <v>131</v>
      </c>
      <c r="BR27" s="3333"/>
      <c r="BS27" s="3333"/>
      <c r="BT27" s="3336">
        <v>0.2</v>
      </c>
      <c r="BU27" s="3336"/>
      <c r="BV27" s="3336"/>
      <c r="BW27" s="893" t="s">
        <v>132</v>
      </c>
      <c r="BX27" s="893"/>
      <c r="BY27" s="893" t="s">
        <v>133</v>
      </c>
      <c r="BZ27" s="893"/>
      <c r="CA27" s="893"/>
      <c r="CB27" s="893"/>
      <c r="CC27" s="893"/>
      <c r="CD27" s="893"/>
      <c r="CE27" s="893"/>
      <c r="CF27" s="893" t="s">
        <v>2355</v>
      </c>
      <c r="CG27" s="893"/>
      <c r="CH27" s="893"/>
      <c r="CI27" s="893"/>
      <c r="CJ27" s="893"/>
      <c r="CK27" s="893"/>
      <c r="CL27" s="893"/>
      <c r="CM27" s="893"/>
      <c r="CN27" s="893"/>
      <c r="CO27" s="893"/>
      <c r="CP27" s="893"/>
      <c r="CQ27" s="893"/>
      <c r="CR27" s="893"/>
      <c r="CS27" s="893"/>
      <c r="CT27" s="893"/>
      <c r="CU27" s="893"/>
      <c r="CV27" s="896"/>
      <c r="CW27" s="897"/>
      <c r="CX27" s="897"/>
      <c r="CY27" s="897"/>
      <c r="DB27" s="3332" t="s">
        <v>124</v>
      </c>
      <c r="DC27" s="3333"/>
      <c r="DD27" s="3317" t="s">
        <v>125</v>
      </c>
      <c r="DE27" s="3317"/>
      <c r="DF27" s="3317"/>
      <c r="DG27" s="893" t="s">
        <v>126</v>
      </c>
      <c r="DH27" s="894" t="s">
        <v>127</v>
      </c>
      <c r="DI27" s="895" t="s">
        <v>128</v>
      </c>
      <c r="DJ27" s="893" t="s">
        <v>129</v>
      </c>
      <c r="DK27" s="3334">
        <v>57.7</v>
      </c>
      <c r="DL27" s="3334"/>
      <c r="DM27" s="3334"/>
      <c r="DN27" s="3334"/>
      <c r="DO27" s="893"/>
      <c r="DP27" s="893" t="s">
        <v>130</v>
      </c>
      <c r="DQ27" s="3333" t="s">
        <v>131</v>
      </c>
      <c r="DR27" s="3333"/>
      <c r="DS27" s="3333"/>
      <c r="DT27" s="3336">
        <v>0.2</v>
      </c>
      <c r="DU27" s="3336"/>
      <c r="DV27" s="3336"/>
      <c r="DW27" s="893" t="s">
        <v>132</v>
      </c>
      <c r="DX27" s="893"/>
      <c r="DY27" s="893" t="s">
        <v>133</v>
      </c>
      <c r="DZ27" s="893"/>
      <c r="EA27" s="893"/>
      <c r="EB27" s="893"/>
      <c r="EC27" s="893"/>
      <c r="ED27" s="893"/>
      <c r="EE27" s="893"/>
      <c r="EF27" s="893" t="s">
        <v>2355</v>
      </c>
      <c r="EG27" s="893"/>
      <c r="EH27" s="893"/>
      <c r="EI27" s="893"/>
      <c r="EJ27" s="893"/>
    </row>
    <row r="28" spans="1:140" outlineLevel="1">
      <c r="A28" s="3353" t="s">
        <v>2356</v>
      </c>
      <c r="B28" s="3354"/>
      <c r="C28" s="3354"/>
      <c r="D28" s="3354"/>
      <c r="E28" s="3355"/>
      <c r="F28" s="3316" t="s">
        <v>2357</v>
      </c>
      <c r="G28" s="3317"/>
      <c r="H28" s="3317"/>
      <c r="I28" s="3317"/>
      <c r="J28" s="3317"/>
      <c r="K28" s="3317"/>
      <c r="L28" s="3317"/>
      <c r="M28" s="3317"/>
      <c r="N28" s="3317"/>
      <c r="O28" s="3317"/>
      <c r="P28" s="3317"/>
      <c r="Q28" s="3317"/>
      <c r="R28" s="3317"/>
      <c r="S28" s="3317"/>
      <c r="T28" s="3318"/>
      <c r="U28" s="3331" t="s">
        <v>2358</v>
      </c>
      <c r="V28" s="3331"/>
      <c r="W28" s="3331"/>
      <c r="X28" s="3331"/>
      <c r="Y28" s="3331"/>
      <c r="Z28" s="3331"/>
      <c r="AA28" s="3331"/>
      <c r="AB28" s="3331"/>
      <c r="AC28" s="3331"/>
      <c r="AD28" s="3331"/>
      <c r="AE28" s="3331"/>
      <c r="AF28" s="3331"/>
      <c r="AG28" s="3331"/>
      <c r="AH28" s="3331"/>
      <c r="AI28" s="3331"/>
      <c r="AJ28" s="3331" t="s">
        <v>2359</v>
      </c>
      <c r="AK28" s="3331"/>
      <c r="AL28" s="3331"/>
      <c r="AM28" s="3331"/>
      <c r="AN28" s="3331"/>
      <c r="AO28" s="3331"/>
      <c r="AP28" s="3331"/>
      <c r="AQ28" s="3331"/>
      <c r="AR28" s="3331"/>
      <c r="AS28" s="3331"/>
      <c r="AT28" s="3331"/>
      <c r="AU28" s="3331"/>
      <c r="AV28" s="3331"/>
      <c r="AW28" s="3331"/>
      <c r="AX28" s="3331"/>
      <c r="AY28" s="899" t="s">
        <v>2360</v>
      </c>
      <c r="BB28" s="3353" t="s">
        <v>2356</v>
      </c>
      <c r="BC28" s="3354"/>
      <c r="BD28" s="3354"/>
      <c r="BE28" s="3354"/>
      <c r="BF28" s="3355"/>
      <c r="BG28" s="3316" t="s">
        <v>2357</v>
      </c>
      <c r="BH28" s="3317"/>
      <c r="BI28" s="3317"/>
      <c r="BJ28" s="3317"/>
      <c r="BK28" s="3317"/>
      <c r="BL28" s="3317"/>
      <c r="BM28" s="3317"/>
      <c r="BN28" s="3317"/>
      <c r="BO28" s="3317"/>
      <c r="BP28" s="3317"/>
      <c r="BQ28" s="3317"/>
      <c r="BR28" s="3317"/>
      <c r="BS28" s="3317"/>
      <c r="BT28" s="3317"/>
      <c r="BU28" s="3318"/>
      <c r="BV28" s="3316" t="s">
        <v>2358</v>
      </c>
      <c r="BW28" s="3317"/>
      <c r="BX28" s="3317"/>
      <c r="BY28" s="3317"/>
      <c r="BZ28" s="3317"/>
      <c r="CA28" s="3317"/>
      <c r="CB28" s="3317"/>
      <c r="CC28" s="3317"/>
      <c r="CD28" s="3317"/>
      <c r="CE28" s="3317"/>
      <c r="CF28" s="3317"/>
      <c r="CG28" s="3317"/>
      <c r="CH28" s="3317"/>
      <c r="CI28" s="3317"/>
      <c r="CJ28" s="3317"/>
      <c r="CK28" s="3331" t="s">
        <v>2359</v>
      </c>
      <c r="CL28" s="3331"/>
      <c r="CM28" s="3331"/>
      <c r="CN28" s="3331"/>
      <c r="CO28" s="3331"/>
      <c r="CP28" s="3331"/>
      <c r="CQ28" s="3331"/>
      <c r="CR28" s="3331"/>
      <c r="CS28" s="3331"/>
      <c r="CT28" s="3331"/>
      <c r="CU28" s="3331"/>
      <c r="CV28" s="3331"/>
      <c r="CW28" s="3331"/>
      <c r="CX28" s="3331"/>
      <c r="CY28" s="3331"/>
      <c r="DB28" s="3353" t="s">
        <v>2356</v>
      </c>
      <c r="DC28" s="3354"/>
      <c r="DD28" s="3354"/>
      <c r="DE28" s="3354"/>
      <c r="DF28" s="3355"/>
      <c r="DG28" s="3316" t="s">
        <v>2357</v>
      </c>
      <c r="DH28" s="3317"/>
      <c r="DI28" s="3317"/>
      <c r="DJ28" s="3317"/>
      <c r="DK28" s="3317"/>
      <c r="DL28" s="3317"/>
      <c r="DM28" s="3317"/>
      <c r="DN28" s="3317"/>
      <c r="DO28" s="3317"/>
      <c r="DP28" s="3317"/>
      <c r="DQ28" s="3317"/>
      <c r="DR28" s="3317"/>
      <c r="DS28" s="3317"/>
      <c r="DT28" s="3317"/>
      <c r="DU28" s="3318"/>
      <c r="DV28" s="3316" t="s">
        <v>2358</v>
      </c>
      <c r="DW28" s="3317"/>
      <c r="DX28" s="3317"/>
      <c r="DY28" s="3317"/>
      <c r="DZ28" s="3317"/>
      <c r="EA28" s="3317"/>
      <c r="EB28" s="3317"/>
      <c r="EC28" s="3317"/>
      <c r="ED28" s="3317"/>
      <c r="EE28" s="3317"/>
      <c r="EF28" s="3317"/>
      <c r="EG28" s="3317"/>
      <c r="EH28" s="3317"/>
      <c r="EI28" s="3317"/>
      <c r="EJ28" s="3317"/>
    </row>
    <row r="29" spans="1:140" ht="14.25" customHeight="1" outlineLevel="1">
      <c r="A29" s="3356"/>
      <c r="B29" s="3357"/>
      <c r="C29" s="3357"/>
      <c r="D29" s="3357"/>
      <c r="E29" s="3358"/>
      <c r="F29" s="3316" t="s">
        <v>135</v>
      </c>
      <c r="G29" s="3317"/>
      <c r="H29" s="3317"/>
      <c r="I29" s="3317"/>
      <c r="J29" s="3318"/>
      <c r="K29" s="3316" t="s">
        <v>136</v>
      </c>
      <c r="L29" s="3317"/>
      <c r="M29" s="3317"/>
      <c r="N29" s="3317"/>
      <c r="O29" s="3318"/>
      <c r="P29" s="3316" t="s">
        <v>137</v>
      </c>
      <c r="Q29" s="3317"/>
      <c r="R29" s="3317"/>
      <c r="S29" s="3317"/>
      <c r="T29" s="3318"/>
      <c r="U29" s="3316" t="s">
        <v>135</v>
      </c>
      <c r="V29" s="3317"/>
      <c r="W29" s="3317"/>
      <c r="X29" s="3317"/>
      <c r="Y29" s="3318"/>
      <c r="Z29" s="3316" t="s">
        <v>136</v>
      </c>
      <c r="AA29" s="3317"/>
      <c r="AB29" s="3317"/>
      <c r="AC29" s="3317"/>
      <c r="AD29" s="3318"/>
      <c r="AE29" s="3331" t="s">
        <v>137</v>
      </c>
      <c r="AF29" s="3331"/>
      <c r="AG29" s="3331"/>
      <c r="AH29" s="3331"/>
      <c r="AI29" s="3331"/>
      <c r="AJ29" s="3366" t="s">
        <v>2361</v>
      </c>
      <c r="AK29" s="3367"/>
      <c r="AL29" s="3367"/>
      <c r="AM29" s="3367"/>
      <c r="AN29" s="3367"/>
      <c r="AO29" s="3367"/>
      <c r="AP29" s="3367"/>
      <c r="AQ29" s="3367"/>
      <c r="AR29" s="3367"/>
      <c r="AS29" s="3367"/>
      <c r="AT29" s="3367"/>
      <c r="AU29" s="3367"/>
      <c r="AV29" s="3367"/>
      <c r="AW29" s="3367"/>
      <c r="AX29" s="3367"/>
      <c r="BB29" s="3356"/>
      <c r="BC29" s="3357"/>
      <c r="BD29" s="3357"/>
      <c r="BE29" s="3357"/>
      <c r="BF29" s="3358"/>
      <c r="BG29" s="3316" t="s">
        <v>135</v>
      </c>
      <c r="BH29" s="3317"/>
      <c r="BI29" s="3317"/>
      <c r="BJ29" s="3317"/>
      <c r="BK29" s="3318"/>
      <c r="BL29" s="3316" t="s">
        <v>136</v>
      </c>
      <c r="BM29" s="3317"/>
      <c r="BN29" s="3317"/>
      <c r="BO29" s="3317"/>
      <c r="BP29" s="3318"/>
      <c r="BQ29" s="3316" t="s">
        <v>137</v>
      </c>
      <c r="BR29" s="3317"/>
      <c r="BS29" s="3317"/>
      <c r="BT29" s="3317"/>
      <c r="BU29" s="3318"/>
      <c r="BV29" s="3316" t="s">
        <v>135</v>
      </c>
      <c r="BW29" s="3317"/>
      <c r="BX29" s="3317"/>
      <c r="BY29" s="3317"/>
      <c r="BZ29" s="3318"/>
      <c r="CA29" s="3316" t="s">
        <v>136</v>
      </c>
      <c r="CB29" s="3317"/>
      <c r="CC29" s="3317"/>
      <c r="CD29" s="3317"/>
      <c r="CE29" s="3318"/>
      <c r="CF29" s="3316" t="s">
        <v>137</v>
      </c>
      <c r="CG29" s="3317"/>
      <c r="CH29" s="3317"/>
      <c r="CI29" s="3317"/>
      <c r="CJ29" s="3317"/>
      <c r="CK29" s="3366" t="s">
        <v>2361</v>
      </c>
      <c r="CL29" s="3367"/>
      <c r="CM29" s="3367"/>
      <c r="CN29" s="3367"/>
      <c r="CO29" s="3367"/>
      <c r="CP29" s="3367"/>
      <c r="CQ29" s="3367"/>
      <c r="CR29" s="3367"/>
      <c r="CS29" s="3367"/>
      <c r="CT29" s="3367"/>
      <c r="CU29" s="3367"/>
      <c r="CV29" s="3367"/>
      <c r="CW29" s="3367"/>
      <c r="CX29" s="3367"/>
      <c r="CY29" s="3367"/>
      <c r="DB29" s="3356"/>
      <c r="DC29" s="3357"/>
      <c r="DD29" s="3357"/>
      <c r="DE29" s="3357"/>
      <c r="DF29" s="3358"/>
      <c r="DG29" s="3316" t="s">
        <v>135</v>
      </c>
      <c r="DH29" s="3317"/>
      <c r="DI29" s="3317"/>
      <c r="DJ29" s="3317"/>
      <c r="DK29" s="3318"/>
      <c r="DL29" s="3316" t="s">
        <v>136</v>
      </c>
      <c r="DM29" s="3317"/>
      <c r="DN29" s="3317"/>
      <c r="DO29" s="3317"/>
      <c r="DP29" s="3318"/>
      <c r="DQ29" s="3316" t="s">
        <v>137</v>
      </c>
      <c r="DR29" s="3317"/>
      <c r="DS29" s="3317"/>
      <c r="DT29" s="3317"/>
      <c r="DU29" s="3318"/>
      <c r="DV29" s="3316" t="s">
        <v>135</v>
      </c>
      <c r="DW29" s="3317"/>
      <c r="DX29" s="3317"/>
      <c r="DY29" s="3317"/>
      <c r="DZ29" s="3318"/>
      <c r="EA29" s="3316" t="s">
        <v>136</v>
      </c>
      <c r="EB29" s="3317"/>
      <c r="EC29" s="3317"/>
      <c r="ED29" s="3317"/>
      <c r="EE29" s="3318"/>
      <c r="EF29" s="3316" t="s">
        <v>137</v>
      </c>
      <c r="EG29" s="3317"/>
      <c r="EH29" s="3317"/>
      <c r="EI29" s="3317"/>
      <c r="EJ29" s="3317"/>
    </row>
    <row r="30" spans="1:140" ht="16.5" outlineLevel="1">
      <c r="A30" s="3340">
        <v>120</v>
      </c>
      <c r="B30" s="3341"/>
      <c r="C30" s="3341"/>
      <c r="D30" s="900" t="s">
        <v>127</v>
      </c>
      <c r="E30" s="901" t="s">
        <v>128</v>
      </c>
      <c r="F30" s="3360">
        <v>69.239999999999995</v>
      </c>
      <c r="G30" s="3361"/>
      <c r="H30" s="3361"/>
      <c r="I30" s="3361"/>
      <c r="J30" s="3362"/>
      <c r="K30" s="3360">
        <v>69.239999999999995</v>
      </c>
      <c r="L30" s="3361"/>
      <c r="M30" s="3361"/>
      <c r="N30" s="3361"/>
      <c r="O30" s="3362"/>
      <c r="P30" s="3360">
        <v>69.239999999999995</v>
      </c>
      <c r="Q30" s="3361"/>
      <c r="R30" s="3361"/>
      <c r="S30" s="3361"/>
      <c r="T30" s="3362"/>
      <c r="U30" s="3363">
        <v>69.209999999999994</v>
      </c>
      <c r="V30" s="3364"/>
      <c r="W30" s="3364"/>
      <c r="X30" s="3364"/>
      <c r="Y30" s="3365"/>
      <c r="Z30" s="3363">
        <v>69.209999999999994</v>
      </c>
      <c r="AA30" s="3364"/>
      <c r="AB30" s="3364"/>
      <c r="AC30" s="3364"/>
      <c r="AD30" s="3365"/>
      <c r="AE30" s="3337">
        <v>69.180000000000007</v>
      </c>
      <c r="AF30" s="3337"/>
      <c r="AG30" s="3337"/>
      <c r="AH30" s="3337"/>
      <c r="AI30" s="3337"/>
      <c r="AJ30" s="3367"/>
      <c r="AK30" s="3367"/>
      <c r="AL30" s="3367"/>
      <c r="AM30" s="3367"/>
      <c r="AN30" s="3367"/>
      <c r="AO30" s="3367"/>
      <c r="AP30" s="3367"/>
      <c r="AQ30" s="3367"/>
      <c r="AR30" s="3367"/>
      <c r="AS30" s="3367"/>
      <c r="AT30" s="3367"/>
      <c r="AU30" s="3367"/>
      <c r="AV30" s="3367"/>
      <c r="AW30" s="3367"/>
      <c r="AX30" s="3367"/>
      <c r="BB30" s="3340">
        <v>120</v>
      </c>
      <c r="BC30" s="3341"/>
      <c r="BD30" s="3341"/>
      <c r="BE30" s="900" t="s">
        <v>127</v>
      </c>
      <c r="BF30" s="901" t="s">
        <v>128</v>
      </c>
      <c r="BG30" s="3360">
        <v>69.239999999999995</v>
      </c>
      <c r="BH30" s="3361"/>
      <c r="BI30" s="3361"/>
      <c r="BJ30" s="3361"/>
      <c r="BK30" s="3362"/>
      <c r="BL30" s="3360">
        <v>69.239999999999995</v>
      </c>
      <c r="BM30" s="3361"/>
      <c r="BN30" s="3361"/>
      <c r="BO30" s="3361"/>
      <c r="BP30" s="3362"/>
      <c r="BQ30" s="3360">
        <v>69.239999999999995</v>
      </c>
      <c r="BR30" s="3361"/>
      <c r="BS30" s="3361"/>
      <c r="BT30" s="3361"/>
      <c r="BU30" s="3362"/>
      <c r="BV30" s="3363">
        <v>69.209999999999994</v>
      </c>
      <c r="BW30" s="3364"/>
      <c r="BX30" s="3364"/>
      <c r="BY30" s="3364"/>
      <c r="BZ30" s="3365"/>
      <c r="CA30" s="3363">
        <v>69.209999999999994</v>
      </c>
      <c r="CB30" s="3364"/>
      <c r="CC30" s="3364"/>
      <c r="CD30" s="3364"/>
      <c r="CE30" s="3365"/>
      <c r="CF30" s="3363">
        <v>69.180000000000007</v>
      </c>
      <c r="CG30" s="3364"/>
      <c r="CH30" s="3364"/>
      <c r="CI30" s="3364"/>
      <c r="CJ30" s="3364"/>
      <c r="CK30" s="3367"/>
      <c r="CL30" s="3367"/>
      <c r="CM30" s="3367"/>
      <c r="CN30" s="3367"/>
      <c r="CO30" s="3367"/>
      <c r="CP30" s="3367"/>
      <c r="CQ30" s="3367"/>
      <c r="CR30" s="3367"/>
      <c r="CS30" s="3367"/>
      <c r="CT30" s="3367"/>
      <c r="CU30" s="3367"/>
      <c r="CV30" s="3367"/>
      <c r="CW30" s="3367"/>
      <c r="CX30" s="3367"/>
      <c r="CY30" s="3367"/>
      <c r="DB30" s="3340">
        <v>120</v>
      </c>
      <c r="DC30" s="3341"/>
      <c r="DD30" s="3341"/>
      <c r="DE30" s="900" t="s">
        <v>127</v>
      </c>
      <c r="DF30" s="901" t="s">
        <v>128</v>
      </c>
      <c r="DG30" s="3360">
        <v>69.239999999999995</v>
      </c>
      <c r="DH30" s="3361"/>
      <c r="DI30" s="3361"/>
      <c r="DJ30" s="3361"/>
      <c r="DK30" s="3362"/>
      <c r="DL30" s="3360">
        <v>69.239999999999995</v>
      </c>
      <c r="DM30" s="3361"/>
      <c r="DN30" s="3361"/>
      <c r="DO30" s="3361"/>
      <c r="DP30" s="3362"/>
      <c r="DQ30" s="3360">
        <v>69.239999999999995</v>
      </c>
      <c r="DR30" s="3361"/>
      <c r="DS30" s="3361"/>
      <c r="DT30" s="3361"/>
      <c r="DU30" s="3362"/>
      <c r="DV30" s="3363">
        <v>69.209999999999994</v>
      </c>
      <c r="DW30" s="3364"/>
      <c r="DX30" s="3364"/>
      <c r="DY30" s="3364"/>
      <c r="DZ30" s="3365"/>
      <c r="EA30" s="3363">
        <v>69.209999999999994</v>
      </c>
      <c r="EB30" s="3364"/>
      <c r="EC30" s="3364"/>
      <c r="ED30" s="3364"/>
      <c r="EE30" s="3365"/>
      <c r="EF30" s="3363">
        <v>69.180000000000007</v>
      </c>
      <c r="EG30" s="3364"/>
      <c r="EH30" s="3364"/>
      <c r="EI30" s="3364"/>
      <c r="EJ30" s="3364"/>
    </row>
    <row r="31" spans="1:140" ht="16.5" outlineLevel="1">
      <c r="A31" s="3340">
        <v>100</v>
      </c>
      <c r="B31" s="3341"/>
      <c r="C31" s="3341"/>
      <c r="D31" s="900" t="s">
        <v>127</v>
      </c>
      <c r="E31" s="901" t="s">
        <v>128</v>
      </c>
      <c r="F31" s="3360">
        <v>57.7</v>
      </c>
      <c r="G31" s="3361"/>
      <c r="H31" s="3361"/>
      <c r="I31" s="3361"/>
      <c r="J31" s="3362"/>
      <c r="K31" s="3360">
        <v>57.7</v>
      </c>
      <c r="L31" s="3361"/>
      <c r="M31" s="3361"/>
      <c r="N31" s="3361"/>
      <c r="O31" s="3362"/>
      <c r="P31" s="3360">
        <v>57.7</v>
      </c>
      <c r="Q31" s="3361"/>
      <c r="R31" s="3361"/>
      <c r="S31" s="3361"/>
      <c r="T31" s="3362"/>
      <c r="U31" s="3363">
        <v>57.67</v>
      </c>
      <c r="V31" s="3364"/>
      <c r="W31" s="3364"/>
      <c r="X31" s="3364"/>
      <c r="Y31" s="3365"/>
      <c r="Z31" s="3363">
        <v>57.68</v>
      </c>
      <c r="AA31" s="3364"/>
      <c r="AB31" s="3364"/>
      <c r="AC31" s="3364"/>
      <c r="AD31" s="3365"/>
      <c r="AE31" s="3337">
        <v>57.65</v>
      </c>
      <c r="AF31" s="3337"/>
      <c r="AG31" s="3337"/>
      <c r="AH31" s="3337"/>
      <c r="AI31" s="3337"/>
      <c r="AJ31" s="3367"/>
      <c r="AK31" s="3367"/>
      <c r="AL31" s="3367"/>
      <c r="AM31" s="3367"/>
      <c r="AN31" s="3367"/>
      <c r="AO31" s="3367"/>
      <c r="AP31" s="3367"/>
      <c r="AQ31" s="3367"/>
      <c r="AR31" s="3367"/>
      <c r="AS31" s="3367"/>
      <c r="AT31" s="3367"/>
      <c r="AU31" s="3367"/>
      <c r="AV31" s="3367"/>
      <c r="AW31" s="3367"/>
      <c r="AX31" s="3367"/>
      <c r="BB31" s="3340">
        <v>100</v>
      </c>
      <c r="BC31" s="3341"/>
      <c r="BD31" s="3341"/>
      <c r="BE31" s="900" t="s">
        <v>127</v>
      </c>
      <c r="BF31" s="901" t="s">
        <v>128</v>
      </c>
      <c r="BG31" s="3360">
        <v>57.7</v>
      </c>
      <c r="BH31" s="3361"/>
      <c r="BI31" s="3361"/>
      <c r="BJ31" s="3361"/>
      <c r="BK31" s="3362"/>
      <c r="BL31" s="3360">
        <v>57.7</v>
      </c>
      <c r="BM31" s="3361"/>
      <c r="BN31" s="3361"/>
      <c r="BO31" s="3361"/>
      <c r="BP31" s="3362"/>
      <c r="BQ31" s="3360">
        <v>57.7</v>
      </c>
      <c r="BR31" s="3361"/>
      <c r="BS31" s="3361"/>
      <c r="BT31" s="3361"/>
      <c r="BU31" s="3362"/>
      <c r="BV31" s="3363">
        <v>57.67</v>
      </c>
      <c r="BW31" s="3364"/>
      <c r="BX31" s="3364"/>
      <c r="BY31" s="3364"/>
      <c r="BZ31" s="3365"/>
      <c r="CA31" s="3363">
        <v>57.68</v>
      </c>
      <c r="CB31" s="3364"/>
      <c r="CC31" s="3364"/>
      <c r="CD31" s="3364"/>
      <c r="CE31" s="3365"/>
      <c r="CF31" s="3363">
        <v>57.65</v>
      </c>
      <c r="CG31" s="3364"/>
      <c r="CH31" s="3364"/>
      <c r="CI31" s="3364"/>
      <c r="CJ31" s="3364"/>
      <c r="CK31" s="3367"/>
      <c r="CL31" s="3367"/>
      <c r="CM31" s="3367"/>
      <c r="CN31" s="3367"/>
      <c r="CO31" s="3367"/>
      <c r="CP31" s="3367"/>
      <c r="CQ31" s="3367"/>
      <c r="CR31" s="3367"/>
      <c r="CS31" s="3367"/>
      <c r="CT31" s="3367"/>
      <c r="CU31" s="3367"/>
      <c r="CV31" s="3367"/>
      <c r="CW31" s="3367"/>
      <c r="CX31" s="3367"/>
      <c r="CY31" s="3367"/>
      <c r="DB31" s="3340">
        <v>100</v>
      </c>
      <c r="DC31" s="3341"/>
      <c r="DD31" s="3341"/>
      <c r="DE31" s="900" t="s">
        <v>127</v>
      </c>
      <c r="DF31" s="901" t="s">
        <v>128</v>
      </c>
      <c r="DG31" s="3360">
        <v>57.7</v>
      </c>
      <c r="DH31" s="3361"/>
      <c r="DI31" s="3361"/>
      <c r="DJ31" s="3361"/>
      <c r="DK31" s="3362"/>
      <c r="DL31" s="3360">
        <v>57.7</v>
      </c>
      <c r="DM31" s="3361"/>
      <c r="DN31" s="3361"/>
      <c r="DO31" s="3361"/>
      <c r="DP31" s="3362"/>
      <c r="DQ31" s="3360">
        <v>57.7</v>
      </c>
      <c r="DR31" s="3361"/>
      <c r="DS31" s="3361"/>
      <c r="DT31" s="3361"/>
      <c r="DU31" s="3362"/>
      <c r="DV31" s="3363">
        <v>57.67</v>
      </c>
      <c r="DW31" s="3364"/>
      <c r="DX31" s="3364"/>
      <c r="DY31" s="3364"/>
      <c r="DZ31" s="3365"/>
      <c r="EA31" s="3363">
        <v>57.68</v>
      </c>
      <c r="EB31" s="3364"/>
      <c r="EC31" s="3364"/>
      <c r="ED31" s="3364"/>
      <c r="EE31" s="3365"/>
      <c r="EF31" s="3363">
        <v>57.65</v>
      </c>
      <c r="EG31" s="3364"/>
      <c r="EH31" s="3364"/>
      <c r="EI31" s="3364"/>
      <c r="EJ31" s="3364"/>
    </row>
    <row r="32" spans="1:140" ht="16.5" outlineLevel="1">
      <c r="A32" s="3340">
        <v>80</v>
      </c>
      <c r="B32" s="3341"/>
      <c r="C32" s="3341"/>
      <c r="D32" s="900" t="s">
        <v>127</v>
      </c>
      <c r="E32" s="901" t="s">
        <v>128</v>
      </c>
      <c r="F32" s="3360">
        <v>46.160000000000004</v>
      </c>
      <c r="G32" s="3361"/>
      <c r="H32" s="3361"/>
      <c r="I32" s="3361"/>
      <c r="J32" s="3362"/>
      <c r="K32" s="3360">
        <v>46.160000000000004</v>
      </c>
      <c r="L32" s="3361"/>
      <c r="M32" s="3361"/>
      <c r="N32" s="3361"/>
      <c r="O32" s="3362"/>
      <c r="P32" s="3360">
        <v>46.160000000000004</v>
      </c>
      <c r="Q32" s="3361"/>
      <c r="R32" s="3361"/>
      <c r="S32" s="3361"/>
      <c r="T32" s="3362"/>
      <c r="U32" s="3363">
        <v>46.15</v>
      </c>
      <c r="V32" s="3364"/>
      <c r="W32" s="3364"/>
      <c r="X32" s="3364"/>
      <c r="Y32" s="3365"/>
      <c r="Z32" s="3363">
        <v>46.15</v>
      </c>
      <c r="AA32" s="3364"/>
      <c r="AB32" s="3364"/>
      <c r="AC32" s="3364"/>
      <c r="AD32" s="3365"/>
      <c r="AE32" s="3337">
        <v>46.12</v>
      </c>
      <c r="AF32" s="3337"/>
      <c r="AG32" s="3337"/>
      <c r="AH32" s="3337"/>
      <c r="AI32" s="3337"/>
      <c r="AJ32" s="3367"/>
      <c r="AK32" s="3367"/>
      <c r="AL32" s="3367"/>
      <c r="AM32" s="3367"/>
      <c r="AN32" s="3367"/>
      <c r="AO32" s="3367"/>
      <c r="AP32" s="3367"/>
      <c r="AQ32" s="3367"/>
      <c r="AR32" s="3367"/>
      <c r="AS32" s="3367"/>
      <c r="AT32" s="3367"/>
      <c r="AU32" s="3367"/>
      <c r="AV32" s="3367"/>
      <c r="AW32" s="3367"/>
      <c r="AX32" s="3367"/>
      <c r="BB32" s="3340">
        <v>80</v>
      </c>
      <c r="BC32" s="3341"/>
      <c r="BD32" s="3341"/>
      <c r="BE32" s="900" t="s">
        <v>127</v>
      </c>
      <c r="BF32" s="901" t="s">
        <v>128</v>
      </c>
      <c r="BG32" s="3360">
        <v>46.160000000000004</v>
      </c>
      <c r="BH32" s="3361"/>
      <c r="BI32" s="3361"/>
      <c r="BJ32" s="3361"/>
      <c r="BK32" s="3362"/>
      <c r="BL32" s="3360">
        <v>46.160000000000004</v>
      </c>
      <c r="BM32" s="3361"/>
      <c r="BN32" s="3361"/>
      <c r="BO32" s="3361"/>
      <c r="BP32" s="3362"/>
      <c r="BQ32" s="3360">
        <v>46.160000000000004</v>
      </c>
      <c r="BR32" s="3361"/>
      <c r="BS32" s="3361"/>
      <c r="BT32" s="3361"/>
      <c r="BU32" s="3362"/>
      <c r="BV32" s="3363">
        <v>46.15</v>
      </c>
      <c r="BW32" s="3364"/>
      <c r="BX32" s="3364"/>
      <c r="BY32" s="3364"/>
      <c r="BZ32" s="3365"/>
      <c r="CA32" s="3363">
        <v>46.15</v>
      </c>
      <c r="CB32" s="3364"/>
      <c r="CC32" s="3364"/>
      <c r="CD32" s="3364"/>
      <c r="CE32" s="3365"/>
      <c r="CF32" s="3363">
        <v>46.12</v>
      </c>
      <c r="CG32" s="3364"/>
      <c r="CH32" s="3364"/>
      <c r="CI32" s="3364"/>
      <c r="CJ32" s="3364"/>
      <c r="CK32" s="3367"/>
      <c r="CL32" s="3367"/>
      <c r="CM32" s="3367"/>
      <c r="CN32" s="3367"/>
      <c r="CO32" s="3367"/>
      <c r="CP32" s="3367"/>
      <c r="CQ32" s="3367"/>
      <c r="CR32" s="3367"/>
      <c r="CS32" s="3367"/>
      <c r="CT32" s="3367"/>
      <c r="CU32" s="3367"/>
      <c r="CV32" s="3367"/>
      <c r="CW32" s="3367"/>
      <c r="CX32" s="3367"/>
      <c r="CY32" s="3367"/>
      <c r="DB32" s="3340">
        <v>80</v>
      </c>
      <c r="DC32" s="3341"/>
      <c r="DD32" s="3341"/>
      <c r="DE32" s="900" t="s">
        <v>127</v>
      </c>
      <c r="DF32" s="901" t="s">
        <v>128</v>
      </c>
      <c r="DG32" s="3360">
        <v>46.160000000000004</v>
      </c>
      <c r="DH32" s="3361"/>
      <c r="DI32" s="3361"/>
      <c r="DJ32" s="3361"/>
      <c r="DK32" s="3362"/>
      <c r="DL32" s="3360">
        <v>46.160000000000004</v>
      </c>
      <c r="DM32" s="3361"/>
      <c r="DN32" s="3361"/>
      <c r="DO32" s="3361"/>
      <c r="DP32" s="3362"/>
      <c r="DQ32" s="3360">
        <v>46.160000000000004</v>
      </c>
      <c r="DR32" s="3361"/>
      <c r="DS32" s="3361"/>
      <c r="DT32" s="3361"/>
      <c r="DU32" s="3362"/>
      <c r="DV32" s="3363">
        <v>46.15</v>
      </c>
      <c r="DW32" s="3364"/>
      <c r="DX32" s="3364"/>
      <c r="DY32" s="3364"/>
      <c r="DZ32" s="3365"/>
      <c r="EA32" s="3363">
        <v>46.15</v>
      </c>
      <c r="EB32" s="3364"/>
      <c r="EC32" s="3364"/>
      <c r="ED32" s="3364"/>
      <c r="EE32" s="3365"/>
      <c r="EF32" s="3363">
        <v>46.12</v>
      </c>
      <c r="EG32" s="3364"/>
      <c r="EH32" s="3364"/>
      <c r="EI32" s="3364"/>
      <c r="EJ32" s="3364"/>
    </row>
    <row r="33" spans="1:140" ht="16.5" outlineLevel="1">
      <c r="A33" s="3340">
        <v>60</v>
      </c>
      <c r="B33" s="3341"/>
      <c r="C33" s="3341"/>
      <c r="D33" s="900" t="s">
        <v>127</v>
      </c>
      <c r="E33" s="901" t="s">
        <v>128</v>
      </c>
      <c r="F33" s="3360">
        <v>34.619999999999997</v>
      </c>
      <c r="G33" s="3361"/>
      <c r="H33" s="3361"/>
      <c r="I33" s="3361"/>
      <c r="J33" s="3362"/>
      <c r="K33" s="3360">
        <v>34.619999999999997</v>
      </c>
      <c r="L33" s="3361"/>
      <c r="M33" s="3361"/>
      <c r="N33" s="3361"/>
      <c r="O33" s="3362"/>
      <c r="P33" s="3360">
        <v>34.619999999999997</v>
      </c>
      <c r="Q33" s="3361"/>
      <c r="R33" s="3361"/>
      <c r="S33" s="3361"/>
      <c r="T33" s="3362"/>
      <c r="U33" s="3363">
        <v>34.61</v>
      </c>
      <c r="V33" s="3364"/>
      <c r="W33" s="3364"/>
      <c r="X33" s="3364"/>
      <c r="Y33" s="3365"/>
      <c r="Z33" s="3363">
        <v>34.61</v>
      </c>
      <c r="AA33" s="3364"/>
      <c r="AB33" s="3364"/>
      <c r="AC33" s="3364"/>
      <c r="AD33" s="3365"/>
      <c r="AE33" s="3337">
        <v>34.6</v>
      </c>
      <c r="AF33" s="3337"/>
      <c r="AG33" s="3337"/>
      <c r="AH33" s="3337"/>
      <c r="AI33" s="3337"/>
      <c r="AJ33" s="3367"/>
      <c r="AK33" s="3367"/>
      <c r="AL33" s="3367"/>
      <c r="AM33" s="3367"/>
      <c r="AN33" s="3367"/>
      <c r="AO33" s="3367"/>
      <c r="AP33" s="3367"/>
      <c r="AQ33" s="3367"/>
      <c r="AR33" s="3367"/>
      <c r="AS33" s="3367"/>
      <c r="AT33" s="3367"/>
      <c r="AU33" s="3367"/>
      <c r="AV33" s="3367"/>
      <c r="AW33" s="3367"/>
      <c r="AX33" s="3367"/>
      <c r="BB33" s="3340">
        <v>60</v>
      </c>
      <c r="BC33" s="3341"/>
      <c r="BD33" s="3341"/>
      <c r="BE33" s="900" t="s">
        <v>127</v>
      </c>
      <c r="BF33" s="901" t="s">
        <v>128</v>
      </c>
      <c r="BG33" s="3360">
        <v>34.619999999999997</v>
      </c>
      <c r="BH33" s="3361"/>
      <c r="BI33" s="3361"/>
      <c r="BJ33" s="3361"/>
      <c r="BK33" s="3362"/>
      <c r="BL33" s="3360">
        <v>34.619999999999997</v>
      </c>
      <c r="BM33" s="3361"/>
      <c r="BN33" s="3361"/>
      <c r="BO33" s="3361"/>
      <c r="BP33" s="3362"/>
      <c r="BQ33" s="3360">
        <v>34.619999999999997</v>
      </c>
      <c r="BR33" s="3361"/>
      <c r="BS33" s="3361"/>
      <c r="BT33" s="3361"/>
      <c r="BU33" s="3362"/>
      <c r="BV33" s="3363">
        <v>34.61</v>
      </c>
      <c r="BW33" s="3364"/>
      <c r="BX33" s="3364"/>
      <c r="BY33" s="3364"/>
      <c r="BZ33" s="3365"/>
      <c r="CA33" s="3363">
        <v>34.61</v>
      </c>
      <c r="CB33" s="3364"/>
      <c r="CC33" s="3364"/>
      <c r="CD33" s="3364"/>
      <c r="CE33" s="3365"/>
      <c r="CF33" s="3363">
        <v>34.6</v>
      </c>
      <c r="CG33" s="3364"/>
      <c r="CH33" s="3364"/>
      <c r="CI33" s="3364"/>
      <c r="CJ33" s="3364"/>
      <c r="CK33" s="3367"/>
      <c r="CL33" s="3367"/>
      <c r="CM33" s="3367"/>
      <c r="CN33" s="3367"/>
      <c r="CO33" s="3367"/>
      <c r="CP33" s="3367"/>
      <c r="CQ33" s="3367"/>
      <c r="CR33" s="3367"/>
      <c r="CS33" s="3367"/>
      <c r="CT33" s="3367"/>
      <c r="CU33" s="3367"/>
      <c r="CV33" s="3367"/>
      <c r="CW33" s="3367"/>
      <c r="CX33" s="3367"/>
      <c r="CY33" s="3367"/>
      <c r="DB33" s="3340">
        <v>60</v>
      </c>
      <c r="DC33" s="3341"/>
      <c r="DD33" s="3341"/>
      <c r="DE33" s="900" t="s">
        <v>127</v>
      </c>
      <c r="DF33" s="901" t="s">
        <v>128</v>
      </c>
      <c r="DG33" s="3360">
        <v>34.619999999999997</v>
      </c>
      <c r="DH33" s="3361"/>
      <c r="DI33" s="3361"/>
      <c r="DJ33" s="3361"/>
      <c r="DK33" s="3362"/>
      <c r="DL33" s="3360">
        <v>34.619999999999997</v>
      </c>
      <c r="DM33" s="3361"/>
      <c r="DN33" s="3361"/>
      <c r="DO33" s="3361"/>
      <c r="DP33" s="3362"/>
      <c r="DQ33" s="3360">
        <v>34.619999999999997</v>
      </c>
      <c r="DR33" s="3361"/>
      <c r="DS33" s="3361"/>
      <c r="DT33" s="3361"/>
      <c r="DU33" s="3362"/>
      <c r="DV33" s="3363">
        <v>34.61</v>
      </c>
      <c r="DW33" s="3364"/>
      <c r="DX33" s="3364"/>
      <c r="DY33" s="3364"/>
      <c r="DZ33" s="3365"/>
      <c r="EA33" s="3363">
        <v>34.61</v>
      </c>
      <c r="EB33" s="3364"/>
      <c r="EC33" s="3364"/>
      <c r="ED33" s="3364"/>
      <c r="EE33" s="3365"/>
      <c r="EF33" s="3363">
        <v>34.6</v>
      </c>
      <c r="EG33" s="3364"/>
      <c r="EH33" s="3364"/>
      <c r="EI33" s="3364"/>
      <c r="EJ33" s="3364"/>
    </row>
    <row r="34" spans="1:140" ht="16.5" outlineLevel="1">
      <c r="A34" s="3340">
        <v>40</v>
      </c>
      <c r="B34" s="3341"/>
      <c r="C34" s="3341"/>
      <c r="D34" s="900" t="s">
        <v>127</v>
      </c>
      <c r="E34" s="901" t="s">
        <v>128</v>
      </c>
      <c r="F34" s="3360">
        <v>23.080000000000002</v>
      </c>
      <c r="G34" s="3361"/>
      <c r="H34" s="3361"/>
      <c r="I34" s="3361"/>
      <c r="J34" s="3362"/>
      <c r="K34" s="3360">
        <v>23.080000000000002</v>
      </c>
      <c r="L34" s="3361"/>
      <c r="M34" s="3361"/>
      <c r="N34" s="3361"/>
      <c r="O34" s="3362"/>
      <c r="P34" s="3360">
        <v>23.080000000000002</v>
      </c>
      <c r="Q34" s="3361"/>
      <c r="R34" s="3361"/>
      <c r="S34" s="3361"/>
      <c r="T34" s="3362"/>
      <c r="U34" s="3363">
        <v>23.07</v>
      </c>
      <c r="V34" s="3364"/>
      <c r="W34" s="3364"/>
      <c r="X34" s="3364"/>
      <c r="Y34" s="3365"/>
      <c r="Z34" s="3363">
        <v>23.08</v>
      </c>
      <c r="AA34" s="3364"/>
      <c r="AB34" s="3364"/>
      <c r="AC34" s="3364"/>
      <c r="AD34" s="3365"/>
      <c r="AE34" s="3337">
        <v>23.06</v>
      </c>
      <c r="AF34" s="3337"/>
      <c r="AG34" s="3337"/>
      <c r="AH34" s="3337"/>
      <c r="AI34" s="3337"/>
      <c r="AJ34" s="3367"/>
      <c r="AK34" s="3367"/>
      <c r="AL34" s="3367"/>
      <c r="AM34" s="3367"/>
      <c r="AN34" s="3367"/>
      <c r="AO34" s="3367"/>
      <c r="AP34" s="3367"/>
      <c r="AQ34" s="3367"/>
      <c r="AR34" s="3367"/>
      <c r="AS34" s="3367"/>
      <c r="AT34" s="3367"/>
      <c r="AU34" s="3367"/>
      <c r="AV34" s="3367"/>
      <c r="AW34" s="3367"/>
      <c r="AX34" s="3367"/>
      <c r="BB34" s="3340">
        <v>40</v>
      </c>
      <c r="BC34" s="3341"/>
      <c r="BD34" s="3341"/>
      <c r="BE34" s="900" t="s">
        <v>127</v>
      </c>
      <c r="BF34" s="901" t="s">
        <v>128</v>
      </c>
      <c r="BG34" s="3360">
        <v>23.080000000000002</v>
      </c>
      <c r="BH34" s="3361"/>
      <c r="BI34" s="3361"/>
      <c r="BJ34" s="3361"/>
      <c r="BK34" s="3362"/>
      <c r="BL34" s="3360">
        <v>23.080000000000002</v>
      </c>
      <c r="BM34" s="3361"/>
      <c r="BN34" s="3361"/>
      <c r="BO34" s="3361"/>
      <c r="BP34" s="3362"/>
      <c r="BQ34" s="3360">
        <v>23.080000000000002</v>
      </c>
      <c r="BR34" s="3361"/>
      <c r="BS34" s="3361"/>
      <c r="BT34" s="3361"/>
      <c r="BU34" s="3362"/>
      <c r="BV34" s="3363">
        <v>23.07</v>
      </c>
      <c r="BW34" s="3364"/>
      <c r="BX34" s="3364"/>
      <c r="BY34" s="3364"/>
      <c r="BZ34" s="3365"/>
      <c r="CA34" s="3363">
        <v>23.08</v>
      </c>
      <c r="CB34" s="3364"/>
      <c r="CC34" s="3364"/>
      <c r="CD34" s="3364"/>
      <c r="CE34" s="3365"/>
      <c r="CF34" s="3363">
        <v>23.06</v>
      </c>
      <c r="CG34" s="3364"/>
      <c r="CH34" s="3364"/>
      <c r="CI34" s="3364"/>
      <c r="CJ34" s="3364"/>
      <c r="CK34" s="3367"/>
      <c r="CL34" s="3367"/>
      <c r="CM34" s="3367"/>
      <c r="CN34" s="3367"/>
      <c r="CO34" s="3367"/>
      <c r="CP34" s="3367"/>
      <c r="CQ34" s="3367"/>
      <c r="CR34" s="3367"/>
      <c r="CS34" s="3367"/>
      <c r="CT34" s="3367"/>
      <c r="CU34" s="3367"/>
      <c r="CV34" s="3367"/>
      <c r="CW34" s="3367"/>
      <c r="CX34" s="3367"/>
      <c r="CY34" s="3367"/>
      <c r="DB34" s="3340">
        <v>40</v>
      </c>
      <c r="DC34" s="3341"/>
      <c r="DD34" s="3341"/>
      <c r="DE34" s="900" t="s">
        <v>127</v>
      </c>
      <c r="DF34" s="901" t="s">
        <v>128</v>
      </c>
      <c r="DG34" s="3360">
        <v>23.080000000000002</v>
      </c>
      <c r="DH34" s="3361"/>
      <c r="DI34" s="3361"/>
      <c r="DJ34" s="3361"/>
      <c r="DK34" s="3362"/>
      <c r="DL34" s="3360">
        <v>23.080000000000002</v>
      </c>
      <c r="DM34" s="3361"/>
      <c r="DN34" s="3361"/>
      <c r="DO34" s="3361"/>
      <c r="DP34" s="3362"/>
      <c r="DQ34" s="3360">
        <v>23.080000000000002</v>
      </c>
      <c r="DR34" s="3361"/>
      <c r="DS34" s="3361"/>
      <c r="DT34" s="3361"/>
      <c r="DU34" s="3362"/>
      <c r="DV34" s="3363">
        <v>23.07</v>
      </c>
      <c r="DW34" s="3364"/>
      <c r="DX34" s="3364"/>
      <c r="DY34" s="3364"/>
      <c r="DZ34" s="3365"/>
      <c r="EA34" s="3363">
        <v>23.08</v>
      </c>
      <c r="EB34" s="3364"/>
      <c r="EC34" s="3364"/>
      <c r="ED34" s="3364"/>
      <c r="EE34" s="3365"/>
      <c r="EF34" s="3363">
        <v>23.06</v>
      </c>
      <c r="EG34" s="3364"/>
      <c r="EH34" s="3364"/>
      <c r="EI34" s="3364"/>
      <c r="EJ34" s="3364"/>
    </row>
    <row r="35" spans="1:140" ht="16.5" outlineLevel="1">
      <c r="A35" s="3340">
        <v>0</v>
      </c>
      <c r="B35" s="3341"/>
      <c r="C35" s="3341"/>
      <c r="D35" s="900" t="s">
        <v>127</v>
      </c>
      <c r="E35" s="901" t="s">
        <v>128</v>
      </c>
      <c r="F35" s="3360">
        <v>0</v>
      </c>
      <c r="G35" s="3361"/>
      <c r="H35" s="3361"/>
      <c r="I35" s="3361"/>
      <c r="J35" s="3362"/>
      <c r="K35" s="3360">
        <v>0</v>
      </c>
      <c r="L35" s="3361"/>
      <c r="M35" s="3361"/>
      <c r="N35" s="3361"/>
      <c r="O35" s="3362"/>
      <c r="P35" s="3360">
        <v>0</v>
      </c>
      <c r="Q35" s="3361"/>
      <c r="R35" s="3361"/>
      <c r="S35" s="3361"/>
      <c r="T35" s="3362"/>
      <c r="U35" s="3363">
        <v>0</v>
      </c>
      <c r="V35" s="3364"/>
      <c r="W35" s="3364"/>
      <c r="X35" s="3364"/>
      <c r="Y35" s="3365"/>
      <c r="Z35" s="3363">
        <v>0</v>
      </c>
      <c r="AA35" s="3364"/>
      <c r="AB35" s="3364"/>
      <c r="AC35" s="3364"/>
      <c r="AD35" s="3365"/>
      <c r="AE35" s="3337">
        <v>0</v>
      </c>
      <c r="AF35" s="3337"/>
      <c r="AG35" s="3337"/>
      <c r="AH35" s="3337"/>
      <c r="AI35" s="3337"/>
      <c r="AJ35" s="3367"/>
      <c r="AK35" s="3367"/>
      <c r="AL35" s="3367"/>
      <c r="AM35" s="3367"/>
      <c r="AN35" s="3367"/>
      <c r="AO35" s="3367"/>
      <c r="AP35" s="3367"/>
      <c r="AQ35" s="3367"/>
      <c r="AR35" s="3367"/>
      <c r="AS35" s="3367"/>
      <c r="AT35" s="3367"/>
      <c r="AU35" s="3367"/>
      <c r="AV35" s="3367"/>
      <c r="AW35" s="3367"/>
      <c r="AX35" s="3367"/>
      <c r="BB35" s="3340">
        <v>0</v>
      </c>
      <c r="BC35" s="3341"/>
      <c r="BD35" s="3341"/>
      <c r="BE35" s="900" t="s">
        <v>127</v>
      </c>
      <c r="BF35" s="901" t="s">
        <v>128</v>
      </c>
      <c r="BG35" s="3360">
        <v>0</v>
      </c>
      <c r="BH35" s="3361"/>
      <c r="BI35" s="3361"/>
      <c r="BJ35" s="3361"/>
      <c r="BK35" s="3362"/>
      <c r="BL35" s="3360">
        <v>0</v>
      </c>
      <c r="BM35" s="3361"/>
      <c r="BN35" s="3361"/>
      <c r="BO35" s="3361"/>
      <c r="BP35" s="3362"/>
      <c r="BQ35" s="3360">
        <v>0</v>
      </c>
      <c r="BR35" s="3361"/>
      <c r="BS35" s="3361"/>
      <c r="BT35" s="3361"/>
      <c r="BU35" s="3362"/>
      <c r="BV35" s="3363">
        <v>0</v>
      </c>
      <c r="BW35" s="3364"/>
      <c r="BX35" s="3364"/>
      <c r="BY35" s="3364"/>
      <c r="BZ35" s="3365"/>
      <c r="CA35" s="3363">
        <v>0</v>
      </c>
      <c r="CB35" s="3364"/>
      <c r="CC35" s="3364"/>
      <c r="CD35" s="3364"/>
      <c r="CE35" s="3365"/>
      <c r="CF35" s="3363">
        <v>0</v>
      </c>
      <c r="CG35" s="3364"/>
      <c r="CH35" s="3364"/>
      <c r="CI35" s="3364"/>
      <c r="CJ35" s="3364"/>
      <c r="CK35" s="3367"/>
      <c r="CL35" s="3367"/>
      <c r="CM35" s="3367"/>
      <c r="CN35" s="3367"/>
      <c r="CO35" s="3367"/>
      <c r="CP35" s="3367"/>
      <c r="CQ35" s="3367"/>
      <c r="CR35" s="3367"/>
      <c r="CS35" s="3367"/>
      <c r="CT35" s="3367"/>
      <c r="CU35" s="3367"/>
      <c r="CV35" s="3367"/>
      <c r="CW35" s="3367"/>
      <c r="CX35" s="3367"/>
      <c r="CY35" s="3367"/>
      <c r="DB35" s="3340">
        <v>0</v>
      </c>
      <c r="DC35" s="3341"/>
      <c r="DD35" s="3341"/>
      <c r="DE35" s="900" t="s">
        <v>127</v>
      </c>
      <c r="DF35" s="901" t="s">
        <v>128</v>
      </c>
      <c r="DG35" s="3360">
        <v>0</v>
      </c>
      <c r="DH35" s="3361"/>
      <c r="DI35" s="3361"/>
      <c r="DJ35" s="3361"/>
      <c r="DK35" s="3362"/>
      <c r="DL35" s="3360">
        <v>0</v>
      </c>
      <c r="DM35" s="3361"/>
      <c r="DN35" s="3361"/>
      <c r="DO35" s="3361"/>
      <c r="DP35" s="3362"/>
      <c r="DQ35" s="3360">
        <v>0</v>
      </c>
      <c r="DR35" s="3361"/>
      <c r="DS35" s="3361"/>
      <c r="DT35" s="3361"/>
      <c r="DU35" s="3362"/>
      <c r="DV35" s="3363">
        <v>0</v>
      </c>
      <c r="DW35" s="3364"/>
      <c r="DX35" s="3364"/>
      <c r="DY35" s="3364"/>
      <c r="DZ35" s="3365"/>
      <c r="EA35" s="3363">
        <v>0</v>
      </c>
      <c r="EB35" s="3364"/>
      <c r="EC35" s="3364"/>
      <c r="ED35" s="3364"/>
      <c r="EE35" s="3365"/>
      <c r="EF35" s="3363">
        <v>0</v>
      </c>
      <c r="EG35" s="3364"/>
      <c r="EH35" s="3364"/>
      <c r="EI35" s="3364"/>
      <c r="EJ35" s="3364"/>
    </row>
    <row r="36" spans="1:140" outlineLevel="1"/>
    <row r="37" spans="1:140" ht="16.5" outlineLevel="1">
      <c r="A37" s="3332" t="s">
        <v>138</v>
      </c>
      <c r="B37" s="3333"/>
      <c r="C37" s="3317" t="s">
        <v>139</v>
      </c>
      <c r="D37" s="3317"/>
      <c r="E37" s="3317"/>
      <c r="F37" s="893" t="s">
        <v>126</v>
      </c>
      <c r="G37" s="894" t="s">
        <v>140</v>
      </c>
      <c r="H37" s="895" t="s">
        <v>128</v>
      </c>
      <c r="I37" s="893" t="s">
        <v>129</v>
      </c>
      <c r="J37" s="3335">
        <v>1</v>
      </c>
      <c r="K37" s="3335"/>
      <c r="L37" s="3335"/>
      <c r="M37" s="3335"/>
      <c r="N37" s="893"/>
      <c r="O37" s="893" t="s">
        <v>130</v>
      </c>
      <c r="P37" s="3333" t="s">
        <v>131</v>
      </c>
      <c r="Q37" s="3333"/>
      <c r="R37" s="3333"/>
      <c r="S37" s="3336">
        <v>0.2</v>
      </c>
      <c r="T37" s="3336"/>
      <c r="U37" s="3336"/>
      <c r="V37" s="893" t="s">
        <v>132</v>
      </c>
      <c r="W37" s="893"/>
      <c r="X37" s="893" t="s">
        <v>133</v>
      </c>
      <c r="Y37" s="893"/>
      <c r="Z37" s="893"/>
      <c r="AA37" s="893"/>
      <c r="AB37" s="893"/>
      <c r="AC37" s="893"/>
      <c r="AD37" s="893"/>
      <c r="AE37" s="893"/>
      <c r="AF37" s="893"/>
      <c r="AG37" s="893"/>
      <c r="AH37" s="893"/>
      <c r="AI37" s="893"/>
      <c r="AJ37" s="893"/>
      <c r="AK37" s="893"/>
      <c r="AL37" s="893"/>
      <c r="AM37" s="893"/>
      <c r="AN37" s="893"/>
      <c r="AO37" s="893"/>
      <c r="AP37" s="893"/>
      <c r="AQ37" s="893"/>
      <c r="AR37" s="893"/>
      <c r="AS37" s="893"/>
      <c r="AT37" s="893"/>
      <c r="AU37" s="893"/>
      <c r="AV37" s="893"/>
      <c r="AW37" s="893"/>
      <c r="AX37" s="896"/>
      <c r="AY37" s="702" t="s">
        <v>2362</v>
      </c>
      <c r="BB37" s="3332" t="s">
        <v>138</v>
      </c>
      <c r="BC37" s="3333"/>
      <c r="BD37" s="3317" t="s">
        <v>139</v>
      </c>
      <c r="BE37" s="3317"/>
      <c r="BF37" s="3317"/>
      <c r="BG37" s="893" t="s">
        <v>126</v>
      </c>
      <c r="BH37" s="894" t="s">
        <v>140</v>
      </c>
      <c r="BI37" s="895" t="s">
        <v>128</v>
      </c>
      <c r="BJ37" s="893" t="s">
        <v>129</v>
      </c>
      <c r="BK37" s="3335">
        <v>1</v>
      </c>
      <c r="BL37" s="3335"/>
      <c r="BM37" s="3335"/>
      <c r="BN37" s="3335"/>
      <c r="BO37" s="893"/>
      <c r="BP37" s="893" t="s">
        <v>130</v>
      </c>
      <c r="BQ37" s="3333" t="s">
        <v>131</v>
      </c>
      <c r="BR37" s="3333"/>
      <c r="BS37" s="3333"/>
      <c r="BT37" s="3336">
        <v>0.2</v>
      </c>
      <c r="BU37" s="3336"/>
      <c r="BV37" s="3336"/>
      <c r="BW37" s="893" t="s">
        <v>132</v>
      </c>
      <c r="BX37" s="893"/>
      <c r="BY37" s="893" t="s">
        <v>133</v>
      </c>
      <c r="BZ37" s="893"/>
      <c r="CA37" s="893"/>
      <c r="CB37" s="893"/>
      <c r="CC37" s="893"/>
      <c r="CD37" s="893"/>
      <c r="CE37" s="893"/>
      <c r="CF37" s="893"/>
      <c r="CG37" s="893"/>
      <c r="CH37" s="893"/>
      <c r="CI37" s="893"/>
      <c r="CJ37" s="893"/>
      <c r="CK37" s="893"/>
      <c r="CL37" s="893"/>
      <c r="CM37" s="893"/>
      <c r="CN37" s="893"/>
      <c r="CO37" s="893"/>
      <c r="CP37" s="893"/>
      <c r="CQ37" s="893"/>
      <c r="CR37" s="893"/>
      <c r="CS37" s="893"/>
      <c r="CT37" s="893"/>
      <c r="CU37" s="893"/>
      <c r="CV37" s="893"/>
      <c r="CW37" s="893"/>
      <c r="CX37" s="893"/>
      <c r="CY37" s="896"/>
      <c r="DB37" s="3332" t="s">
        <v>138</v>
      </c>
      <c r="DC37" s="3333"/>
      <c r="DD37" s="3317" t="s">
        <v>139</v>
      </c>
      <c r="DE37" s="3317"/>
      <c r="DF37" s="3317"/>
      <c r="DG37" s="893" t="s">
        <v>126</v>
      </c>
      <c r="DH37" s="894" t="s">
        <v>140</v>
      </c>
      <c r="DI37" s="895" t="s">
        <v>128</v>
      </c>
      <c r="DJ37" s="893" t="s">
        <v>129</v>
      </c>
      <c r="DK37" s="3335">
        <v>1</v>
      </c>
      <c r="DL37" s="3335"/>
      <c r="DM37" s="3335"/>
      <c r="DN37" s="3335"/>
      <c r="DO37" s="893"/>
      <c r="DP37" s="893" t="s">
        <v>130</v>
      </c>
      <c r="DQ37" s="3333" t="s">
        <v>131</v>
      </c>
      <c r="DR37" s="3333"/>
      <c r="DS37" s="3333"/>
      <c r="DT37" s="3336">
        <v>0.2</v>
      </c>
      <c r="DU37" s="3336"/>
      <c r="DV37" s="3336"/>
      <c r="DW37" s="893" t="s">
        <v>132</v>
      </c>
      <c r="DX37" s="893"/>
      <c r="DY37" s="893" t="s">
        <v>133</v>
      </c>
      <c r="DZ37" s="893"/>
      <c r="EA37" s="893"/>
      <c r="EB37" s="893"/>
      <c r="EC37" s="893"/>
      <c r="ED37" s="893"/>
      <c r="EE37" s="893"/>
      <c r="EF37" s="893"/>
      <c r="EG37" s="893"/>
      <c r="EH37" s="893"/>
      <c r="EI37" s="893"/>
      <c r="EJ37" s="893"/>
    </row>
    <row r="38" spans="1:140" ht="33" outlineLevel="1">
      <c r="A38" s="3353" t="s">
        <v>134</v>
      </c>
      <c r="B38" s="3354"/>
      <c r="C38" s="3354"/>
      <c r="D38" s="3354"/>
      <c r="E38" s="3355"/>
      <c r="F38" s="3316" t="s">
        <v>141</v>
      </c>
      <c r="G38" s="3317"/>
      <c r="H38" s="3317"/>
      <c r="I38" s="3317"/>
      <c r="J38" s="3317"/>
      <c r="K38" s="3317"/>
      <c r="L38" s="3317"/>
      <c r="M38" s="3317"/>
      <c r="N38" s="3317"/>
      <c r="O38" s="3317"/>
      <c r="P38" s="3317"/>
      <c r="Q38" s="3317"/>
      <c r="R38" s="3317"/>
      <c r="S38" s="3317"/>
      <c r="T38" s="3318"/>
      <c r="U38" s="3316" t="s">
        <v>142</v>
      </c>
      <c r="V38" s="3317"/>
      <c r="W38" s="3317"/>
      <c r="X38" s="3317"/>
      <c r="Y38" s="3317"/>
      <c r="Z38" s="3317"/>
      <c r="AA38" s="3317"/>
      <c r="AB38" s="3317"/>
      <c r="AC38" s="3317"/>
      <c r="AD38" s="3317"/>
      <c r="AE38" s="3317"/>
      <c r="AF38" s="3317"/>
      <c r="AG38" s="3317"/>
      <c r="AH38" s="3317"/>
      <c r="AI38" s="3318"/>
      <c r="AJ38" s="3316" t="s">
        <v>2359</v>
      </c>
      <c r="AK38" s="3317"/>
      <c r="AL38" s="3317"/>
      <c r="AM38" s="3317"/>
      <c r="AN38" s="3317"/>
      <c r="AO38" s="3317"/>
      <c r="AP38" s="3317"/>
      <c r="AQ38" s="3317"/>
      <c r="AR38" s="3317"/>
      <c r="AS38" s="3317"/>
      <c r="AT38" s="3317"/>
      <c r="AU38" s="3317"/>
      <c r="AV38" s="3317"/>
      <c r="AW38" s="3317"/>
      <c r="AX38" s="3318"/>
      <c r="AY38" s="899" t="s">
        <v>2363</v>
      </c>
      <c r="BB38" s="3353" t="s">
        <v>134</v>
      </c>
      <c r="BC38" s="3354"/>
      <c r="BD38" s="3354"/>
      <c r="BE38" s="3354"/>
      <c r="BF38" s="3355"/>
      <c r="BG38" s="3316" t="s">
        <v>141</v>
      </c>
      <c r="BH38" s="3317"/>
      <c r="BI38" s="3317"/>
      <c r="BJ38" s="3317"/>
      <c r="BK38" s="3317"/>
      <c r="BL38" s="3317"/>
      <c r="BM38" s="3317"/>
      <c r="BN38" s="3317"/>
      <c r="BO38" s="3317"/>
      <c r="BP38" s="3317"/>
      <c r="BQ38" s="3317"/>
      <c r="BR38" s="3317"/>
      <c r="BS38" s="3317"/>
      <c r="BT38" s="3317"/>
      <c r="BU38" s="3318"/>
      <c r="BV38" s="3316" t="s">
        <v>142</v>
      </c>
      <c r="BW38" s="3317"/>
      <c r="BX38" s="3317"/>
      <c r="BY38" s="3317"/>
      <c r="BZ38" s="3317"/>
      <c r="CA38" s="3317"/>
      <c r="CB38" s="3317"/>
      <c r="CC38" s="3317"/>
      <c r="CD38" s="3317"/>
      <c r="CE38" s="3317"/>
      <c r="CF38" s="3317"/>
      <c r="CG38" s="3317"/>
      <c r="CH38" s="3317"/>
      <c r="CI38" s="3317"/>
      <c r="CJ38" s="3318"/>
      <c r="CK38" s="3316" t="s">
        <v>2359</v>
      </c>
      <c r="CL38" s="3317"/>
      <c r="CM38" s="3317"/>
      <c r="CN38" s="3317"/>
      <c r="CO38" s="3317"/>
      <c r="CP38" s="3317"/>
      <c r="CQ38" s="3317"/>
      <c r="CR38" s="3317"/>
      <c r="CS38" s="3317"/>
      <c r="CT38" s="3317"/>
      <c r="CU38" s="3317"/>
      <c r="CV38" s="3317"/>
      <c r="CW38" s="3317"/>
      <c r="CX38" s="3317"/>
      <c r="CY38" s="3318"/>
      <c r="DB38" s="3353" t="s">
        <v>134</v>
      </c>
      <c r="DC38" s="3354"/>
      <c r="DD38" s="3354"/>
      <c r="DE38" s="3354"/>
      <c r="DF38" s="3355"/>
      <c r="DG38" s="3316" t="s">
        <v>141</v>
      </c>
      <c r="DH38" s="3317"/>
      <c r="DI38" s="3317"/>
      <c r="DJ38" s="3317"/>
      <c r="DK38" s="3317"/>
      <c r="DL38" s="3317"/>
      <c r="DM38" s="3317"/>
      <c r="DN38" s="3317"/>
      <c r="DO38" s="3317"/>
      <c r="DP38" s="3317"/>
      <c r="DQ38" s="3317"/>
      <c r="DR38" s="3317"/>
      <c r="DS38" s="3317"/>
      <c r="DT38" s="3317"/>
      <c r="DU38" s="3318"/>
      <c r="DV38" s="3316" t="s">
        <v>142</v>
      </c>
      <c r="DW38" s="3317"/>
      <c r="DX38" s="3317"/>
      <c r="DY38" s="3317"/>
      <c r="DZ38" s="3317"/>
      <c r="EA38" s="3317"/>
      <c r="EB38" s="3317"/>
      <c r="EC38" s="3317"/>
      <c r="ED38" s="3317"/>
      <c r="EE38" s="3317"/>
      <c r="EF38" s="3317"/>
      <c r="EG38" s="3317"/>
      <c r="EH38" s="3317"/>
      <c r="EI38" s="3317"/>
      <c r="EJ38" s="3318"/>
    </row>
    <row r="39" spans="1:140" outlineLevel="1">
      <c r="A39" s="3356"/>
      <c r="B39" s="3357"/>
      <c r="C39" s="3357"/>
      <c r="D39" s="3357"/>
      <c r="E39" s="3358"/>
      <c r="F39" s="3316" t="s">
        <v>135</v>
      </c>
      <c r="G39" s="3317"/>
      <c r="H39" s="3317"/>
      <c r="I39" s="3317"/>
      <c r="J39" s="3318"/>
      <c r="K39" s="3316" t="s">
        <v>136</v>
      </c>
      <c r="L39" s="3317"/>
      <c r="M39" s="3317"/>
      <c r="N39" s="3317"/>
      <c r="O39" s="3318"/>
      <c r="P39" s="3316" t="s">
        <v>137</v>
      </c>
      <c r="Q39" s="3317"/>
      <c r="R39" s="3317"/>
      <c r="S39" s="3317"/>
      <c r="T39" s="3318"/>
      <c r="U39" s="3316" t="s">
        <v>135</v>
      </c>
      <c r="V39" s="3317"/>
      <c r="W39" s="3317"/>
      <c r="X39" s="3317"/>
      <c r="Y39" s="3318"/>
      <c r="Z39" s="3316" t="s">
        <v>136</v>
      </c>
      <c r="AA39" s="3317"/>
      <c r="AB39" s="3317"/>
      <c r="AC39" s="3317"/>
      <c r="AD39" s="3318"/>
      <c r="AE39" s="3316" t="s">
        <v>137</v>
      </c>
      <c r="AF39" s="3317"/>
      <c r="AG39" s="3317"/>
      <c r="AH39" s="3317"/>
      <c r="AI39" s="3318"/>
      <c r="AJ39" s="3319"/>
      <c r="AK39" s="3320"/>
      <c r="AL39" s="3320"/>
      <c r="AM39" s="3320"/>
      <c r="AN39" s="3320"/>
      <c r="AO39" s="3320"/>
      <c r="AP39" s="3320"/>
      <c r="AQ39" s="3320"/>
      <c r="AR39" s="3320"/>
      <c r="AS39" s="3320"/>
      <c r="AT39" s="3320"/>
      <c r="AU39" s="3320"/>
      <c r="AV39" s="3320"/>
      <c r="AW39" s="3320"/>
      <c r="AX39" s="3359"/>
      <c r="BB39" s="3356"/>
      <c r="BC39" s="3357"/>
      <c r="BD39" s="3357"/>
      <c r="BE39" s="3357"/>
      <c r="BF39" s="3358"/>
      <c r="BG39" s="3316" t="s">
        <v>135</v>
      </c>
      <c r="BH39" s="3317"/>
      <c r="BI39" s="3317"/>
      <c r="BJ39" s="3317"/>
      <c r="BK39" s="3318"/>
      <c r="BL39" s="3316" t="s">
        <v>136</v>
      </c>
      <c r="BM39" s="3317"/>
      <c r="BN39" s="3317"/>
      <c r="BO39" s="3317"/>
      <c r="BP39" s="3318"/>
      <c r="BQ39" s="3316" t="s">
        <v>137</v>
      </c>
      <c r="BR39" s="3317"/>
      <c r="BS39" s="3317"/>
      <c r="BT39" s="3317"/>
      <c r="BU39" s="3318"/>
      <c r="BV39" s="3316" t="s">
        <v>135</v>
      </c>
      <c r="BW39" s="3317"/>
      <c r="BX39" s="3317"/>
      <c r="BY39" s="3317"/>
      <c r="BZ39" s="3318"/>
      <c r="CA39" s="3316" t="s">
        <v>136</v>
      </c>
      <c r="CB39" s="3317"/>
      <c r="CC39" s="3317"/>
      <c r="CD39" s="3317"/>
      <c r="CE39" s="3318"/>
      <c r="CF39" s="3316" t="s">
        <v>137</v>
      </c>
      <c r="CG39" s="3317"/>
      <c r="CH39" s="3317"/>
      <c r="CI39" s="3317"/>
      <c r="CJ39" s="3318"/>
      <c r="CK39" s="3319"/>
      <c r="CL39" s="3320"/>
      <c r="CM39" s="3320"/>
      <c r="CN39" s="3320"/>
      <c r="CO39" s="3320"/>
      <c r="CP39" s="3320"/>
      <c r="CQ39" s="3320"/>
      <c r="CR39" s="3320"/>
      <c r="CS39" s="3320"/>
      <c r="CT39" s="3320"/>
      <c r="CU39" s="3320"/>
      <c r="CV39" s="3320"/>
      <c r="CW39" s="3320"/>
      <c r="CX39" s="3320"/>
      <c r="CY39" s="3359"/>
      <c r="DB39" s="3356"/>
      <c r="DC39" s="3357"/>
      <c r="DD39" s="3357"/>
      <c r="DE39" s="3357"/>
      <c r="DF39" s="3358"/>
      <c r="DG39" s="3316" t="s">
        <v>135</v>
      </c>
      <c r="DH39" s="3317"/>
      <c r="DI39" s="3317"/>
      <c r="DJ39" s="3317"/>
      <c r="DK39" s="3318"/>
      <c r="DL39" s="3316" t="s">
        <v>136</v>
      </c>
      <c r="DM39" s="3317"/>
      <c r="DN39" s="3317"/>
      <c r="DO39" s="3317"/>
      <c r="DP39" s="3318"/>
      <c r="DQ39" s="3316" t="s">
        <v>137</v>
      </c>
      <c r="DR39" s="3317"/>
      <c r="DS39" s="3317"/>
      <c r="DT39" s="3317"/>
      <c r="DU39" s="3318"/>
      <c r="DV39" s="3316" t="s">
        <v>135</v>
      </c>
      <c r="DW39" s="3317"/>
      <c r="DX39" s="3317"/>
      <c r="DY39" s="3317"/>
      <c r="DZ39" s="3318"/>
      <c r="EA39" s="3316" t="s">
        <v>136</v>
      </c>
      <c r="EB39" s="3317"/>
      <c r="EC39" s="3317"/>
      <c r="ED39" s="3317"/>
      <c r="EE39" s="3318"/>
      <c r="EF39" s="3316" t="s">
        <v>137</v>
      </c>
      <c r="EG39" s="3317"/>
      <c r="EH39" s="3317"/>
      <c r="EI39" s="3317"/>
      <c r="EJ39" s="3318"/>
    </row>
    <row r="40" spans="1:140" ht="16.5" outlineLevel="1">
      <c r="A40" s="3308">
        <v>120</v>
      </c>
      <c r="B40" s="3309"/>
      <c r="C40" s="3309"/>
      <c r="D40" s="902" t="s">
        <v>140</v>
      </c>
      <c r="E40" s="903" t="s">
        <v>128</v>
      </c>
      <c r="F40" s="3350">
        <v>1.2</v>
      </c>
      <c r="G40" s="3351"/>
      <c r="H40" s="3351"/>
      <c r="I40" s="3351"/>
      <c r="J40" s="3352"/>
      <c r="K40" s="3350">
        <v>1.2</v>
      </c>
      <c r="L40" s="3351"/>
      <c r="M40" s="3351"/>
      <c r="N40" s="3351"/>
      <c r="O40" s="3352"/>
      <c r="P40" s="3350">
        <v>1.2</v>
      </c>
      <c r="Q40" s="3351"/>
      <c r="R40" s="3351"/>
      <c r="S40" s="3351"/>
      <c r="T40" s="3352"/>
      <c r="U40" s="3346">
        <v>1.198</v>
      </c>
      <c r="V40" s="3347"/>
      <c r="W40" s="3347"/>
      <c r="X40" s="3347"/>
      <c r="Y40" s="3348"/>
      <c r="Z40" s="3346">
        <v>1.2010000000000001</v>
      </c>
      <c r="AA40" s="3347"/>
      <c r="AB40" s="3347"/>
      <c r="AC40" s="3347"/>
      <c r="AD40" s="3348"/>
      <c r="AE40" s="3346">
        <v>1.2</v>
      </c>
      <c r="AF40" s="3347"/>
      <c r="AG40" s="3347"/>
      <c r="AH40" s="3347"/>
      <c r="AI40" s="3348"/>
      <c r="AJ40" s="3353"/>
      <c r="AK40" s="3354"/>
      <c r="AL40" s="3354"/>
      <c r="AM40" s="3354"/>
      <c r="AN40" s="3354"/>
      <c r="AO40" s="3354"/>
      <c r="AP40" s="3354"/>
      <c r="AQ40" s="3354"/>
      <c r="AR40" s="3354"/>
      <c r="AS40" s="3354"/>
      <c r="AT40" s="3354"/>
      <c r="AU40" s="3354"/>
      <c r="AV40" s="3354"/>
      <c r="AW40" s="3354"/>
      <c r="AX40" s="3355"/>
      <c r="BB40" s="3308">
        <v>120</v>
      </c>
      <c r="BC40" s="3309"/>
      <c r="BD40" s="3309"/>
      <c r="BE40" s="902" t="s">
        <v>140</v>
      </c>
      <c r="BF40" s="903" t="s">
        <v>128</v>
      </c>
      <c r="BG40" s="3350">
        <v>1.2</v>
      </c>
      <c r="BH40" s="3351"/>
      <c r="BI40" s="3351"/>
      <c r="BJ40" s="3351"/>
      <c r="BK40" s="3352"/>
      <c r="BL40" s="3350">
        <v>1.2</v>
      </c>
      <c r="BM40" s="3351"/>
      <c r="BN40" s="3351"/>
      <c r="BO40" s="3351"/>
      <c r="BP40" s="3352"/>
      <c r="BQ40" s="3350">
        <v>1.2</v>
      </c>
      <c r="BR40" s="3351"/>
      <c r="BS40" s="3351"/>
      <c r="BT40" s="3351"/>
      <c r="BU40" s="3352"/>
      <c r="BV40" s="3346">
        <v>1.198</v>
      </c>
      <c r="BW40" s="3347"/>
      <c r="BX40" s="3347"/>
      <c r="BY40" s="3347"/>
      <c r="BZ40" s="3348"/>
      <c r="CA40" s="3346">
        <v>1.2010000000000001</v>
      </c>
      <c r="CB40" s="3347"/>
      <c r="CC40" s="3347"/>
      <c r="CD40" s="3347"/>
      <c r="CE40" s="3348"/>
      <c r="CF40" s="3346">
        <v>1.2</v>
      </c>
      <c r="CG40" s="3347"/>
      <c r="CH40" s="3347"/>
      <c r="CI40" s="3347"/>
      <c r="CJ40" s="3348"/>
      <c r="CK40" s="3353"/>
      <c r="CL40" s="3354"/>
      <c r="CM40" s="3354"/>
      <c r="CN40" s="3354"/>
      <c r="CO40" s="3354"/>
      <c r="CP40" s="3354"/>
      <c r="CQ40" s="3354"/>
      <c r="CR40" s="3354"/>
      <c r="CS40" s="3354"/>
      <c r="CT40" s="3354"/>
      <c r="CU40" s="3354"/>
      <c r="CV40" s="3354"/>
      <c r="CW40" s="3354"/>
      <c r="CX40" s="3354"/>
      <c r="CY40" s="3355"/>
      <c r="DB40" s="3308">
        <v>120</v>
      </c>
      <c r="DC40" s="3309"/>
      <c r="DD40" s="3309"/>
      <c r="DE40" s="902" t="s">
        <v>140</v>
      </c>
      <c r="DF40" s="903" t="s">
        <v>128</v>
      </c>
      <c r="DG40" s="3350">
        <v>1.2</v>
      </c>
      <c r="DH40" s="3351"/>
      <c r="DI40" s="3351"/>
      <c r="DJ40" s="3351"/>
      <c r="DK40" s="3352"/>
      <c r="DL40" s="3350">
        <v>1.2</v>
      </c>
      <c r="DM40" s="3351"/>
      <c r="DN40" s="3351"/>
      <c r="DO40" s="3351"/>
      <c r="DP40" s="3352"/>
      <c r="DQ40" s="3350">
        <v>1.2</v>
      </c>
      <c r="DR40" s="3351"/>
      <c r="DS40" s="3351"/>
      <c r="DT40" s="3351"/>
      <c r="DU40" s="3352"/>
      <c r="DV40" s="3346">
        <v>1.198</v>
      </c>
      <c r="DW40" s="3347"/>
      <c r="DX40" s="3347"/>
      <c r="DY40" s="3347"/>
      <c r="DZ40" s="3348"/>
      <c r="EA40" s="3346">
        <v>1.2010000000000001</v>
      </c>
      <c r="EB40" s="3347"/>
      <c r="EC40" s="3347"/>
      <c r="ED40" s="3347"/>
      <c r="EE40" s="3348"/>
      <c r="EF40" s="3346">
        <v>1.2</v>
      </c>
      <c r="EG40" s="3347"/>
      <c r="EH40" s="3347"/>
      <c r="EI40" s="3347"/>
      <c r="EJ40" s="3348"/>
    </row>
    <row r="41" spans="1:140" ht="16.5" outlineLevel="1">
      <c r="A41" s="3308">
        <v>100</v>
      </c>
      <c r="B41" s="3309"/>
      <c r="C41" s="3309"/>
      <c r="D41" s="902" t="s">
        <v>140</v>
      </c>
      <c r="E41" s="903" t="s">
        <v>128</v>
      </c>
      <c r="F41" s="3350">
        <v>1</v>
      </c>
      <c r="G41" s="3351"/>
      <c r="H41" s="3351"/>
      <c r="I41" s="3351"/>
      <c r="J41" s="3352"/>
      <c r="K41" s="3350">
        <v>1</v>
      </c>
      <c r="L41" s="3351"/>
      <c r="M41" s="3351"/>
      <c r="N41" s="3351"/>
      <c r="O41" s="3352"/>
      <c r="P41" s="3350">
        <v>1</v>
      </c>
      <c r="Q41" s="3351"/>
      <c r="R41" s="3351"/>
      <c r="S41" s="3351"/>
      <c r="T41" s="3352"/>
      <c r="U41" s="3346">
        <v>0.999</v>
      </c>
      <c r="V41" s="3347"/>
      <c r="W41" s="3347"/>
      <c r="X41" s="3347"/>
      <c r="Y41" s="3348"/>
      <c r="Z41" s="3346">
        <v>0.99929999999999997</v>
      </c>
      <c r="AA41" s="3347"/>
      <c r="AB41" s="3347"/>
      <c r="AC41" s="3347"/>
      <c r="AD41" s="3348"/>
      <c r="AE41" s="3346">
        <v>0.999</v>
      </c>
      <c r="AF41" s="3347"/>
      <c r="AG41" s="3347"/>
      <c r="AH41" s="3347"/>
      <c r="AI41" s="3348"/>
      <c r="AJ41" s="3353"/>
      <c r="AK41" s="3354"/>
      <c r="AL41" s="3354"/>
      <c r="AM41" s="3354"/>
      <c r="AN41" s="3354"/>
      <c r="AO41" s="3354"/>
      <c r="AP41" s="3354"/>
      <c r="AQ41" s="3354"/>
      <c r="AR41" s="3354"/>
      <c r="AS41" s="3354"/>
      <c r="AT41" s="3354"/>
      <c r="AU41" s="3354"/>
      <c r="AV41" s="3354"/>
      <c r="AW41" s="3354"/>
      <c r="AX41" s="3355"/>
      <c r="BB41" s="3308">
        <v>100</v>
      </c>
      <c r="BC41" s="3309"/>
      <c r="BD41" s="3309"/>
      <c r="BE41" s="902" t="s">
        <v>140</v>
      </c>
      <c r="BF41" s="903" t="s">
        <v>128</v>
      </c>
      <c r="BG41" s="3350">
        <v>1</v>
      </c>
      <c r="BH41" s="3351"/>
      <c r="BI41" s="3351"/>
      <c r="BJ41" s="3351"/>
      <c r="BK41" s="3352"/>
      <c r="BL41" s="3350">
        <v>1</v>
      </c>
      <c r="BM41" s="3351"/>
      <c r="BN41" s="3351"/>
      <c r="BO41" s="3351"/>
      <c r="BP41" s="3352"/>
      <c r="BQ41" s="3350">
        <v>1</v>
      </c>
      <c r="BR41" s="3351"/>
      <c r="BS41" s="3351"/>
      <c r="BT41" s="3351"/>
      <c r="BU41" s="3352"/>
      <c r="BV41" s="3346">
        <v>0.999</v>
      </c>
      <c r="BW41" s="3347"/>
      <c r="BX41" s="3347"/>
      <c r="BY41" s="3347"/>
      <c r="BZ41" s="3348"/>
      <c r="CA41" s="3346">
        <v>0.99929999999999997</v>
      </c>
      <c r="CB41" s="3347"/>
      <c r="CC41" s="3347"/>
      <c r="CD41" s="3347"/>
      <c r="CE41" s="3348"/>
      <c r="CF41" s="3346">
        <v>0.999</v>
      </c>
      <c r="CG41" s="3347"/>
      <c r="CH41" s="3347"/>
      <c r="CI41" s="3347"/>
      <c r="CJ41" s="3348"/>
      <c r="CK41" s="3353"/>
      <c r="CL41" s="3354"/>
      <c r="CM41" s="3354"/>
      <c r="CN41" s="3354"/>
      <c r="CO41" s="3354"/>
      <c r="CP41" s="3354"/>
      <c r="CQ41" s="3354"/>
      <c r="CR41" s="3354"/>
      <c r="CS41" s="3354"/>
      <c r="CT41" s="3354"/>
      <c r="CU41" s="3354"/>
      <c r="CV41" s="3354"/>
      <c r="CW41" s="3354"/>
      <c r="CX41" s="3354"/>
      <c r="CY41" s="3355"/>
      <c r="DB41" s="3308">
        <v>100</v>
      </c>
      <c r="DC41" s="3309"/>
      <c r="DD41" s="3309"/>
      <c r="DE41" s="902" t="s">
        <v>140</v>
      </c>
      <c r="DF41" s="903" t="s">
        <v>128</v>
      </c>
      <c r="DG41" s="3350">
        <v>1</v>
      </c>
      <c r="DH41" s="3351"/>
      <c r="DI41" s="3351"/>
      <c r="DJ41" s="3351"/>
      <c r="DK41" s="3352"/>
      <c r="DL41" s="3350">
        <v>1</v>
      </c>
      <c r="DM41" s="3351"/>
      <c r="DN41" s="3351"/>
      <c r="DO41" s="3351"/>
      <c r="DP41" s="3352"/>
      <c r="DQ41" s="3350">
        <v>1</v>
      </c>
      <c r="DR41" s="3351"/>
      <c r="DS41" s="3351"/>
      <c r="DT41" s="3351"/>
      <c r="DU41" s="3352"/>
      <c r="DV41" s="3346">
        <v>0.999</v>
      </c>
      <c r="DW41" s="3347"/>
      <c r="DX41" s="3347"/>
      <c r="DY41" s="3347"/>
      <c r="DZ41" s="3348"/>
      <c r="EA41" s="3346">
        <v>0.99929999999999997</v>
      </c>
      <c r="EB41" s="3347"/>
      <c r="EC41" s="3347"/>
      <c r="ED41" s="3347"/>
      <c r="EE41" s="3348"/>
      <c r="EF41" s="3346">
        <v>0.999</v>
      </c>
      <c r="EG41" s="3347"/>
      <c r="EH41" s="3347"/>
      <c r="EI41" s="3347"/>
      <c r="EJ41" s="3348"/>
    </row>
    <row r="42" spans="1:140" ht="16.5" outlineLevel="1">
      <c r="A42" s="3308">
        <v>80</v>
      </c>
      <c r="B42" s="3309"/>
      <c r="C42" s="3309"/>
      <c r="D42" s="902" t="s">
        <v>140</v>
      </c>
      <c r="E42" s="903" t="s">
        <v>128</v>
      </c>
      <c r="F42" s="3350">
        <v>0.8</v>
      </c>
      <c r="G42" s="3351"/>
      <c r="H42" s="3351"/>
      <c r="I42" s="3351"/>
      <c r="J42" s="3352"/>
      <c r="K42" s="3350">
        <v>0.8</v>
      </c>
      <c r="L42" s="3351"/>
      <c r="M42" s="3351"/>
      <c r="N42" s="3351"/>
      <c r="O42" s="3352"/>
      <c r="P42" s="3350">
        <v>0.8</v>
      </c>
      <c r="Q42" s="3351"/>
      <c r="R42" s="3351"/>
      <c r="S42" s="3351"/>
      <c r="T42" s="3352"/>
      <c r="U42" s="3346">
        <v>0.79930000000000001</v>
      </c>
      <c r="V42" s="3347"/>
      <c r="W42" s="3347"/>
      <c r="X42" s="3347"/>
      <c r="Y42" s="3348"/>
      <c r="Z42" s="3346">
        <v>0.79959999999999998</v>
      </c>
      <c r="AA42" s="3347"/>
      <c r="AB42" s="3347"/>
      <c r="AC42" s="3347"/>
      <c r="AD42" s="3348"/>
      <c r="AE42" s="3346">
        <v>0.79930000000000001</v>
      </c>
      <c r="AF42" s="3347"/>
      <c r="AG42" s="3347"/>
      <c r="AH42" s="3347"/>
      <c r="AI42" s="3348"/>
      <c r="AJ42" s="3353"/>
      <c r="AK42" s="3354"/>
      <c r="AL42" s="3354"/>
      <c r="AM42" s="3354"/>
      <c r="AN42" s="3354"/>
      <c r="AO42" s="3354"/>
      <c r="AP42" s="3354"/>
      <c r="AQ42" s="3354"/>
      <c r="AR42" s="3354"/>
      <c r="AS42" s="3354"/>
      <c r="AT42" s="3354"/>
      <c r="AU42" s="3354"/>
      <c r="AV42" s="3354"/>
      <c r="AW42" s="3354"/>
      <c r="AX42" s="3355"/>
      <c r="BB42" s="3308">
        <v>80</v>
      </c>
      <c r="BC42" s="3309"/>
      <c r="BD42" s="3309"/>
      <c r="BE42" s="902" t="s">
        <v>140</v>
      </c>
      <c r="BF42" s="903" t="s">
        <v>128</v>
      </c>
      <c r="BG42" s="3350">
        <v>0.8</v>
      </c>
      <c r="BH42" s="3351"/>
      <c r="BI42" s="3351"/>
      <c r="BJ42" s="3351"/>
      <c r="BK42" s="3352"/>
      <c r="BL42" s="3350">
        <v>0.8</v>
      </c>
      <c r="BM42" s="3351"/>
      <c r="BN42" s="3351"/>
      <c r="BO42" s="3351"/>
      <c r="BP42" s="3352"/>
      <c r="BQ42" s="3350">
        <v>0.8</v>
      </c>
      <c r="BR42" s="3351"/>
      <c r="BS42" s="3351"/>
      <c r="BT42" s="3351"/>
      <c r="BU42" s="3352"/>
      <c r="BV42" s="3346">
        <v>0.79930000000000001</v>
      </c>
      <c r="BW42" s="3347"/>
      <c r="BX42" s="3347"/>
      <c r="BY42" s="3347"/>
      <c r="BZ42" s="3348"/>
      <c r="CA42" s="3346">
        <v>0.79959999999999998</v>
      </c>
      <c r="CB42" s="3347"/>
      <c r="CC42" s="3347"/>
      <c r="CD42" s="3347"/>
      <c r="CE42" s="3348"/>
      <c r="CF42" s="3346">
        <v>0.79930000000000001</v>
      </c>
      <c r="CG42" s="3347"/>
      <c r="CH42" s="3347"/>
      <c r="CI42" s="3347"/>
      <c r="CJ42" s="3348"/>
      <c r="CK42" s="3353"/>
      <c r="CL42" s="3354"/>
      <c r="CM42" s="3354"/>
      <c r="CN42" s="3354"/>
      <c r="CO42" s="3354"/>
      <c r="CP42" s="3354"/>
      <c r="CQ42" s="3354"/>
      <c r="CR42" s="3354"/>
      <c r="CS42" s="3354"/>
      <c r="CT42" s="3354"/>
      <c r="CU42" s="3354"/>
      <c r="CV42" s="3354"/>
      <c r="CW42" s="3354"/>
      <c r="CX42" s="3354"/>
      <c r="CY42" s="3355"/>
      <c r="DB42" s="3308">
        <v>80</v>
      </c>
      <c r="DC42" s="3309"/>
      <c r="DD42" s="3309"/>
      <c r="DE42" s="902" t="s">
        <v>140</v>
      </c>
      <c r="DF42" s="903" t="s">
        <v>128</v>
      </c>
      <c r="DG42" s="3350">
        <v>0.8</v>
      </c>
      <c r="DH42" s="3351"/>
      <c r="DI42" s="3351"/>
      <c r="DJ42" s="3351"/>
      <c r="DK42" s="3352"/>
      <c r="DL42" s="3350">
        <v>0.8</v>
      </c>
      <c r="DM42" s="3351"/>
      <c r="DN42" s="3351"/>
      <c r="DO42" s="3351"/>
      <c r="DP42" s="3352"/>
      <c r="DQ42" s="3350">
        <v>0.8</v>
      </c>
      <c r="DR42" s="3351"/>
      <c r="DS42" s="3351"/>
      <c r="DT42" s="3351"/>
      <c r="DU42" s="3352"/>
      <c r="DV42" s="3346">
        <v>0.79930000000000001</v>
      </c>
      <c r="DW42" s="3347"/>
      <c r="DX42" s="3347"/>
      <c r="DY42" s="3347"/>
      <c r="DZ42" s="3348"/>
      <c r="EA42" s="3346">
        <v>0.79959999999999998</v>
      </c>
      <c r="EB42" s="3347"/>
      <c r="EC42" s="3347"/>
      <c r="ED42" s="3347"/>
      <c r="EE42" s="3348"/>
      <c r="EF42" s="3346">
        <v>0.79930000000000001</v>
      </c>
      <c r="EG42" s="3347"/>
      <c r="EH42" s="3347"/>
      <c r="EI42" s="3347"/>
      <c r="EJ42" s="3348"/>
    </row>
    <row r="43" spans="1:140" ht="16.5" outlineLevel="1">
      <c r="A43" s="3308">
        <v>60</v>
      </c>
      <c r="B43" s="3309"/>
      <c r="C43" s="3309"/>
      <c r="D43" s="902" t="s">
        <v>140</v>
      </c>
      <c r="E43" s="903" t="s">
        <v>128</v>
      </c>
      <c r="F43" s="3350">
        <v>0.6</v>
      </c>
      <c r="G43" s="3351"/>
      <c r="H43" s="3351"/>
      <c r="I43" s="3351"/>
      <c r="J43" s="3352"/>
      <c r="K43" s="3350">
        <v>0.6</v>
      </c>
      <c r="L43" s="3351"/>
      <c r="M43" s="3351"/>
      <c r="N43" s="3351"/>
      <c r="O43" s="3352"/>
      <c r="P43" s="3350">
        <v>0.6</v>
      </c>
      <c r="Q43" s="3351"/>
      <c r="R43" s="3351"/>
      <c r="S43" s="3351"/>
      <c r="T43" s="3352"/>
      <c r="U43" s="3346">
        <v>0.59960000000000002</v>
      </c>
      <c r="V43" s="3347"/>
      <c r="W43" s="3347"/>
      <c r="X43" s="3347"/>
      <c r="Y43" s="3348"/>
      <c r="Z43" s="3346">
        <v>0.59989999999999999</v>
      </c>
      <c r="AA43" s="3347"/>
      <c r="AB43" s="3347"/>
      <c r="AC43" s="3347"/>
      <c r="AD43" s="3348"/>
      <c r="AE43" s="3346">
        <v>0.59960000000000002</v>
      </c>
      <c r="AF43" s="3347"/>
      <c r="AG43" s="3347"/>
      <c r="AH43" s="3347"/>
      <c r="AI43" s="3348"/>
      <c r="AJ43" s="3353"/>
      <c r="AK43" s="3354"/>
      <c r="AL43" s="3354"/>
      <c r="AM43" s="3354"/>
      <c r="AN43" s="3354"/>
      <c r="AO43" s="3354"/>
      <c r="AP43" s="3354"/>
      <c r="AQ43" s="3354"/>
      <c r="AR43" s="3354"/>
      <c r="AS43" s="3354"/>
      <c r="AT43" s="3354"/>
      <c r="AU43" s="3354"/>
      <c r="AV43" s="3354"/>
      <c r="AW43" s="3354"/>
      <c r="AX43" s="3355"/>
      <c r="BB43" s="3308">
        <v>60</v>
      </c>
      <c r="BC43" s="3309"/>
      <c r="BD43" s="3309"/>
      <c r="BE43" s="902" t="s">
        <v>140</v>
      </c>
      <c r="BF43" s="903" t="s">
        <v>128</v>
      </c>
      <c r="BG43" s="3350">
        <v>0.6</v>
      </c>
      <c r="BH43" s="3351"/>
      <c r="BI43" s="3351"/>
      <c r="BJ43" s="3351"/>
      <c r="BK43" s="3352"/>
      <c r="BL43" s="3350">
        <v>0.6</v>
      </c>
      <c r="BM43" s="3351"/>
      <c r="BN43" s="3351"/>
      <c r="BO43" s="3351"/>
      <c r="BP43" s="3352"/>
      <c r="BQ43" s="3350">
        <v>0.6</v>
      </c>
      <c r="BR43" s="3351"/>
      <c r="BS43" s="3351"/>
      <c r="BT43" s="3351"/>
      <c r="BU43" s="3352"/>
      <c r="BV43" s="3346">
        <v>0.59960000000000002</v>
      </c>
      <c r="BW43" s="3347"/>
      <c r="BX43" s="3347"/>
      <c r="BY43" s="3347"/>
      <c r="BZ43" s="3348"/>
      <c r="CA43" s="3346">
        <v>0.59989999999999999</v>
      </c>
      <c r="CB43" s="3347"/>
      <c r="CC43" s="3347"/>
      <c r="CD43" s="3347"/>
      <c r="CE43" s="3348"/>
      <c r="CF43" s="3346">
        <v>0.59960000000000002</v>
      </c>
      <c r="CG43" s="3347"/>
      <c r="CH43" s="3347"/>
      <c r="CI43" s="3347"/>
      <c r="CJ43" s="3348"/>
      <c r="CK43" s="3353"/>
      <c r="CL43" s="3354"/>
      <c r="CM43" s="3354"/>
      <c r="CN43" s="3354"/>
      <c r="CO43" s="3354"/>
      <c r="CP43" s="3354"/>
      <c r="CQ43" s="3354"/>
      <c r="CR43" s="3354"/>
      <c r="CS43" s="3354"/>
      <c r="CT43" s="3354"/>
      <c r="CU43" s="3354"/>
      <c r="CV43" s="3354"/>
      <c r="CW43" s="3354"/>
      <c r="CX43" s="3354"/>
      <c r="CY43" s="3355"/>
      <c r="DB43" s="3308">
        <v>60</v>
      </c>
      <c r="DC43" s="3309"/>
      <c r="DD43" s="3309"/>
      <c r="DE43" s="902" t="s">
        <v>140</v>
      </c>
      <c r="DF43" s="903" t="s">
        <v>128</v>
      </c>
      <c r="DG43" s="3350">
        <v>0.6</v>
      </c>
      <c r="DH43" s="3351"/>
      <c r="DI43" s="3351"/>
      <c r="DJ43" s="3351"/>
      <c r="DK43" s="3352"/>
      <c r="DL43" s="3350">
        <v>0.6</v>
      </c>
      <c r="DM43" s="3351"/>
      <c r="DN43" s="3351"/>
      <c r="DO43" s="3351"/>
      <c r="DP43" s="3352"/>
      <c r="DQ43" s="3350">
        <v>0.6</v>
      </c>
      <c r="DR43" s="3351"/>
      <c r="DS43" s="3351"/>
      <c r="DT43" s="3351"/>
      <c r="DU43" s="3352"/>
      <c r="DV43" s="3346">
        <v>0.59960000000000002</v>
      </c>
      <c r="DW43" s="3347"/>
      <c r="DX43" s="3347"/>
      <c r="DY43" s="3347"/>
      <c r="DZ43" s="3348"/>
      <c r="EA43" s="3346">
        <v>0.59989999999999999</v>
      </c>
      <c r="EB43" s="3347"/>
      <c r="EC43" s="3347"/>
      <c r="ED43" s="3347"/>
      <c r="EE43" s="3348"/>
      <c r="EF43" s="3346">
        <v>0.59960000000000002</v>
      </c>
      <c r="EG43" s="3347"/>
      <c r="EH43" s="3347"/>
      <c r="EI43" s="3347"/>
      <c r="EJ43" s="3348"/>
    </row>
    <row r="44" spans="1:140" ht="16.5" outlineLevel="1">
      <c r="A44" s="3308">
        <v>40</v>
      </c>
      <c r="B44" s="3309"/>
      <c r="C44" s="3309"/>
      <c r="D44" s="902" t="s">
        <v>140</v>
      </c>
      <c r="E44" s="903" t="s">
        <v>128</v>
      </c>
      <c r="F44" s="3350">
        <v>0.4</v>
      </c>
      <c r="G44" s="3351"/>
      <c r="H44" s="3351"/>
      <c r="I44" s="3351"/>
      <c r="J44" s="3352"/>
      <c r="K44" s="3350">
        <v>0.4</v>
      </c>
      <c r="L44" s="3351"/>
      <c r="M44" s="3351"/>
      <c r="N44" s="3351"/>
      <c r="O44" s="3352"/>
      <c r="P44" s="3350">
        <v>0.4</v>
      </c>
      <c r="Q44" s="3351"/>
      <c r="R44" s="3351"/>
      <c r="S44" s="3351"/>
      <c r="T44" s="3352"/>
      <c r="U44" s="3346">
        <v>0.39979999999999999</v>
      </c>
      <c r="V44" s="3347"/>
      <c r="W44" s="3347"/>
      <c r="X44" s="3347"/>
      <c r="Y44" s="3348"/>
      <c r="Z44" s="3346">
        <v>0.39989999999999998</v>
      </c>
      <c r="AA44" s="3347"/>
      <c r="AB44" s="3347"/>
      <c r="AC44" s="3347"/>
      <c r="AD44" s="3348"/>
      <c r="AE44" s="3346">
        <v>0.39979999999999999</v>
      </c>
      <c r="AF44" s="3347"/>
      <c r="AG44" s="3347"/>
      <c r="AH44" s="3347"/>
      <c r="AI44" s="3348"/>
      <c r="AJ44" s="3353"/>
      <c r="AK44" s="3354"/>
      <c r="AL44" s="3354"/>
      <c r="AM44" s="3354"/>
      <c r="AN44" s="3354"/>
      <c r="AO44" s="3354"/>
      <c r="AP44" s="3354"/>
      <c r="AQ44" s="3354"/>
      <c r="AR44" s="3354"/>
      <c r="AS44" s="3354"/>
      <c r="AT44" s="3354"/>
      <c r="AU44" s="3354"/>
      <c r="AV44" s="3354"/>
      <c r="AW44" s="3354"/>
      <c r="AX44" s="3355"/>
      <c r="BB44" s="3308">
        <v>40</v>
      </c>
      <c r="BC44" s="3309"/>
      <c r="BD44" s="3309"/>
      <c r="BE44" s="902" t="s">
        <v>140</v>
      </c>
      <c r="BF44" s="903" t="s">
        <v>128</v>
      </c>
      <c r="BG44" s="3350">
        <v>0.4</v>
      </c>
      <c r="BH44" s="3351"/>
      <c r="BI44" s="3351"/>
      <c r="BJ44" s="3351"/>
      <c r="BK44" s="3352"/>
      <c r="BL44" s="3350">
        <v>0.4</v>
      </c>
      <c r="BM44" s="3351"/>
      <c r="BN44" s="3351"/>
      <c r="BO44" s="3351"/>
      <c r="BP44" s="3352"/>
      <c r="BQ44" s="3350">
        <v>0.4</v>
      </c>
      <c r="BR44" s="3351"/>
      <c r="BS44" s="3351"/>
      <c r="BT44" s="3351"/>
      <c r="BU44" s="3352"/>
      <c r="BV44" s="3346">
        <v>0.39979999999999999</v>
      </c>
      <c r="BW44" s="3347"/>
      <c r="BX44" s="3347"/>
      <c r="BY44" s="3347"/>
      <c r="BZ44" s="3348"/>
      <c r="CA44" s="3346">
        <v>0.39989999999999998</v>
      </c>
      <c r="CB44" s="3347"/>
      <c r="CC44" s="3347"/>
      <c r="CD44" s="3347"/>
      <c r="CE44" s="3348"/>
      <c r="CF44" s="3346">
        <v>0.39979999999999999</v>
      </c>
      <c r="CG44" s="3347"/>
      <c r="CH44" s="3347"/>
      <c r="CI44" s="3347"/>
      <c r="CJ44" s="3348"/>
      <c r="CK44" s="3353"/>
      <c r="CL44" s="3354"/>
      <c r="CM44" s="3354"/>
      <c r="CN44" s="3354"/>
      <c r="CO44" s="3354"/>
      <c r="CP44" s="3354"/>
      <c r="CQ44" s="3354"/>
      <c r="CR44" s="3354"/>
      <c r="CS44" s="3354"/>
      <c r="CT44" s="3354"/>
      <c r="CU44" s="3354"/>
      <c r="CV44" s="3354"/>
      <c r="CW44" s="3354"/>
      <c r="CX44" s="3354"/>
      <c r="CY44" s="3355"/>
      <c r="DB44" s="3308">
        <v>40</v>
      </c>
      <c r="DC44" s="3309"/>
      <c r="DD44" s="3309"/>
      <c r="DE44" s="902" t="s">
        <v>140</v>
      </c>
      <c r="DF44" s="903" t="s">
        <v>128</v>
      </c>
      <c r="DG44" s="3350">
        <v>0.4</v>
      </c>
      <c r="DH44" s="3351"/>
      <c r="DI44" s="3351"/>
      <c r="DJ44" s="3351"/>
      <c r="DK44" s="3352"/>
      <c r="DL44" s="3350">
        <v>0.4</v>
      </c>
      <c r="DM44" s="3351"/>
      <c r="DN44" s="3351"/>
      <c r="DO44" s="3351"/>
      <c r="DP44" s="3352"/>
      <c r="DQ44" s="3350">
        <v>0.4</v>
      </c>
      <c r="DR44" s="3351"/>
      <c r="DS44" s="3351"/>
      <c r="DT44" s="3351"/>
      <c r="DU44" s="3352"/>
      <c r="DV44" s="3346">
        <v>0.39979999999999999</v>
      </c>
      <c r="DW44" s="3347"/>
      <c r="DX44" s="3347"/>
      <c r="DY44" s="3347"/>
      <c r="DZ44" s="3348"/>
      <c r="EA44" s="3346">
        <v>0.39989999999999998</v>
      </c>
      <c r="EB44" s="3347"/>
      <c r="EC44" s="3347"/>
      <c r="ED44" s="3347"/>
      <c r="EE44" s="3348"/>
      <c r="EF44" s="3346">
        <v>0.39979999999999999</v>
      </c>
      <c r="EG44" s="3347"/>
      <c r="EH44" s="3347"/>
      <c r="EI44" s="3347"/>
      <c r="EJ44" s="3348"/>
    </row>
    <row r="45" spans="1:140" ht="16.5" outlineLevel="1">
      <c r="A45" s="3308">
        <v>20</v>
      </c>
      <c r="B45" s="3309"/>
      <c r="C45" s="3309"/>
      <c r="D45" s="902" t="s">
        <v>140</v>
      </c>
      <c r="E45" s="903" t="s">
        <v>128</v>
      </c>
      <c r="F45" s="3350">
        <v>0.2</v>
      </c>
      <c r="G45" s="3351"/>
      <c r="H45" s="3351"/>
      <c r="I45" s="3351"/>
      <c r="J45" s="3352"/>
      <c r="K45" s="3350">
        <v>0.2</v>
      </c>
      <c r="L45" s="3351"/>
      <c r="M45" s="3351"/>
      <c r="N45" s="3351"/>
      <c r="O45" s="3352"/>
      <c r="P45" s="3350">
        <v>0.2</v>
      </c>
      <c r="Q45" s="3351"/>
      <c r="R45" s="3351"/>
      <c r="S45" s="3351"/>
      <c r="T45" s="3352"/>
      <c r="U45" s="3346">
        <v>0.19989999999999999</v>
      </c>
      <c r="V45" s="3347"/>
      <c r="W45" s="3347"/>
      <c r="X45" s="3347"/>
      <c r="Y45" s="3348"/>
      <c r="Z45" s="3346">
        <v>0.19989999999999999</v>
      </c>
      <c r="AA45" s="3347"/>
      <c r="AB45" s="3347"/>
      <c r="AC45" s="3347"/>
      <c r="AD45" s="3348"/>
      <c r="AE45" s="3346">
        <v>0.19980000000000001</v>
      </c>
      <c r="AF45" s="3347"/>
      <c r="AG45" s="3347"/>
      <c r="AH45" s="3347"/>
      <c r="AI45" s="3348"/>
      <c r="AJ45" s="3353"/>
      <c r="AK45" s="3354"/>
      <c r="AL45" s="3354"/>
      <c r="AM45" s="3354"/>
      <c r="AN45" s="3354"/>
      <c r="AO45" s="3354"/>
      <c r="AP45" s="3354"/>
      <c r="AQ45" s="3354"/>
      <c r="AR45" s="3354"/>
      <c r="AS45" s="3354"/>
      <c r="AT45" s="3354"/>
      <c r="AU45" s="3354"/>
      <c r="AV45" s="3354"/>
      <c r="AW45" s="3354"/>
      <c r="AX45" s="3355"/>
      <c r="BB45" s="3308">
        <v>20</v>
      </c>
      <c r="BC45" s="3309"/>
      <c r="BD45" s="3309"/>
      <c r="BE45" s="902" t="s">
        <v>140</v>
      </c>
      <c r="BF45" s="903" t="s">
        <v>128</v>
      </c>
      <c r="BG45" s="3350">
        <v>0.2</v>
      </c>
      <c r="BH45" s="3351"/>
      <c r="BI45" s="3351"/>
      <c r="BJ45" s="3351"/>
      <c r="BK45" s="3352"/>
      <c r="BL45" s="3350">
        <v>0.2</v>
      </c>
      <c r="BM45" s="3351"/>
      <c r="BN45" s="3351"/>
      <c r="BO45" s="3351"/>
      <c r="BP45" s="3352"/>
      <c r="BQ45" s="3350">
        <v>0.2</v>
      </c>
      <c r="BR45" s="3351"/>
      <c r="BS45" s="3351"/>
      <c r="BT45" s="3351"/>
      <c r="BU45" s="3352"/>
      <c r="BV45" s="3346">
        <v>0.19989999999999999</v>
      </c>
      <c r="BW45" s="3347"/>
      <c r="BX45" s="3347"/>
      <c r="BY45" s="3347"/>
      <c r="BZ45" s="3348"/>
      <c r="CA45" s="3346">
        <v>0.19989999999999999</v>
      </c>
      <c r="CB45" s="3347"/>
      <c r="CC45" s="3347"/>
      <c r="CD45" s="3347"/>
      <c r="CE45" s="3348"/>
      <c r="CF45" s="3346">
        <v>0.19980000000000001</v>
      </c>
      <c r="CG45" s="3347"/>
      <c r="CH45" s="3347"/>
      <c r="CI45" s="3347"/>
      <c r="CJ45" s="3348"/>
      <c r="CK45" s="3353"/>
      <c r="CL45" s="3354"/>
      <c r="CM45" s="3354"/>
      <c r="CN45" s="3354"/>
      <c r="CO45" s="3354"/>
      <c r="CP45" s="3354"/>
      <c r="CQ45" s="3354"/>
      <c r="CR45" s="3354"/>
      <c r="CS45" s="3354"/>
      <c r="CT45" s="3354"/>
      <c r="CU45" s="3354"/>
      <c r="CV45" s="3354"/>
      <c r="CW45" s="3354"/>
      <c r="CX45" s="3354"/>
      <c r="CY45" s="3355"/>
      <c r="DB45" s="3308">
        <v>20</v>
      </c>
      <c r="DC45" s="3309"/>
      <c r="DD45" s="3309"/>
      <c r="DE45" s="902" t="s">
        <v>140</v>
      </c>
      <c r="DF45" s="903" t="s">
        <v>128</v>
      </c>
      <c r="DG45" s="3350">
        <v>0.2</v>
      </c>
      <c r="DH45" s="3351"/>
      <c r="DI45" s="3351"/>
      <c r="DJ45" s="3351"/>
      <c r="DK45" s="3352"/>
      <c r="DL45" s="3350">
        <v>0.2</v>
      </c>
      <c r="DM45" s="3351"/>
      <c r="DN45" s="3351"/>
      <c r="DO45" s="3351"/>
      <c r="DP45" s="3352"/>
      <c r="DQ45" s="3350">
        <v>0.2</v>
      </c>
      <c r="DR45" s="3351"/>
      <c r="DS45" s="3351"/>
      <c r="DT45" s="3351"/>
      <c r="DU45" s="3352"/>
      <c r="DV45" s="3346">
        <v>0.19989999999999999</v>
      </c>
      <c r="DW45" s="3347"/>
      <c r="DX45" s="3347"/>
      <c r="DY45" s="3347"/>
      <c r="DZ45" s="3348"/>
      <c r="EA45" s="3346">
        <v>0.19989999999999999</v>
      </c>
      <c r="EB45" s="3347"/>
      <c r="EC45" s="3347"/>
      <c r="ED45" s="3347"/>
      <c r="EE45" s="3348"/>
      <c r="EF45" s="3346">
        <v>0.19980000000000001</v>
      </c>
      <c r="EG45" s="3347"/>
      <c r="EH45" s="3347"/>
      <c r="EI45" s="3347"/>
      <c r="EJ45" s="3348"/>
    </row>
    <row r="46" spans="1:140" ht="16.5" outlineLevel="1">
      <c r="A46" s="3308">
        <v>0</v>
      </c>
      <c r="B46" s="3309"/>
      <c r="C46" s="3309"/>
      <c r="D46" s="902" t="s">
        <v>140</v>
      </c>
      <c r="E46" s="903" t="s">
        <v>128</v>
      </c>
      <c r="F46" s="3350">
        <v>0</v>
      </c>
      <c r="G46" s="3351"/>
      <c r="H46" s="3351"/>
      <c r="I46" s="3351"/>
      <c r="J46" s="3352"/>
      <c r="K46" s="3350">
        <v>0</v>
      </c>
      <c r="L46" s="3351"/>
      <c r="M46" s="3351"/>
      <c r="N46" s="3351"/>
      <c r="O46" s="3352"/>
      <c r="P46" s="3350">
        <v>0</v>
      </c>
      <c r="Q46" s="3351"/>
      <c r="R46" s="3351"/>
      <c r="S46" s="3351"/>
      <c r="T46" s="3352"/>
      <c r="U46" s="3346">
        <v>0</v>
      </c>
      <c r="V46" s="3347"/>
      <c r="W46" s="3347"/>
      <c r="X46" s="3347"/>
      <c r="Y46" s="3348"/>
      <c r="Z46" s="3346">
        <v>0</v>
      </c>
      <c r="AA46" s="3347"/>
      <c r="AB46" s="3347"/>
      <c r="AC46" s="3347"/>
      <c r="AD46" s="3348"/>
      <c r="AE46" s="3346">
        <v>0</v>
      </c>
      <c r="AF46" s="3347"/>
      <c r="AG46" s="3347"/>
      <c r="AH46" s="3347"/>
      <c r="AI46" s="3348"/>
      <c r="AJ46" s="3356"/>
      <c r="AK46" s="3357"/>
      <c r="AL46" s="3357"/>
      <c r="AM46" s="3357"/>
      <c r="AN46" s="3357"/>
      <c r="AO46" s="3357"/>
      <c r="AP46" s="3357"/>
      <c r="AQ46" s="3357"/>
      <c r="AR46" s="3357"/>
      <c r="AS46" s="3357"/>
      <c r="AT46" s="3357"/>
      <c r="AU46" s="3357"/>
      <c r="AV46" s="3357"/>
      <c r="AW46" s="3357"/>
      <c r="AX46" s="3358"/>
      <c r="BB46" s="3308">
        <v>0</v>
      </c>
      <c r="BC46" s="3309"/>
      <c r="BD46" s="3309"/>
      <c r="BE46" s="902" t="s">
        <v>140</v>
      </c>
      <c r="BF46" s="903" t="s">
        <v>128</v>
      </c>
      <c r="BG46" s="3350">
        <v>0</v>
      </c>
      <c r="BH46" s="3351"/>
      <c r="BI46" s="3351"/>
      <c r="BJ46" s="3351"/>
      <c r="BK46" s="3352"/>
      <c r="BL46" s="3350">
        <v>0</v>
      </c>
      <c r="BM46" s="3351"/>
      <c r="BN46" s="3351"/>
      <c r="BO46" s="3351"/>
      <c r="BP46" s="3352"/>
      <c r="BQ46" s="3350">
        <v>0</v>
      </c>
      <c r="BR46" s="3351"/>
      <c r="BS46" s="3351"/>
      <c r="BT46" s="3351"/>
      <c r="BU46" s="3352"/>
      <c r="BV46" s="3346">
        <v>0</v>
      </c>
      <c r="BW46" s="3347"/>
      <c r="BX46" s="3347"/>
      <c r="BY46" s="3347"/>
      <c r="BZ46" s="3348"/>
      <c r="CA46" s="3346">
        <v>0</v>
      </c>
      <c r="CB46" s="3347"/>
      <c r="CC46" s="3347"/>
      <c r="CD46" s="3347"/>
      <c r="CE46" s="3348"/>
      <c r="CF46" s="3346">
        <v>0</v>
      </c>
      <c r="CG46" s="3347"/>
      <c r="CH46" s="3347"/>
      <c r="CI46" s="3347"/>
      <c r="CJ46" s="3348"/>
      <c r="CK46" s="3356"/>
      <c r="CL46" s="3357"/>
      <c r="CM46" s="3357"/>
      <c r="CN46" s="3357"/>
      <c r="CO46" s="3357"/>
      <c r="CP46" s="3357"/>
      <c r="CQ46" s="3357"/>
      <c r="CR46" s="3357"/>
      <c r="CS46" s="3357"/>
      <c r="CT46" s="3357"/>
      <c r="CU46" s="3357"/>
      <c r="CV46" s="3357"/>
      <c r="CW46" s="3357"/>
      <c r="CX46" s="3357"/>
      <c r="CY46" s="3358"/>
      <c r="DB46" s="3308">
        <v>0</v>
      </c>
      <c r="DC46" s="3309"/>
      <c r="DD46" s="3309"/>
      <c r="DE46" s="902" t="s">
        <v>140</v>
      </c>
      <c r="DF46" s="903" t="s">
        <v>128</v>
      </c>
      <c r="DG46" s="3350">
        <v>0</v>
      </c>
      <c r="DH46" s="3351"/>
      <c r="DI46" s="3351"/>
      <c r="DJ46" s="3351"/>
      <c r="DK46" s="3352"/>
      <c r="DL46" s="3350">
        <v>0</v>
      </c>
      <c r="DM46" s="3351"/>
      <c r="DN46" s="3351"/>
      <c r="DO46" s="3351"/>
      <c r="DP46" s="3352"/>
      <c r="DQ46" s="3350">
        <v>0</v>
      </c>
      <c r="DR46" s="3351"/>
      <c r="DS46" s="3351"/>
      <c r="DT46" s="3351"/>
      <c r="DU46" s="3352"/>
      <c r="DV46" s="3346">
        <v>0</v>
      </c>
      <c r="DW46" s="3347"/>
      <c r="DX46" s="3347"/>
      <c r="DY46" s="3347"/>
      <c r="DZ46" s="3348"/>
      <c r="EA46" s="3346">
        <v>0</v>
      </c>
      <c r="EB46" s="3347"/>
      <c r="EC46" s="3347"/>
      <c r="ED46" s="3347"/>
      <c r="EE46" s="3348"/>
      <c r="EF46" s="3346">
        <v>0</v>
      </c>
      <c r="EG46" s="3347"/>
      <c r="EH46" s="3347"/>
      <c r="EI46" s="3347"/>
      <c r="EJ46" s="3348"/>
    </row>
    <row r="47" spans="1:140" ht="16.5" outlineLevel="1">
      <c r="A47" s="904"/>
      <c r="B47" s="904"/>
      <c r="C47" s="904"/>
      <c r="D47" s="905"/>
      <c r="E47" s="906"/>
      <c r="F47" s="898"/>
      <c r="G47" s="898"/>
      <c r="H47" s="898"/>
      <c r="I47" s="898"/>
      <c r="J47" s="898"/>
      <c r="K47" s="898"/>
      <c r="L47" s="898"/>
      <c r="M47" s="898"/>
      <c r="N47" s="898"/>
      <c r="O47" s="898"/>
      <c r="P47" s="898"/>
      <c r="Q47" s="898"/>
      <c r="R47" s="898"/>
      <c r="S47" s="898"/>
      <c r="T47" s="898"/>
      <c r="U47" s="898"/>
      <c r="V47" s="898"/>
      <c r="W47" s="898"/>
      <c r="X47" s="898"/>
      <c r="Y47" s="898"/>
      <c r="Z47" s="898"/>
      <c r="AA47" s="898"/>
      <c r="AB47" s="898"/>
      <c r="AC47" s="898"/>
      <c r="AD47" s="898"/>
      <c r="AE47" s="898"/>
      <c r="AF47" s="898"/>
      <c r="AG47" s="898"/>
      <c r="AH47" s="898"/>
      <c r="AI47" s="898"/>
      <c r="AJ47" s="898"/>
      <c r="AK47" s="898"/>
      <c r="AL47" s="898"/>
      <c r="AM47" s="898"/>
      <c r="AN47" s="898"/>
      <c r="AO47" s="898"/>
      <c r="AP47" s="898"/>
      <c r="AQ47" s="898"/>
      <c r="AR47" s="898"/>
      <c r="AS47" s="898"/>
      <c r="AT47" s="898"/>
      <c r="AU47" s="898"/>
      <c r="AV47" s="898"/>
      <c r="AW47" s="898"/>
      <c r="AX47" s="898"/>
      <c r="BB47" s="904"/>
      <c r="BC47" s="904"/>
      <c r="BD47" s="904"/>
      <c r="BE47" s="905"/>
      <c r="BF47" s="906"/>
      <c r="BG47" s="898"/>
      <c r="BH47" s="898"/>
      <c r="BI47" s="898"/>
      <c r="BJ47" s="898"/>
      <c r="BK47" s="898"/>
      <c r="BL47" s="898"/>
      <c r="BM47" s="898"/>
      <c r="BN47" s="898"/>
      <c r="BO47" s="898"/>
      <c r="BP47" s="898"/>
      <c r="BQ47" s="898"/>
      <c r="BR47" s="898"/>
      <c r="BS47" s="898"/>
      <c r="BT47" s="898"/>
      <c r="BU47" s="898"/>
      <c r="BV47" s="898"/>
      <c r="BW47" s="898"/>
      <c r="BX47" s="898"/>
      <c r="BY47" s="898"/>
      <c r="BZ47" s="898"/>
      <c r="CA47" s="898"/>
      <c r="CB47" s="898"/>
      <c r="CC47" s="898"/>
      <c r="CD47" s="898"/>
      <c r="CE47" s="898"/>
      <c r="CF47" s="898"/>
      <c r="CG47" s="898"/>
      <c r="CH47" s="898"/>
      <c r="CI47" s="898"/>
      <c r="CJ47" s="898"/>
      <c r="CK47" s="898"/>
      <c r="CL47" s="898"/>
      <c r="CM47" s="898"/>
      <c r="CN47" s="898"/>
      <c r="CO47" s="898"/>
      <c r="CP47" s="898"/>
      <c r="CQ47" s="898"/>
      <c r="CR47" s="898"/>
      <c r="CS47" s="898"/>
      <c r="CT47" s="898"/>
      <c r="CU47" s="898"/>
      <c r="CV47" s="898"/>
      <c r="CW47" s="898"/>
      <c r="CX47" s="898"/>
      <c r="CY47" s="898"/>
      <c r="DB47" s="904"/>
      <c r="DC47" s="904"/>
      <c r="DD47" s="904"/>
      <c r="DE47" s="905"/>
      <c r="DF47" s="906"/>
      <c r="DG47" s="898"/>
      <c r="DH47" s="898"/>
      <c r="DI47" s="898"/>
      <c r="DJ47" s="898"/>
      <c r="DK47" s="898"/>
      <c r="DL47" s="898"/>
      <c r="DM47" s="898"/>
      <c r="DN47" s="898"/>
      <c r="DO47" s="898"/>
      <c r="DP47" s="898"/>
      <c r="DQ47" s="898"/>
      <c r="DR47" s="898"/>
      <c r="DS47" s="898"/>
      <c r="DT47" s="898"/>
      <c r="DU47" s="898"/>
      <c r="DV47" s="898"/>
      <c r="DW47" s="898"/>
      <c r="DX47" s="898"/>
      <c r="DY47" s="898"/>
      <c r="DZ47" s="898"/>
      <c r="EA47" s="898"/>
      <c r="EB47" s="898"/>
      <c r="EC47" s="898"/>
      <c r="ED47" s="898"/>
      <c r="EE47" s="898"/>
      <c r="EF47" s="898"/>
      <c r="EG47" s="898"/>
      <c r="EH47" s="898"/>
      <c r="EI47" s="898"/>
      <c r="EJ47" s="898"/>
    </row>
    <row r="48" spans="1:140" outlineLevel="1"/>
    <row r="49" spans="1:140" ht="16.5" outlineLevel="1">
      <c r="A49" s="3332" t="s">
        <v>143</v>
      </c>
      <c r="B49" s="3333"/>
      <c r="C49" s="3317" t="s">
        <v>144</v>
      </c>
      <c r="D49" s="3317"/>
      <c r="E49" s="3317"/>
      <c r="F49" s="3317"/>
      <c r="G49" s="3317"/>
      <c r="H49" s="893" t="s">
        <v>126</v>
      </c>
      <c r="I49" s="894" t="s">
        <v>127</v>
      </c>
      <c r="J49" s="895" t="s">
        <v>128</v>
      </c>
      <c r="K49" s="893" t="s">
        <v>129</v>
      </c>
      <c r="L49" s="3334">
        <v>57.7</v>
      </c>
      <c r="M49" s="3334"/>
      <c r="N49" s="3334"/>
      <c r="O49" s="3334"/>
      <c r="P49" s="893" t="s">
        <v>130</v>
      </c>
      <c r="Q49" s="894" t="s">
        <v>140</v>
      </c>
      <c r="R49" s="895" t="s">
        <v>128</v>
      </c>
      <c r="S49" s="893" t="s">
        <v>129</v>
      </c>
      <c r="T49" s="3335">
        <v>1</v>
      </c>
      <c r="U49" s="3335"/>
      <c r="V49" s="3335"/>
      <c r="W49" s="3335"/>
      <c r="X49" s="893" t="s">
        <v>130</v>
      </c>
      <c r="Y49" s="3333" t="s">
        <v>131</v>
      </c>
      <c r="Z49" s="3333"/>
      <c r="AA49" s="3333"/>
      <c r="AB49" s="3336">
        <v>0.5</v>
      </c>
      <c r="AC49" s="3336"/>
      <c r="AD49" s="3336"/>
      <c r="AE49" s="893" t="s">
        <v>132</v>
      </c>
      <c r="AF49" s="893"/>
      <c r="AG49" s="893" t="s">
        <v>133</v>
      </c>
      <c r="AH49" s="893"/>
      <c r="AI49" s="893"/>
      <c r="AJ49" s="893"/>
      <c r="AK49" s="893"/>
      <c r="AL49" s="893"/>
      <c r="AM49" s="893"/>
      <c r="AN49" s="893"/>
      <c r="AO49" s="893"/>
      <c r="AP49" s="893"/>
      <c r="AQ49" s="893"/>
      <c r="AR49" s="893"/>
      <c r="AS49" s="893"/>
      <c r="AT49" s="893"/>
      <c r="AU49" s="893"/>
      <c r="AV49" s="893"/>
      <c r="AW49" s="893"/>
      <c r="AX49" s="896"/>
      <c r="BB49" s="3332" t="s">
        <v>143</v>
      </c>
      <c r="BC49" s="3333"/>
      <c r="BD49" s="3317" t="s">
        <v>144</v>
      </c>
      <c r="BE49" s="3317"/>
      <c r="BF49" s="3317"/>
      <c r="BG49" s="3317"/>
      <c r="BH49" s="3317"/>
      <c r="BI49" s="893" t="s">
        <v>126</v>
      </c>
      <c r="BJ49" s="894" t="s">
        <v>127</v>
      </c>
      <c r="BK49" s="895" t="s">
        <v>128</v>
      </c>
      <c r="BL49" s="893" t="s">
        <v>129</v>
      </c>
      <c r="BM49" s="3334">
        <v>57.7</v>
      </c>
      <c r="BN49" s="3334"/>
      <c r="BO49" s="3334"/>
      <c r="BP49" s="3334"/>
      <c r="BQ49" s="893" t="s">
        <v>130</v>
      </c>
      <c r="BR49" s="894" t="s">
        <v>140</v>
      </c>
      <c r="BS49" s="895" t="s">
        <v>128</v>
      </c>
      <c r="BT49" s="893" t="s">
        <v>129</v>
      </c>
      <c r="BU49" s="3335">
        <v>1</v>
      </c>
      <c r="BV49" s="3335"/>
      <c r="BW49" s="3335"/>
      <c r="BX49" s="3335"/>
      <c r="BY49" s="893" t="s">
        <v>130</v>
      </c>
      <c r="BZ49" s="3333" t="s">
        <v>131</v>
      </c>
      <c r="CA49" s="3333"/>
      <c r="CB49" s="3333"/>
      <c r="CC49" s="3336">
        <v>0.5</v>
      </c>
      <c r="CD49" s="3336"/>
      <c r="CE49" s="3336"/>
      <c r="CF49" s="893" t="s">
        <v>132</v>
      </c>
      <c r="CG49" s="893"/>
      <c r="CH49" s="893" t="s">
        <v>133</v>
      </c>
      <c r="CI49" s="893"/>
      <c r="CJ49" s="893"/>
      <c r="CK49" s="893"/>
      <c r="CL49" s="893"/>
      <c r="CM49" s="893"/>
      <c r="CN49" s="893"/>
      <c r="CO49" s="893"/>
      <c r="CP49" s="893"/>
      <c r="CQ49" s="893"/>
      <c r="CR49" s="893"/>
      <c r="CS49" s="893"/>
      <c r="CT49" s="893"/>
      <c r="CU49" s="893"/>
      <c r="CV49" s="893"/>
      <c r="CW49" s="893"/>
      <c r="CX49" s="893"/>
      <c r="CY49" s="896"/>
      <c r="DB49" s="3332" t="s">
        <v>143</v>
      </c>
      <c r="DC49" s="3333"/>
      <c r="DD49" s="3317" t="s">
        <v>144</v>
      </c>
      <c r="DE49" s="3317"/>
      <c r="DF49" s="3317"/>
      <c r="DG49" s="3317"/>
      <c r="DH49" s="3317"/>
      <c r="DI49" s="893" t="s">
        <v>126</v>
      </c>
      <c r="DJ49" s="894" t="s">
        <v>127</v>
      </c>
      <c r="DK49" s="895" t="s">
        <v>128</v>
      </c>
      <c r="DL49" s="893" t="s">
        <v>129</v>
      </c>
      <c r="DM49" s="3334">
        <v>57.7</v>
      </c>
      <c r="DN49" s="3334"/>
      <c r="DO49" s="3334"/>
      <c r="DP49" s="3334"/>
      <c r="DQ49" s="893" t="s">
        <v>130</v>
      </c>
      <c r="DR49" s="894" t="s">
        <v>140</v>
      </c>
      <c r="DS49" s="895" t="s">
        <v>128</v>
      </c>
      <c r="DT49" s="893" t="s">
        <v>129</v>
      </c>
      <c r="DU49" s="3335">
        <v>1</v>
      </c>
      <c r="DV49" s="3335"/>
      <c r="DW49" s="3335"/>
      <c r="DX49" s="3335"/>
      <c r="DY49" s="893" t="s">
        <v>130</v>
      </c>
      <c r="DZ49" s="3333" t="s">
        <v>131</v>
      </c>
      <c r="EA49" s="3333"/>
      <c r="EB49" s="3333"/>
      <c r="EC49" s="3336">
        <v>0.5</v>
      </c>
      <c r="ED49" s="3336"/>
      <c r="EE49" s="3336"/>
      <c r="EF49" s="893" t="s">
        <v>132</v>
      </c>
      <c r="EG49" s="893"/>
      <c r="EH49" s="893" t="s">
        <v>133</v>
      </c>
      <c r="EI49" s="893"/>
      <c r="EJ49" s="893"/>
    </row>
    <row r="50" spans="1:140" ht="15" outlineLevel="1">
      <c r="A50" s="3329" t="s">
        <v>145</v>
      </c>
      <c r="B50" s="3330"/>
      <c r="C50" s="170" t="s">
        <v>146</v>
      </c>
      <c r="D50" s="3316" t="s">
        <v>134</v>
      </c>
      <c r="E50" s="3317"/>
      <c r="F50" s="3317"/>
      <c r="G50" s="3317"/>
      <c r="H50" s="3318"/>
      <c r="I50" s="3319" t="s">
        <v>147</v>
      </c>
      <c r="J50" s="3320"/>
      <c r="K50" s="3320"/>
      <c r="L50" s="3320"/>
      <c r="M50" s="3320"/>
      <c r="N50" s="3320"/>
      <c r="O50" s="3320"/>
      <c r="P50" s="3320"/>
      <c r="Q50" s="3320"/>
      <c r="R50" s="3320"/>
      <c r="S50" s="3320"/>
      <c r="T50" s="3320"/>
      <c r="U50" s="3320"/>
      <c r="V50" s="3320"/>
      <c r="W50" s="3319" t="s">
        <v>148</v>
      </c>
      <c r="X50" s="3320"/>
      <c r="Y50" s="3320"/>
      <c r="Z50" s="3320"/>
      <c r="AA50" s="3320"/>
      <c r="AB50" s="3320"/>
      <c r="AC50" s="3320"/>
      <c r="AD50" s="3320"/>
      <c r="AE50" s="3320"/>
      <c r="AF50" s="3320"/>
      <c r="AG50" s="3320"/>
      <c r="AH50" s="3320"/>
      <c r="AI50" s="3320"/>
      <c r="AJ50" s="3320"/>
      <c r="AK50" s="3316" t="s">
        <v>2359</v>
      </c>
      <c r="AL50" s="3317"/>
      <c r="AM50" s="3317"/>
      <c r="AN50" s="3317"/>
      <c r="AO50" s="3317"/>
      <c r="AP50" s="3317"/>
      <c r="AQ50" s="3317"/>
      <c r="AR50" s="3317"/>
      <c r="AS50" s="3317"/>
      <c r="AT50" s="3317"/>
      <c r="AU50" s="3317"/>
      <c r="AV50" s="3317"/>
      <c r="AW50" s="3317"/>
      <c r="AX50" s="3318"/>
      <c r="AY50" s="907"/>
      <c r="BB50" s="3329" t="s">
        <v>145</v>
      </c>
      <c r="BC50" s="3330"/>
      <c r="BD50" s="170" t="s">
        <v>146</v>
      </c>
      <c r="BE50" s="3316" t="s">
        <v>134</v>
      </c>
      <c r="BF50" s="3317"/>
      <c r="BG50" s="3317"/>
      <c r="BH50" s="3317"/>
      <c r="BI50" s="3318"/>
      <c r="BJ50" s="3319" t="s">
        <v>147</v>
      </c>
      <c r="BK50" s="3320"/>
      <c r="BL50" s="3320"/>
      <c r="BM50" s="3320"/>
      <c r="BN50" s="3320"/>
      <c r="BO50" s="3320"/>
      <c r="BP50" s="3320"/>
      <c r="BQ50" s="3320"/>
      <c r="BR50" s="3320"/>
      <c r="BS50" s="3320"/>
      <c r="BT50" s="3320"/>
      <c r="BU50" s="3320"/>
      <c r="BV50" s="3320"/>
      <c r="BW50" s="3320"/>
      <c r="BX50" s="3319" t="s">
        <v>148</v>
      </c>
      <c r="BY50" s="3320"/>
      <c r="BZ50" s="3320"/>
      <c r="CA50" s="3320"/>
      <c r="CB50" s="3320"/>
      <c r="CC50" s="3320"/>
      <c r="CD50" s="3320"/>
      <c r="CE50" s="3320"/>
      <c r="CF50" s="3320"/>
      <c r="CG50" s="3320"/>
      <c r="CH50" s="3320"/>
      <c r="CI50" s="3320"/>
      <c r="CJ50" s="3320"/>
      <c r="CK50" s="3320"/>
      <c r="CL50" s="3316" t="s">
        <v>2359</v>
      </c>
      <c r="CM50" s="3317"/>
      <c r="CN50" s="3317"/>
      <c r="CO50" s="3317"/>
      <c r="CP50" s="3317"/>
      <c r="CQ50" s="3317"/>
      <c r="CR50" s="3317"/>
      <c r="CS50" s="3317"/>
      <c r="CT50" s="3317"/>
      <c r="CU50" s="3317"/>
      <c r="CV50" s="3317"/>
      <c r="CW50" s="3317"/>
      <c r="CX50" s="3317"/>
      <c r="CY50" s="3318"/>
      <c r="DB50" s="3329" t="s">
        <v>145</v>
      </c>
      <c r="DC50" s="3330"/>
      <c r="DD50" s="170" t="s">
        <v>146</v>
      </c>
      <c r="DE50" s="3316" t="s">
        <v>134</v>
      </c>
      <c r="DF50" s="3317"/>
      <c r="DG50" s="3317"/>
      <c r="DH50" s="3317"/>
      <c r="DI50" s="3318"/>
      <c r="DJ50" s="3319" t="s">
        <v>147</v>
      </c>
      <c r="DK50" s="3320"/>
      <c r="DL50" s="3320"/>
      <c r="DM50" s="3320"/>
      <c r="DN50" s="3320"/>
      <c r="DO50" s="3320"/>
      <c r="DP50" s="3320"/>
      <c r="DQ50" s="3320"/>
      <c r="DR50" s="3320"/>
      <c r="DS50" s="3320"/>
      <c r="DT50" s="3320"/>
      <c r="DU50" s="3320"/>
      <c r="DV50" s="3320"/>
      <c r="DW50" s="3320"/>
      <c r="DX50" s="3319" t="s">
        <v>148</v>
      </c>
      <c r="DY50" s="3320"/>
      <c r="DZ50" s="3320"/>
      <c r="EA50" s="3320"/>
      <c r="EB50" s="3320"/>
      <c r="EC50" s="3320"/>
      <c r="ED50" s="3320"/>
      <c r="EE50" s="3320"/>
      <c r="EF50" s="3320"/>
      <c r="EG50" s="3320"/>
      <c r="EH50" s="3320"/>
      <c r="EI50" s="3320"/>
      <c r="EJ50" s="3320"/>
    </row>
    <row r="51" spans="1:140" ht="16.5" outlineLevel="1">
      <c r="A51" s="3349">
        <v>1</v>
      </c>
      <c r="B51" s="3349"/>
      <c r="C51" s="3349"/>
      <c r="D51" s="3340">
        <v>120</v>
      </c>
      <c r="E51" s="3341"/>
      <c r="F51" s="3341"/>
      <c r="G51" s="902" t="s">
        <v>140</v>
      </c>
      <c r="H51" s="903" t="s">
        <v>128</v>
      </c>
      <c r="I51" s="3338">
        <v>207.59399999999999</v>
      </c>
      <c r="J51" s="3339"/>
      <c r="K51" s="3339"/>
      <c r="L51" s="3339"/>
      <c r="M51" s="3339"/>
      <c r="N51" s="3339"/>
      <c r="O51" s="3339"/>
      <c r="P51" s="3339"/>
      <c r="Q51" s="3339"/>
      <c r="R51" s="3339"/>
      <c r="S51" s="3339"/>
      <c r="T51" s="3339"/>
      <c r="U51" s="3339"/>
      <c r="V51" s="3339"/>
      <c r="W51" s="3344">
        <v>207.5</v>
      </c>
      <c r="X51" s="3345"/>
      <c r="Y51" s="3345"/>
      <c r="Z51" s="3345"/>
      <c r="AA51" s="3345"/>
      <c r="AB51" s="3345"/>
      <c r="AC51" s="3345"/>
      <c r="AD51" s="3345"/>
      <c r="AE51" s="3345"/>
      <c r="AF51" s="3345"/>
      <c r="AG51" s="3345"/>
      <c r="AH51" s="3345"/>
      <c r="AI51" s="3345"/>
      <c r="AJ51" s="3345"/>
      <c r="AK51" s="3306" t="s">
        <v>2364</v>
      </c>
      <c r="AL51" s="3307"/>
      <c r="AM51" s="3307"/>
      <c r="AN51" s="3307"/>
      <c r="AO51" s="3307"/>
      <c r="AP51" s="3307"/>
      <c r="AQ51" s="3307"/>
      <c r="AR51" s="3307"/>
      <c r="AS51" s="3307"/>
      <c r="AT51" s="3307"/>
      <c r="AU51" s="3307"/>
      <c r="AV51" s="3307"/>
      <c r="AW51" s="3307"/>
      <c r="AX51" s="3322"/>
      <c r="BB51" s="3349">
        <v>1</v>
      </c>
      <c r="BC51" s="3349"/>
      <c r="BD51" s="3349"/>
      <c r="BE51" s="3340">
        <v>120</v>
      </c>
      <c r="BF51" s="3341"/>
      <c r="BG51" s="3341"/>
      <c r="BH51" s="902" t="s">
        <v>140</v>
      </c>
      <c r="BI51" s="903" t="s">
        <v>128</v>
      </c>
      <c r="BJ51" s="3338">
        <v>207.59399999999999</v>
      </c>
      <c r="BK51" s="3339"/>
      <c r="BL51" s="3339"/>
      <c r="BM51" s="3339"/>
      <c r="BN51" s="3339"/>
      <c r="BO51" s="3339"/>
      <c r="BP51" s="3339"/>
      <c r="BQ51" s="3339"/>
      <c r="BR51" s="3339"/>
      <c r="BS51" s="3339"/>
      <c r="BT51" s="3339"/>
      <c r="BU51" s="3339"/>
      <c r="BV51" s="3339"/>
      <c r="BW51" s="3339"/>
      <c r="BX51" s="3344">
        <v>207.5</v>
      </c>
      <c r="BY51" s="3345"/>
      <c r="BZ51" s="3345"/>
      <c r="CA51" s="3345"/>
      <c r="CB51" s="3345"/>
      <c r="CC51" s="3345"/>
      <c r="CD51" s="3345"/>
      <c r="CE51" s="3345"/>
      <c r="CF51" s="3345"/>
      <c r="CG51" s="3345"/>
      <c r="CH51" s="3345"/>
      <c r="CI51" s="3345"/>
      <c r="CJ51" s="3345"/>
      <c r="CK51" s="3345"/>
      <c r="CL51" s="3306" t="s">
        <v>2365</v>
      </c>
      <c r="CM51" s="3307"/>
      <c r="CN51" s="3307"/>
      <c r="CO51" s="3307"/>
      <c r="CP51" s="3307"/>
      <c r="CQ51" s="3307"/>
      <c r="CR51" s="3307"/>
      <c r="CS51" s="3307"/>
      <c r="CT51" s="3307"/>
      <c r="CU51" s="3307"/>
      <c r="CV51" s="3307"/>
      <c r="CW51" s="3307"/>
      <c r="CX51" s="3307"/>
      <c r="CY51" s="3322"/>
      <c r="DB51" s="3349">
        <v>1</v>
      </c>
      <c r="DC51" s="3349"/>
      <c r="DD51" s="3349"/>
      <c r="DE51" s="3340">
        <v>120</v>
      </c>
      <c r="DF51" s="3341"/>
      <c r="DG51" s="3341"/>
      <c r="DH51" s="902" t="s">
        <v>140</v>
      </c>
      <c r="DI51" s="903" t="s">
        <v>128</v>
      </c>
      <c r="DJ51" s="3338">
        <v>207.59399999999999</v>
      </c>
      <c r="DK51" s="3339"/>
      <c r="DL51" s="3339"/>
      <c r="DM51" s="3339"/>
      <c r="DN51" s="3339"/>
      <c r="DO51" s="3339"/>
      <c r="DP51" s="3339"/>
      <c r="DQ51" s="3339"/>
      <c r="DR51" s="3339"/>
      <c r="DS51" s="3339"/>
      <c r="DT51" s="3339"/>
      <c r="DU51" s="3339"/>
      <c r="DV51" s="3339"/>
      <c r="DW51" s="3339"/>
      <c r="DX51" s="3344">
        <v>207.5</v>
      </c>
      <c r="DY51" s="3345"/>
      <c r="DZ51" s="3345"/>
      <c r="EA51" s="3345"/>
      <c r="EB51" s="3345"/>
      <c r="EC51" s="3345"/>
      <c r="ED51" s="3345"/>
      <c r="EE51" s="3345"/>
      <c r="EF51" s="3345"/>
      <c r="EG51" s="3345"/>
      <c r="EH51" s="3345"/>
      <c r="EI51" s="3345"/>
      <c r="EJ51" s="3345"/>
    </row>
    <row r="52" spans="1:140" ht="16.5" outlineLevel="1">
      <c r="A52" s="3349"/>
      <c r="B52" s="3349"/>
      <c r="C52" s="3349"/>
      <c r="D52" s="3340">
        <v>100</v>
      </c>
      <c r="E52" s="3341"/>
      <c r="F52" s="3341"/>
      <c r="G52" s="902" t="s">
        <v>140</v>
      </c>
      <c r="H52" s="903" t="s">
        <v>128</v>
      </c>
      <c r="I52" s="3338">
        <v>173.01400000000001</v>
      </c>
      <c r="J52" s="3339"/>
      <c r="K52" s="3339"/>
      <c r="L52" s="3339"/>
      <c r="M52" s="3339"/>
      <c r="N52" s="3339"/>
      <c r="O52" s="3339"/>
      <c r="P52" s="3339"/>
      <c r="Q52" s="3339"/>
      <c r="R52" s="3339"/>
      <c r="S52" s="3339"/>
      <c r="T52" s="3339"/>
      <c r="U52" s="3339"/>
      <c r="V52" s="3339"/>
      <c r="W52" s="3344">
        <v>172.8</v>
      </c>
      <c r="X52" s="3345"/>
      <c r="Y52" s="3345"/>
      <c r="Z52" s="3345"/>
      <c r="AA52" s="3345"/>
      <c r="AB52" s="3345"/>
      <c r="AC52" s="3345"/>
      <c r="AD52" s="3345"/>
      <c r="AE52" s="3345"/>
      <c r="AF52" s="3345"/>
      <c r="AG52" s="3345"/>
      <c r="AH52" s="3345"/>
      <c r="AI52" s="3345"/>
      <c r="AJ52" s="3345"/>
      <c r="AK52" s="3323"/>
      <c r="AL52" s="3324"/>
      <c r="AM52" s="3324"/>
      <c r="AN52" s="3324"/>
      <c r="AO52" s="3324"/>
      <c r="AP52" s="3324"/>
      <c r="AQ52" s="3324"/>
      <c r="AR52" s="3324"/>
      <c r="AS52" s="3324"/>
      <c r="AT52" s="3324"/>
      <c r="AU52" s="3324"/>
      <c r="AV52" s="3324"/>
      <c r="AW52" s="3324"/>
      <c r="AX52" s="3325"/>
      <c r="BB52" s="3349"/>
      <c r="BC52" s="3349"/>
      <c r="BD52" s="3349"/>
      <c r="BE52" s="3340">
        <v>100</v>
      </c>
      <c r="BF52" s="3341"/>
      <c r="BG52" s="3341"/>
      <c r="BH52" s="902" t="s">
        <v>140</v>
      </c>
      <c r="BI52" s="903" t="s">
        <v>128</v>
      </c>
      <c r="BJ52" s="3338">
        <v>173.01400000000001</v>
      </c>
      <c r="BK52" s="3339"/>
      <c r="BL52" s="3339"/>
      <c r="BM52" s="3339"/>
      <c r="BN52" s="3339"/>
      <c r="BO52" s="3339"/>
      <c r="BP52" s="3339"/>
      <c r="BQ52" s="3339"/>
      <c r="BR52" s="3339"/>
      <c r="BS52" s="3339"/>
      <c r="BT52" s="3339"/>
      <c r="BU52" s="3339"/>
      <c r="BV52" s="3339"/>
      <c r="BW52" s="3339"/>
      <c r="BX52" s="3344">
        <v>172.8</v>
      </c>
      <c r="BY52" s="3345"/>
      <c r="BZ52" s="3345"/>
      <c r="CA52" s="3345"/>
      <c r="CB52" s="3345"/>
      <c r="CC52" s="3345"/>
      <c r="CD52" s="3345"/>
      <c r="CE52" s="3345"/>
      <c r="CF52" s="3345"/>
      <c r="CG52" s="3345"/>
      <c r="CH52" s="3345"/>
      <c r="CI52" s="3345"/>
      <c r="CJ52" s="3345"/>
      <c r="CK52" s="3345"/>
      <c r="CL52" s="3323"/>
      <c r="CM52" s="3324"/>
      <c r="CN52" s="3324"/>
      <c r="CO52" s="3324"/>
      <c r="CP52" s="3324"/>
      <c r="CQ52" s="3324"/>
      <c r="CR52" s="3324"/>
      <c r="CS52" s="3324"/>
      <c r="CT52" s="3324"/>
      <c r="CU52" s="3324"/>
      <c r="CV52" s="3324"/>
      <c r="CW52" s="3324"/>
      <c r="CX52" s="3324"/>
      <c r="CY52" s="3325"/>
      <c r="DB52" s="3349"/>
      <c r="DC52" s="3349"/>
      <c r="DD52" s="3349"/>
      <c r="DE52" s="3340">
        <v>100</v>
      </c>
      <c r="DF52" s="3341"/>
      <c r="DG52" s="3341"/>
      <c r="DH52" s="902" t="s">
        <v>140</v>
      </c>
      <c r="DI52" s="903" t="s">
        <v>128</v>
      </c>
      <c r="DJ52" s="3338">
        <v>173.01400000000001</v>
      </c>
      <c r="DK52" s="3339"/>
      <c r="DL52" s="3339"/>
      <c r="DM52" s="3339"/>
      <c r="DN52" s="3339"/>
      <c r="DO52" s="3339"/>
      <c r="DP52" s="3339"/>
      <c r="DQ52" s="3339"/>
      <c r="DR52" s="3339"/>
      <c r="DS52" s="3339"/>
      <c r="DT52" s="3339"/>
      <c r="DU52" s="3339"/>
      <c r="DV52" s="3339"/>
      <c r="DW52" s="3339"/>
      <c r="DX52" s="3344">
        <v>172.8</v>
      </c>
      <c r="DY52" s="3345"/>
      <c r="DZ52" s="3345"/>
      <c r="EA52" s="3345"/>
      <c r="EB52" s="3345"/>
      <c r="EC52" s="3345"/>
      <c r="ED52" s="3345"/>
      <c r="EE52" s="3345"/>
      <c r="EF52" s="3345"/>
      <c r="EG52" s="3345"/>
      <c r="EH52" s="3345"/>
      <c r="EI52" s="3345"/>
      <c r="EJ52" s="3345"/>
    </row>
    <row r="53" spans="1:140" ht="16.5" outlineLevel="1">
      <c r="A53" s="3349"/>
      <c r="B53" s="3349"/>
      <c r="C53" s="3349"/>
      <c r="D53" s="3340">
        <v>80</v>
      </c>
      <c r="E53" s="3341"/>
      <c r="F53" s="3341"/>
      <c r="G53" s="902" t="s">
        <v>140</v>
      </c>
      <c r="H53" s="903" t="s">
        <v>128</v>
      </c>
      <c r="I53" s="3338">
        <v>138.423</v>
      </c>
      <c r="J53" s="3339"/>
      <c r="K53" s="3339"/>
      <c r="L53" s="3339"/>
      <c r="M53" s="3339"/>
      <c r="N53" s="3339"/>
      <c r="O53" s="3339"/>
      <c r="P53" s="3339"/>
      <c r="Q53" s="3339"/>
      <c r="R53" s="3339"/>
      <c r="S53" s="3339"/>
      <c r="T53" s="3339"/>
      <c r="U53" s="3339"/>
      <c r="V53" s="3339"/>
      <c r="W53" s="3344">
        <v>138.6</v>
      </c>
      <c r="X53" s="3345"/>
      <c r="Y53" s="3345"/>
      <c r="Z53" s="3345"/>
      <c r="AA53" s="3345"/>
      <c r="AB53" s="3345"/>
      <c r="AC53" s="3345"/>
      <c r="AD53" s="3345"/>
      <c r="AE53" s="3345"/>
      <c r="AF53" s="3345"/>
      <c r="AG53" s="3345"/>
      <c r="AH53" s="3345"/>
      <c r="AI53" s="3345"/>
      <c r="AJ53" s="3345"/>
      <c r="AK53" s="3323"/>
      <c r="AL53" s="3324"/>
      <c r="AM53" s="3324"/>
      <c r="AN53" s="3324"/>
      <c r="AO53" s="3324"/>
      <c r="AP53" s="3324"/>
      <c r="AQ53" s="3324"/>
      <c r="AR53" s="3324"/>
      <c r="AS53" s="3324"/>
      <c r="AT53" s="3324"/>
      <c r="AU53" s="3324"/>
      <c r="AV53" s="3324"/>
      <c r="AW53" s="3324"/>
      <c r="AX53" s="3325"/>
      <c r="BB53" s="3349"/>
      <c r="BC53" s="3349"/>
      <c r="BD53" s="3349"/>
      <c r="BE53" s="3340">
        <v>80</v>
      </c>
      <c r="BF53" s="3341"/>
      <c r="BG53" s="3341"/>
      <c r="BH53" s="902" t="s">
        <v>140</v>
      </c>
      <c r="BI53" s="903" t="s">
        <v>128</v>
      </c>
      <c r="BJ53" s="3338">
        <v>138.423</v>
      </c>
      <c r="BK53" s="3339"/>
      <c r="BL53" s="3339"/>
      <c r="BM53" s="3339"/>
      <c r="BN53" s="3339"/>
      <c r="BO53" s="3339"/>
      <c r="BP53" s="3339"/>
      <c r="BQ53" s="3339"/>
      <c r="BR53" s="3339"/>
      <c r="BS53" s="3339"/>
      <c r="BT53" s="3339"/>
      <c r="BU53" s="3339"/>
      <c r="BV53" s="3339"/>
      <c r="BW53" s="3339"/>
      <c r="BX53" s="3344">
        <v>138.6</v>
      </c>
      <c r="BY53" s="3345"/>
      <c r="BZ53" s="3345"/>
      <c r="CA53" s="3345"/>
      <c r="CB53" s="3345"/>
      <c r="CC53" s="3345"/>
      <c r="CD53" s="3345"/>
      <c r="CE53" s="3345"/>
      <c r="CF53" s="3345"/>
      <c r="CG53" s="3345"/>
      <c r="CH53" s="3345"/>
      <c r="CI53" s="3345"/>
      <c r="CJ53" s="3345"/>
      <c r="CK53" s="3345"/>
      <c r="CL53" s="3323"/>
      <c r="CM53" s="3324"/>
      <c r="CN53" s="3324"/>
      <c r="CO53" s="3324"/>
      <c r="CP53" s="3324"/>
      <c r="CQ53" s="3324"/>
      <c r="CR53" s="3324"/>
      <c r="CS53" s="3324"/>
      <c r="CT53" s="3324"/>
      <c r="CU53" s="3324"/>
      <c r="CV53" s="3324"/>
      <c r="CW53" s="3324"/>
      <c r="CX53" s="3324"/>
      <c r="CY53" s="3325"/>
      <c r="DB53" s="3349"/>
      <c r="DC53" s="3349"/>
      <c r="DD53" s="3349"/>
      <c r="DE53" s="3340">
        <v>80</v>
      </c>
      <c r="DF53" s="3341"/>
      <c r="DG53" s="3341"/>
      <c r="DH53" s="902" t="s">
        <v>140</v>
      </c>
      <c r="DI53" s="903" t="s">
        <v>128</v>
      </c>
      <c r="DJ53" s="3338">
        <v>138.423</v>
      </c>
      <c r="DK53" s="3339"/>
      <c r="DL53" s="3339"/>
      <c r="DM53" s="3339"/>
      <c r="DN53" s="3339"/>
      <c r="DO53" s="3339"/>
      <c r="DP53" s="3339"/>
      <c r="DQ53" s="3339"/>
      <c r="DR53" s="3339"/>
      <c r="DS53" s="3339"/>
      <c r="DT53" s="3339"/>
      <c r="DU53" s="3339"/>
      <c r="DV53" s="3339"/>
      <c r="DW53" s="3339"/>
      <c r="DX53" s="3344">
        <v>138.6</v>
      </c>
      <c r="DY53" s="3345"/>
      <c r="DZ53" s="3345"/>
      <c r="EA53" s="3345"/>
      <c r="EB53" s="3345"/>
      <c r="EC53" s="3345"/>
      <c r="ED53" s="3345"/>
      <c r="EE53" s="3345"/>
      <c r="EF53" s="3345"/>
      <c r="EG53" s="3345"/>
      <c r="EH53" s="3345"/>
      <c r="EI53" s="3345"/>
      <c r="EJ53" s="3345"/>
    </row>
    <row r="54" spans="1:140" ht="16.5" outlineLevel="1">
      <c r="A54" s="3349"/>
      <c r="B54" s="3349"/>
      <c r="C54" s="3349"/>
      <c r="D54" s="3340">
        <v>60</v>
      </c>
      <c r="E54" s="3341"/>
      <c r="F54" s="3341"/>
      <c r="G54" s="902" t="s">
        <v>140</v>
      </c>
      <c r="H54" s="903" t="s">
        <v>128</v>
      </c>
      <c r="I54" s="3338">
        <v>103.807</v>
      </c>
      <c r="J54" s="3339"/>
      <c r="K54" s="3339"/>
      <c r="L54" s="3339"/>
      <c r="M54" s="3339"/>
      <c r="N54" s="3339"/>
      <c r="O54" s="3339"/>
      <c r="P54" s="3339"/>
      <c r="Q54" s="3339"/>
      <c r="R54" s="3339"/>
      <c r="S54" s="3339"/>
      <c r="T54" s="3339"/>
      <c r="U54" s="3339"/>
      <c r="V54" s="3339"/>
      <c r="W54" s="3344">
        <v>103.7</v>
      </c>
      <c r="X54" s="3345"/>
      <c r="Y54" s="3345"/>
      <c r="Z54" s="3345"/>
      <c r="AA54" s="3345"/>
      <c r="AB54" s="3345"/>
      <c r="AC54" s="3345"/>
      <c r="AD54" s="3345"/>
      <c r="AE54" s="3345"/>
      <c r="AF54" s="3345"/>
      <c r="AG54" s="3345"/>
      <c r="AH54" s="3345"/>
      <c r="AI54" s="3345"/>
      <c r="AJ54" s="3345"/>
      <c r="AK54" s="3323"/>
      <c r="AL54" s="3324"/>
      <c r="AM54" s="3324"/>
      <c r="AN54" s="3324"/>
      <c r="AO54" s="3324"/>
      <c r="AP54" s="3324"/>
      <c r="AQ54" s="3324"/>
      <c r="AR54" s="3324"/>
      <c r="AS54" s="3324"/>
      <c r="AT54" s="3324"/>
      <c r="AU54" s="3324"/>
      <c r="AV54" s="3324"/>
      <c r="AW54" s="3324"/>
      <c r="AX54" s="3325"/>
      <c r="BB54" s="3349"/>
      <c r="BC54" s="3349"/>
      <c r="BD54" s="3349"/>
      <c r="BE54" s="3340">
        <v>60</v>
      </c>
      <c r="BF54" s="3341"/>
      <c r="BG54" s="3341"/>
      <c r="BH54" s="902" t="s">
        <v>140</v>
      </c>
      <c r="BI54" s="903" t="s">
        <v>128</v>
      </c>
      <c r="BJ54" s="3338">
        <v>103.807</v>
      </c>
      <c r="BK54" s="3339"/>
      <c r="BL54" s="3339"/>
      <c r="BM54" s="3339"/>
      <c r="BN54" s="3339"/>
      <c r="BO54" s="3339"/>
      <c r="BP54" s="3339"/>
      <c r="BQ54" s="3339"/>
      <c r="BR54" s="3339"/>
      <c r="BS54" s="3339"/>
      <c r="BT54" s="3339"/>
      <c r="BU54" s="3339"/>
      <c r="BV54" s="3339"/>
      <c r="BW54" s="3339"/>
      <c r="BX54" s="3344">
        <v>103.7</v>
      </c>
      <c r="BY54" s="3345"/>
      <c r="BZ54" s="3345"/>
      <c r="CA54" s="3345"/>
      <c r="CB54" s="3345"/>
      <c r="CC54" s="3345"/>
      <c r="CD54" s="3345"/>
      <c r="CE54" s="3345"/>
      <c r="CF54" s="3345"/>
      <c r="CG54" s="3345"/>
      <c r="CH54" s="3345"/>
      <c r="CI54" s="3345"/>
      <c r="CJ54" s="3345"/>
      <c r="CK54" s="3345"/>
      <c r="CL54" s="3323"/>
      <c r="CM54" s="3324"/>
      <c r="CN54" s="3324"/>
      <c r="CO54" s="3324"/>
      <c r="CP54" s="3324"/>
      <c r="CQ54" s="3324"/>
      <c r="CR54" s="3324"/>
      <c r="CS54" s="3324"/>
      <c r="CT54" s="3324"/>
      <c r="CU54" s="3324"/>
      <c r="CV54" s="3324"/>
      <c r="CW54" s="3324"/>
      <c r="CX54" s="3324"/>
      <c r="CY54" s="3325"/>
      <c r="DB54" s="3349"/>
      <c r="DC54" s="3349"/>
      <c r="DD54" s="3349"/>
      <c r="DE54" s="3340">
        <v>60</v>
      </c>
      <c r="DF54" s="3341"/>
      <c r="DG54" s="3341"/>
      <c r="DH54" s="902" t="s">
        <v>140</v>
      </c>
      <c r="DI54" s="903" t="s">
        <v>128</v>
      </c>
      <c r="DJ54" s="3338">
        <v>103.807</v>
      </c>
      <c r="DK54" s="3339"/>
      <c r="DL54" s="3339"/>
      <c r="DM54" s="3339"/>
      <c r="DN54" s="3339"/>
      <c r="DO54" s="3339"/>
      <c r="DP54" s="3339"/>
      <c r="DQ54" s="3339"/>
      <c r="DR54" s="3339"/>
      <c r="DS54" s="3339"/>
      <c r="DT54" s="3339"/>
      <c r="DU54" s="3339"/>
      <c r="DV54" s="3339"/>
      <c r="DW54" s="3339"/>
      <c r="DX54" s="3344">
        <v>103.7</v>
      </c>
      <c r="DY54" s="3345"/>
      <c r="DZ54" s="3345"/>
      <c r="EA54" s="3345"/>
      <c r="EB54" s="3345"/>
      <c r="EC54" s="3345"/>
      <c r="ED54" s="3345"/>
      <c r="EE54" s="3345"/>
      <c r="EF54" s="3345"/>
      <c r="EG54" s="3345"/>
      <c r="EH54" s="3345"/>
      <c r="EI54" s="3345"/>
      <c r="EJ54" s="3345"/>
    </row>
    <row r="55" spans="1:140" ht="16.5" hidden="1" customHeight="1" outlineLevel="1">
      <c r="A55" s="3349"/>
      <c r="B55" s="3349"/>
      <c r="C55" s="3349"/>
      <c r="D55" s="3340">
        <v>50</v>
      </c>
      <c r="E55" s="3341"/>
      <c r="F55" s="3341"/>
      <c r="G55" s="902" t="s">
        <v>140</v>
      </c>
      <c r="H55" s="903" t="s">
        <v>128</v>
      </c>
      <c r="I55" s="3338">
        <v>86.498999999999995</v>
      </c>
      <c r="J55" s="3339"/>
      <c r="K55" s="3339"/>
      <c r="L55" s="3339"/>
      <c r="M55" s="3339"/>
      <c r="N55" s="3339"/>
      <c r="O55" s="3339"/>
      <c r="P55" s="3339"/>
      <c r="Q55" s="3339"/>
      <c r="R55" s="3339"/>
      <c r="S55" s="3339"/>
      <c r="T55" s="3339"/>
      <c r="U55" s="3339"/>
      <c r="V55" s="3339"/>
      <c r="W55" s="3338">
        <v>86.46</v>
      </c>
      <c r="X55" s="3339"/>
      <c r="Y55" s="3339"/>
      <c r="Z55" s="3339"/>
      <c r="AA55" s="3339"/>
      <c r="AB55" s="3339"/>
      <c r="AC55" s="3339"/>
      <c r="AD55" s="3339"/>
      <c r="AE55" s="3339"/>
      <c r="AF55" s="3339"/>
      <c r="AG55" s="3339"/>
      <c r="AH55" s="3339"/>
      <c r="AI55" s="3339"/>
      <c r="AJ55" s="3339"/>
      <c r="AK55" s="3323"/>
      <c r="AL55" s="3324"/>
      <c r="AM55" s="3324"/>
      <c r="AN55" s="3324"/>
      <c r="AO55" s="3324"/>
      <c r="AP55" s="3324"/>
      <c r="AQ55" s="3324"/>
      <c r="AR55" s="3324"/>
      <c r="AS55" s="3324"/>
      <c r="AT55" s="3324"/>
      <c r="AU55" s="3324"/>
      <c r="AV55" s="3324"/>
      <c r="AW55" s="3324"/>
      <c r="AX55" s="3325"/>
      <c r="BB55" s="3349"/>
      <c r="BC55" s="3349"/>
      <c r="BD55" s="3349"/>
      <c r="BE55" s="3340">
        <v>50</v>
      </c>
      <c r="BF55" s="3341"/>
      <c r="BG55" s="3341"/>
      <c r="BH55" s="902" t="s">
        <v>140</v>
      </c>
      <c r="BI55" s="903" t="s">
        <v>128</v>
      </c>
      <c r="BJ55" s="3338">
        <v>86.498999999999995</v>
      </c>
      <c r="BK55" s="3339"/>
      <c r="BL55" s="3339"/>
      <c r="BM55" s="3339"/>
      <c r="BN55" s="3339"/>
      <c r="BO55" s="3339"/>
      <c r="BP55" s="3339"/>
      <c r="BQ55" s="3339"/>
      <c r="BR55" s="3339"/>
      <c r="BS55" s="3339"/>
      <c r="BT55" s="3339"/>
      <c r="BU55" s="3339"/>
      <c r="BV55" s="3339"/>
      <c r="BW55" s="3339"/>
      <c r="BX55" s="3338">
        <v>86.46</v>
      </c>
      <c r="BY55" s="3339"/>
      <c r="BZ55" s="3339"/>
      <c r="CA55" s="3339"/>
      <c r="CB55" s="3339"/>
      <c r="CC55" s="3339"/>
      <c r="CD55" s="3339"/>
      <c r="CE55" s="3339"/>
      <c r="CF55" s="3339"/>
      <c r="CG55" s="3339"/>
      <c r="CH55" s="3339"/>
      <c r="CI55" s="3339"/>
      <c r="CJ55" s="3339"/>
      <c r="CK55" s="3339"/>
      <c r="CL55" s="3323"/>
      <c r="CM55" s="3324"/>
      <c r="CN55" s="3324"/>
      <c r="CO55" s="3324"/>
      <c r="CP55" s="3324"/>
      <c r="CQ55" s="3324"/>
      <c r="CR55" s="3324"/>
      <c r="CS55" s="3324"/>
      <c r="CT55" s="3324"/>
      <c r="CU55" s="3324"/>
      <c r="CV55" s="3324"/>
      <c r="CW55" s="3324"/>
      <c r="CX55" s="3324"/>
      <c r="CY55" s="3325"/>
      <c r="DB55" s="3349"/>
      <c r="DC55" s="3349"/>
      <c r="DD55" s="3349"/>
      <c r="DE55" s="3340">
        <v>50</v>
      </c>
      <c r="DF55" s="3341"/>
      <c r="DG55" s="3341"/>
      <c r="DH55" s="902" t="s">
        <v>140</v>
      </c>
      <c r="DI55" s="903" t="s">
        <v>128</v>
      </c>
      <c r="DJ55" s="3338">
        <v>86.498999999999995</v>
      </c>
      <c r="DK55" s="3339"/>
      <c r="DL55" s="3339"/>
      <c r="DM55" s="3339"/>
      <c r="DN55" s="3339"/>
      <c r="DO55" s="3339"/>
      <c r="DP55" s="3339"/>
      <c r="DQ55" s="3339"/>
      <c r="DR55" s="3339"/>
      <c r="DS55" s="3339"/>
      <c r="DT55" s="3339"/>
      <c r="DU55" s="3339"/>
      <c r="DV55" s="3339"/>
      <c r="DW55" s="3339"/>
      <c r="DX55" s="3338">
        <v>86.46</v>
      </c>
      <c r="DY55" s="3339"/>
      <c r="DZ55" s="3339"/>
      <c r="EA55" s="3339"/>
      <c r="EB55" s="3339"/>
      <c r="EC55" s="3339"/>
      <c r="ED55" s="3339"/>
      <c r="EE55" s="3339"/>
      <c r="EF55" s="3339"/>
      <c r="EG55" s="3339"/>
      <c r="EH55" s="3339"/>
      <c r="EI55" s="3339"/>
      <c r="EJ55" s="3339"/>
    </row>
    <row r="56" spans="1:140" ht="16.5" outlineLevel="1">
      <c r="A56" s="3349"/>
      <c r="B56" s="3349"/>
      <c r="C56" s="3349"/>
      <c r="D56" s="3340">
        <v>40</v>
      </c>
      <c r="E56" s="3341"/>
      <c r="F56" s="3341"/>
      <c r="G56" s="902" t="s">
        <v>140</v>
      </c>
      <c r="H56" s="903" t="s">
        <v>128</v>
      </c>
      <c r="I56" s="3338">
        <v>69.186000000000007</v>
      </c>
      <c r="J56" s="3339"/>
      <c r="K56" s="3339"/>
      <c r="L56" s="3339"/>
      <c r="M56" s="3339"/>
      <c r="N56" s="3339"/>
      <c r="O56" s="3339"/>
      <c r="P56" s="3339"/>
      <c r="Q56" s="3339"/>
      <c r="R56" s="3339"/>
      <c r="S56" s="3339"/>
      <c r="T56" s="3339"/>
      <c r="U56" s="3339"/>
      <c r="V56" s="3339"/>
      <c r="W56" s="3338">
        <v>69.16</v>
      </c>
      <c r="X56" s="3339"/>
      <c r="Y56" s="3339"/>
      <c r="Z56" s="3339"/>
      <c r="AA56" s="3339"/>
      <c r="AB56" s="3339"/>
      <c r="AC56" s="3339"/>
      <c r="AD56" s="3339"/>
      <c r="AE56" s="3339"/>
      <c r="AF56" s="3339"/>
      <c r="AG56" s="3339"/>
      <c r="AH56" s="3339"/>
      <c r="AI56" s="3339"/>
      <c r="AJ56" s="3339"/>
      <c r="AK56" s="3323"/>
      <c r="AL56" s="3324"/>
      <c r="AM56" s="3324"/>
      <c r="AN56" s="3324"/>
      <c r="AO56" s="3324"/>
      <c r="AP56" s="3324"/>
      <c r="AQ56" s="3324"/>
      <c r="AR56" s="3324"/>
      <c r="AS56" s="3324"/>
      <c r="AT56" s="3324"/>
      <c r="AU56" s="3324"/>
      <c r="AV56" s="3324"/>
      <c r="AW56" s="3324"/>
      <c r="AX56" s="3325"/>
      <c r="BB56" s="3349"/>
      <c r="BC56" s="3349"/>
      <c r="BD56" s="3349"/>
      <c r="BE56" s="3340">
        <v>40</v>
      </c>
      <c r="BF56" s="3341"/>
      <c r="BG56" s="3341"/>
      <c r="BH56" s="902" t="s">
        <v>140</v>
      </c>
      <c r="BI56" s="903" t="s">
        <v>128</v>
      </c>
      <c r="BJ56" s="3338">
        <v>69.186000000000007</v>
      </c>
      <c r="BK56" s="3339"/>
      <c r="BL56" s="3339"/>
      <c r="BM56" s="3339"/>
      <c r="BN56" s="3339"/>
      <c r="BO56" s="3339"/>
      <c r="BP56" s="3339"/>
      <c r="BQ56" s="3339"/>
      <c r="BR56" s="3339"/>
      <c r="BS56" s="3339"/>
      <c r="BT56" s="3339"/>
      <c r="BU56" s="3339"/>
      <c r="BV56" s="3339"/>
      <c r="BW56" s="3339"/>
      <c r="BX56" s="3338">
        <v>69.16</v>
      </c>
      <c r="BY56" s="3339"/>
      <c r="BZ56" s="3339"/>
      <c r="CA56" s="3339"/>
      <c r="CB56" s="3339"/>
      <c r="CC56" s="3339"/>
      <c r="CD56" s="3339"/>
      <c r="CE56" s="3339"/>
      <c r="CF56" s="3339"/>
      <c r="CG56" s="3339"/>
      <c r="CH56" s="3339"/>
      <c r="CI56" s="3339"/>
      <c r="CJ56" s="3339"/>
      <c r="CK56" s="3339"/>
      <c r="CL56" s="3323"/>
      <c r="CM56" s="3324"/>
      <c r="CN56" s="3324"/>
      <c r="CO56" s="3324"/>
      <c r="CP56" s="3324"/>
      <c r="CQ56" s="3324"/>
      <c r="CR56" s="3324"/>
      <c r="CS56" s="3324"/>
      <c r="CT56" s="3324"/>
      <c r="CU56" s="3324"/>
      <c r="CV56" s="3324"/>
      <c r="CW56" s="3324"/>
      <c r="CX56" s="3324"/>
      <c r="CY56" s="3325"/>
      <c r="DB56" s="3349"/>
      <c r="DC56" s="3349"/>
      <c r="DD56" s="3349"/>
      <c r="DE56" s="3340">
        <v>40</v>
      </c>
      <c r="DF56" s="3341"/>
      <c r="DG56" s="3341"/>
      <c r="DH56" s="902" t="s">
        <v>140</v>
      </c>
      <c r="DI56" s="903" t="s">
        <v>128</v>
      </c>
      <c r="DJ56" s="3338">
        <v>69.186000000000007</v>
      </c>
      <c r="DK56" s="3339"/>
      <c r="DL56" s="3339"/>
      <c r="DM56" s="3339"/>
      <c r="DN56" s="3339"/>
      <c r="DO56" s="3339"/>
      <c r="DP56" s="3339"/>
      <c r="DQ56" s="3339"/>
      <c r="DR56" s="3339"/>
      <c r="DS56" s="3339"/>
      <c r="DT56" s="3339"/>
      <c r="DU56" s="3339"/>
      <c r="DV56" s="3339"/>
      <c r="DW56" s="3339"/>
      <c r="DX56" s="3338">
        <v>69.16</v>
      </c>
      <c r="DY56" s="3339"/>
      <c r="DZ56" s="3339"/>
      <c r="EA56" s="3339"/>
      <c r="EB56" s="3339"/>
      <c r="EC56" s="3339"/>
      <c r="ED56" s="3339"/>
      <c r="EE56" s="3339"/>
      <c r="EF56" s="3339"/>
      <c r="EG56" s="3339"/>
      <c r="EH56" s="3339"/>
      <c r="EI56" s="3339"/>
      <c r="EJ56" s="3339"/>
    </row>
    <row r="57" spans="1:140" ht="16.5" outlineLevel="1">
      <c r="A57" s="3349"/>
      <c r="B57" s="3349"/>
      <c r="C57" s="3349"/>
      <c r="D57" s="3340">
        <v>20</v>
      </c>
      <c r="E57" s="3341"/>
      <c r="F57" s="3341"/>
      <c r="G57" s="902" t="s">
        <v>140</v>
      </c>
      <c r="H57" s="903" t="s">
        <v>128</v>
      </c>
      <c r="I57" s="3338">
        <v>34.548999999999999</v>
      </c>
      <c r="J57" s="3339"/>
      <c r="K57" s="3339"/>
      <c r="L57" s="3339"/>
      <c r="M57" s="3339"/>
      <c r="N57" s="3339"/>
      <c r="O57" s="3339"/>
      <c r="P57" s="3339"/>
      <c r="Q57" s="3339"/>
      <c r="R57" s="3339"/>
      <c r="S57" s="3339"/>
      <c r="T57" s="3339"/>
      <c r="U57" s="3339"/>
      <c r="V57" s="3339"/>
      <c r="W57" s="3338">
        <v>34.58</v>
      </c>
      <c r="X57" s="3339"/>
      <c r="Y57" s="3339"/>
      <c r="Z57" s="3339"/>
      <c r="AA57" s="3339"/>
      <c r="AB57" s="3339"/>
      <c r="AC57" s="3339"/>
      <c r="AD57" s="3339"/>
      <c r="AE57" s="3339"/>
      <c r="AF57" s="3339"/>
      <c r="AG57" s="3339"/>
      <c r="AH57" s="3339"/>
      <c r="AI57" s="3339"/>
      <c r="AJ57" s="3339"/>
      <c r="AK57" s="3323"/>
      <c r="AL57" s="3324"/>
      <c r="AM57" s="3324"/>
      <c r="AN57" s="3324"/>
      <c r="AO57" s="3324"/>
      <c r="AP57" s="3324"/>
      <c r="AQ57" s="3324"/>
      <c r="AR57" s="3324"/>
      <c r="AS57" s="3324"/>
      <c r="AT57" s="3324"/>
      <c r="AU57" s="3324"/>
      <c r="AV57" s="3324"/>
      <c r="AW57" s="3324"/>
      <c r="AX57" s="3325"/>
      <c r="BB57" s="3349"/>
      <c r="BC57" s="3349"/>
      <c r="BD57" s="3349"/>
      <c r="BE57" s="3340">
        <v>20</v>
      </c>
      <c r="BF57" s="3341"/>
      <c r="BG57" s="3341"/>
      <c r="BH57" s="902" t="s">
        <v>140</v>
      </c>
      <c r="BI57" s="903" t="s">
        <v>128</v>
      </c>
      <c r="BJ57" s="3338">
        <v>34.548999999999999</v>
      </c>
      <c r="BK57" s="3339"/>
      <c r="BL57" s="3339"/>
      <c r="BM57" s="3339"/>
      <c r="BN57" s="3339"/>
      <c r="BO57" s="3339"/>
      <c r="BP57" s="3339"/>
      <c r="BQ57" s="3339"/>
      <c r="BR57" s="3339"/>
      <c r="BS57" s="3339"/>
      <c r="BT57" s="3339"/>
      <c r="BU57" s="3339"/>
      <c r="BV57" s="3339"/>
      <c r="BW57" s="3339"/>
      <c r="BX57" s="3338">
        <v>34.58</v>
      </c>
      <c r="BY57" s="3339"/>
      <c r="BZ57" s="3339"/>
      <c r="CA57" s="3339"/>
      <c r="CB57" s="3339"/>
      <c r="CC57" s="3339"/>
      <c r="CD57" s="3339"/>
      <c r="CE57" s="3339"/>
      <c r="CF57" s="3339"/>
      <c r="CG57" s="3339"/>
      <c r="CH57" s="3339"/>
      <c r="CI57" s="3339"/>
      <c r="CJ57" s="3339"/>
      <c r="CK57" s="3339"/>
      <c r="CL57" s="3323"/>
      <c r="CM57" s="3324"/>
      <c r="CN57" s="3324"/>
      <c r="CO57" s="3324"/>
      <c r="CP57" s="3324"/>
      <c r="CQ57" s="3324"/>
      <c r="CR57" s="3324"/>
      <c r="CS57" s="3324"/>
      <c r="CT57" s="3324"/>
      <c r="CU57" s="3324"/>
      <c r="CV57" s="3324"/>
      <c r="CW57" s="3324"/>
      <c r="CX57" s="3324"/>
      <c r="CY57" s="3325"/>
      <c r="DB57" s="3349"/>
      <c r="DC57" s="3349"/>
      <c r="DD57" s="3349"/>
      <c r="DE57" s="3340">
        <v>20</v>
      </c>
      <c r="DF57" s="3341"/>
      <c r="DG57" s="3341"/>
      <c r="DH57" s="902" t="s">
        <v>140</v>
      </c>
      <c r="DI57" s="903" t="s">
        <v>128</v>
      </c>
      <c r="DJ57" s="3338">
        <v>34.548999999999999</v>
      </c>
      <c r="DK57" s="3339"/>
      <c r="DL57" s="3339"/>
      <c r="DM57" s="3339"/>
      <c r="DN57" s="3339"/>
      <c r="DO57" s="3339"/>
      <c r="DP57" s="3339"/>
      <c r="DQ57" s="3339"/>
      <c r="DR57" s="3339"/>
      <c r="DS57" s="3339"/>
      <c r="DT57" s="3339"/>
      <c r="DU57" s="3339"/>
      <c r="DV57" s="3339"/>
      <c r="DW57" s="3339"/>
      <c r="DX57" s="3338">
        <v>34.58</v>
      </c>
      <c r="DY57" s="3339"/>
      <c r="DZ57" s="3339"/>
      <c r="EA57" s="3339"/>
      <c r="EB57" s="3339"/>
      <c r="EC57" s="3339"/>
      <c r="ED57" s="3339"/>
      <c r="EE57" s="3339"/>
      <c r="EF57" s="3339"/>
      <c r="EG57" s="3339"/>
      <c r="EH57" s="3339"/>
      <c r="EI57" s="3339"/>
      <c r="EJ57" s="3339"/>
    </row>
    <row r="58" spans="1:140" ht="16.5" outlineLevel="1">
      <c r="A58" s="3349"/>
      <c r="B58" s="3349"/>
      <c r="C58" s="3349"/>
      <c r="D58" s="3340">
        <v>0</v>
      </c>
      <c r="E58" s="3341"/>
      <c r="F58" s="3341"/>
      <c r="G58" s="902" t="s">
        <v>140</v>
      </c>
      <c r="H58" s="903" t="s">
        <v>128</v>
      </c>
      <c r="I58" s="3338">
        <v>0</v>
      </c>
      <c r="J58" s="3339"/>
      <c r="K58" s="3339"/>
      <c r="L58" s="3339"/>
      <c r="M58" s="3339"/>
      <c r="N58" s="3339"/>
      <c r="O58" s="3339"/>
      <c r="P58" s="3339"/>
      <c r="Q58" s="3339"/>
      <c r="R58" s="3339"/>
      <c r="S58" s="3339"/>
      <c r="T58" s="3339"/>
      <c r="U58" s="3339"/>
      <c r="V58" s="3339"/>
      <c r="W58" s="3338">
        <v>0</v>
      </c>
      <c r="X58" s="3339"/>
      <c r="Y58" s="3339"/>
      <c r="Z58" s="3339"/>
      <c r="AA58" s="3339"/>
      <c r="AB58" s="3339"/>
      <c r="AC58" s="3339"/>
      <c r="AD58" s="3339"/>
      <c r="AE58" s="3339"/>
      <c r="AF58" s="3339"/>
      <c r="AG58" s="3339"/>
      <c r="AH58" s="3339"/>
      <c r="AI58" s="3339"/>
      <c r="AJ58" s="3339"/>
      <c r="AK58" s="3323"/>
      <c r="AL58" s="3324"/>
      <c r="AM58" s="3324"/>
      <c r="AN58" s="3324"/>
      <c r="AO58" s="3324"/>
      <c r="AP58" s="3324"/>
      <c r="AQ58" s="3324"/>
      <c r="AR58" s="3324"/>
      <c r="AS58" s="3324"/>
      <c r="AT58" s="3324"/>
      <c r="AU58" s="3324"/>
      <c r="AV58" s="3324"/>
      <c r="AW58" s="3324"/>
      <c r="AX58" s="3325"/>
      <c r="BB58" s="3349"/>
      <c r="BC58" s="3349"/>
      <c r="BD58" s="3349"/>
      <c r="BE58" s="3340">
        <v>0</v>
      </c>
      <c r="BF58" s="3341"/>
      <c r="BG58" s="3341"/>
      <c r="BH58" s="902" t="s">
        <v>140</v>
      </c>
      <c r="BI58" s="903" t="s">
        <v>128</v>
      </c>
      <c r="BJ58" s="3338">
        <v>0</v>
      </c>
      <c r="BK58" s="3339"/>
      <c r="BL58" s="3339"/>
      <c r="BM58" s="3339"/>
      <c r="BN58" s="3339"/>
      <c r="BO58" s="3339"/>
      <c r="BP58" s="3339"/>
      <c r="BQ58" s="3339"/>
      <c r="BR58" s="3339"/>
      <c r="BS58" s="3339"/>
      <c r="BT58" s="3339"/>
      <c r="BU58" s="3339"/>
      <c r="BV58" s="3339"/>
      <c r="BW58" s="3339"/>
      <c r="BX58" s="3338">
        <v>0</v>
      </c>
      <c r="BY58" s="3339"/>
      <c r="BZ58" s="3339"/>
      <c r="CA58" s="3339"/>
      <c r="CB58" s="3339"/>
      <c r="CC58" s="3339"/>
      <c r="CD58" s="3339"/>
      <c r="CE58" s="3339"/>
      <c r="CF58" s="3339"/>
      <c r="CG58" s="3339"/>
      <c r="CH58" s="3339"/>
      <c r="CI58" s="3339"/>
      <c r="CJ58" s="3339"/>
      <c r="CK58" s="3339"/>
      <c r="CL58" s="3323"/>
      <c r="CM58" s="3324"/>
      <c r="CN58" s="3324"/>
      <c r="CO58" s="3324"/>
      <c r="CP58" s="3324"/>
      <c r="CQ58" s="3324"/>
      <c r="CR58" s="3324"/>
      <c r="CS58" s="3324"/>
      <c r="CT58" s="3324"/>
      <c r="CU58" s="3324"/>
      <c r="CV58" s="3324"/>
      <c r="CW58" s="3324"/>
      <c r="CX58" s="3324"/>
      <c r="CY58" s="3325"/>
      <c r="DB58" s="3349"/>
      <c r="DC58" s="3349"/>
      <c r="DD58" s="3349"/>
      <c r="DE58" s="3340">
        <v>0</v>
      </c>
      <c r="DF58" s="3341"/>
      <c r="DG58" s="3341"/>
      <c r="DH58" s="902" t="s">
        <v>140</v>
      </c>
      <c r="DI58" s="903" t="s">
        <v>128</v>
      </c>
      <c r="DJ58" s="3338">
        <v>0</v>
      </c>
      <c r="DK58" s="3339"/>
      <c r="DL58" s="3339"/>
      <c r="DM58" s="3339"/>
      <c r="DN58" s="3339"/>
      <c r="DO58" s="3339"/>
      <c r="DP58" s="3339"/>
      <c r="DQ58" s="3339"/>
      <c r="DR58" s="3339"/>
      <c r="DS58" s="3339"/>
      <c r="DT58" s="3339"/>
      <c r="DU58" s="3339"/>
      <c r="DV58" s="3339"/>
      <c r="DW58" s="3339"/>
      <c r="DX58" s="3338">
        <v>0</v>
      </c>
      <c r="DY58" s="3339"/>
      <c r="DZ58" s="3339"/>
      <c r="EA58" s="3339"/>
      <c r="EB58" s="3339"/>
      <c r="EC58" s="3339"/>
      <c r="ED58" s="3339"/>
      <c r="EE58" s="3339"/>
      <c r="EF58" s="3339"/>
      <c r="EG58" s="3339"/>
      <c r="EH58" s="3339"/>
      <c r="EI58" s="3339"/>
      <c r="EJ58" s="3339"/>
    </row>
    <row r="59" spans="1:140" ht="16.5" outlineLevel="1">
      <c r="A59" s="3343">
        <v>0.5</v>
      </c>
      <c r="B59" s="3343"/>
      <c r="C59" s="3343"/>
      <c r="D59" s="3340">
        <v>100</v>
      </c>
      <c r="E59" s="3341"/>
      <c r="F59" s="3341"/>
      <c r="G59" s="902" t="s">
        <v>140</v>
      </c>
      <c r="H59" s="903" t="s">
        <v>128</v>
      </c>
      <c r="I59" s="3338">
        <v>86.441999999999993</v>
      </c>
      <c r="J59" s="3339"/>
      <c r="K59" s="3339"/>
      <c r="L59" s="3339"/>
      <c r="M59" s="3339"/>
      <c r="N59" s="3339"/>
      <c r="O59" s="3339"/>
      <c r="P59" s="3339"/>
      <c r="Q59" s="3339"/>
      <c r="R59" s="3339"/>
      <c r="S59" s="3339"/>
      <c r="T59" s="3339"/>
      <c r="U59" s="3339"/>
      <c r="V59" s="3339"/>
      <c r="W59" s="3338">
        <v>85.98</v>
      </c>
      <c r="X59" s="3339"/>
      <c r="Y59" s="3339"/>
      <c r="Z59" s="3339"/>
      <c r="AA59" s="3339"/>
      <c r="AB59" s="3339"/>
      <c r="AC59" s="3339"/>
      <c r="AD59" s="3339"/>
      <c r="AE59" s="3339"/>
      <c r="AF59" s="3339"/>
      <c r="AG59" s="3339"/>
      <c r="AH59" s="3339"/>
      <c r="AI59" s="3339"/>
      <c r="AJ59" s="3339"/>
      <c r="AK59" s="3323"/>
      <c r="AL59" s="3324"/>
      <c r="AM59" s="3324"/>
      <c r="AN59" s="3324"/>
      <c r="AO59" s="3324"/>
      <c r="AP59" s="3324"/>
      <c r="AQ59" s="3324"/>
      <c r="AR59" s="3324"/>
      <c r="AS59" s="3324"/>
      <c r="AT59" s="3324"/>
      <c r="AU59" s="3324"/>
      <c r="AV59" s="3324"/>
      <c r="AW59" s="3324"/>
      <c r="AX59" s="3325"/>
      <c r="BB59" s="3343">
        <v>0.5</v>
      </c>
      <c r="BC59" s="3343"/>
      <c r="BD59" s="3343"/>
      <c r="BE59" s="3340">
        <v>100</v>
      </c>
      <c r="BF59" s="3341"/>
      <c r="BG59" s="3341"/>
      <c r="BH59" s="902" t="s">
        <v>140</v>
      </c>
      <c r="BI59" s="903" t="s">
        <v>128</v>
      </c>
      <c r="BJ59" s="3338">
        <v>86.441999999999993</v>
      </c>
      <c r="BK59" s="3339"/>
      <c r="BL59" s="3339"/>
      <c r="BM59" s="3339"/>
      <c r="BN59" s="3339"/>
      <c r="BO59" s="3339"/>
      <c r="BP59" s="3339"/>
      <c r="BQ59" s="3339"/>
      <c r="BR59" s="3339"/>
      <c r="BS59" s="3339"/>
      <c r="BT59" s="3339"/>
      <c r="BU59" s="3339"/>
      <c r="BV59" s="3339"/>
      <c r="BW59" s="3339"/>
      <c r="BX59" s="3338">
        <v>85.98</v>
      </c>
      <c r="BY59" s="3339"/>
      <c r="BZ59" s="3339"/>
      <c r="CA59" s="3339"/>
      <c r="CB59" s="3339"/>
      <c r="CC59" s="3339"/>
      <c r="CD59" s="3339"/>
      <c r="CE59" s="3339"/>
      <c r="CF59" s="3339"/>
      <c r="CG59" s="3339"/>
      <c r="CH59" s="3339"/>
      <c r="CI59" s="3339"/>
      <c r="CJ59" s="3339"/>
      <c r="CK59" s="3339"/>
      <c r="CL59" s="3323"/>
      <c r="CM59" s="3324"/>
      <c r="CN59" s="3324"/>
      <c r="CO59" s="3324"/>
      <c r="CP59" s="3324"/>
      <c r="CQ59" s="3324"/>
      <c r="CR59" s="3324"/>
      <c r="CS59" s="3324"/>
      <c r="CT59" s="3324"/>
      <c r="CU59" s="3324"/>
      <c r="CV59" s="3324"/>
      <c r="CW59" s="3324"/>
      <c r="CX59" s="3324"/>
      <c r="CY59" s="3325"/>
      <c r="DB59" s="3343">
        <v>0.5</v>
      </c>
      <c r="DC59" s="3343"/>
      <c r="DD59" s="3343"/>
      <c r="DE59" s="3340">
        <v>100</v>
      </c>
      <c r="DF59" s="3341"/>
      <c r="DG59" s="3341"/>
      <c r="DH59" s="902" t="s">
        <v>140</v>
      </c>
      <c r="DI59" s="903" t="s">
        <v>128</v>
      </c>
      <c r="DJ59" s="3338">
        <v>86.441999999999993</v>
      </c>
      <c r="DK59" s="3339"/>
      <c r="DL59" s="3339"/>
      <c r="DM59" s="3339"/>
      <c r="DN59" s="3339"/>
      <c r="DO59" s="3339"/>
      <c r="DP59" s="3339"/>
      <c r="DQ59" s="3339"/>
      <c r="DR59" s="3339"/>
      <c r="DS59" s="3339"/>
      <c r="DT59" s="3339"/>
      <c r="DU59" s="3339"/>
      <c r="DV59" s="3339"/>
      <c r="DW59" s="3339"/>
      <c r="DX59" s="3338">
        <v>85.98</v>
      </c>
      <c r="DY59" s="3339"/>
      <c r="DZ59" s="3339"/>
      <c r="EA59" s="3339"/>
      <c r="EB59" s="3339"/>
      <c r="EC59" s="3339"/>
      <c r="ED59" s="3339"/>
      <c r="EE59" s="3339"/>
      <c r="EF59" s="3339"/>
      <c r="EG59" s="3339"/>
      <c r="EH59" s="3339"/>
      <c r="EI59" s="3339"/>
      <c r="EJ59" s="3339"/>
    </row>
    <row r="60" spans="1:140" ht="16.5" outlineLevel="1">
      <c r="A60" s="3343"/>
      <c r="B60" s="3343"/>
      <c r="C60" s="3343"/>
      <c r="D60" s="3340">
        <v>40</v>
      </c>
      <c r="E60" s="3341"/>
      <c r="F60" s="3341"/>
      <c r="G60" s="902" t="s">
        <v>140</v>
      </c>
      <c r="H60" s="903" t="s">
        <v>128</v>
      </c>
      <c r="I60" s="3338">
        <v>35.061</v>
      </c>
      <c r="J60" s="3339"/>
      <c r="K60" s="3339"/>
      <c r="L60" s="3339"/>
      <c r="M60" s="3339"/>
      <c r="N60" s="3339"/>
      <c r="O60" s="3339"/>
      <c r="P60" s="3339"/>
      <c r="Q60" s="3339"/>
      <c r="R60" s="3339"/>
      <c r="S60" s="3339"/>
      <c r="T60" s="3339"/>
      <c r="U60" s="3339"/>
      <c r="V60" s="3339"/>
      <c r="W60" s="3338">
        <v>35.049999999999997</v>
      </c>
      <c r="X60" s="3339"/>
      <c r="Y60" s="3339"/>
      <c r="Z60" s="3339"/>
      <c r="AA60" s="3339"/>
      <c r="AB60" s="3339"/>
      <c r="AC60" s="3339"/>
      <c r="AD60" s="3339"/>
      <c r="AE60" s="3339"/>
      <c r="AF60" s="3339"/>
      <c r="AG60" s="3339"/>
      <c r="AH60" s="3339"/>
      <c r="AI60" s="3339"/>
      <c r="AJ60" s="3339"/>
      <c r="AK60" s="3323"/>
      <c r="AL60" s="3324"/>
      <c r="AM60" s="3324"/>
      <c r="AN60" s="3324"/>
      <c r="AO60" s="3324"/>
      <c r="AP60" s="3324"/>
      <c r="AQ60" s="3324"/>
      <c r="AR60" s="3324"/>
      <c r="AS60" s="3324"/>
      <c r="AT60" s="3324"/>
      <c r="AU60" s="3324"/>
      <c r="AV60" s="3324"/>
      <c r="AW60" s="3324"/>
      <c r="AX60" s="3325"/>
      <c r="BB60" s="3343"/>
      <c r="BC60" s="3343"/>
      <c r="BD60" s="3343"/>
      <c r="BE60" s="3340">
        <v>40</v>
      </c>
      <c r="BF60" s="3341"/>
      <c r="BG60" s="3341"/>
      <c r="BH60" s="902" t="s">
        <v>140</v>
      </c>
      <c r="BI60" s="903" t="s">
        <v>128</v>
      </c>
      <c r="BJ60" s="3338">
        <v>35.061</v>
      </c>
      <c r="BK60" s="3339"/>
      <c r="BL60" s="3339"/>
      <c r="BM60" s="3339"/>
      <c r="BN60" s="3339"/>
      <c r="BO60" s="3339"/>
      <c r="BP60" s="3339"/>
      <c r="BQ60" s="3339"/>
      <c r="BR60" s="3339"/>
      <c r="BS60" s="3339"/>
      <c r="BT60" s="3339"/>
      <c r="BU60" s="3339"/>
      <c r="BV60" s="3339"/>
      <c r="BW60" s="3339"/>
      <c r="BX60" s="3338">
        <v>35.049999999999997</v>
      </c>
      <c r="BY60" s="3339"/>
      <c r="BZ60" s="3339"/>
      <c r="CA60" s="3339"/>
      <c r="CB60" s="3339"/>
      <c r="CC60" s="3339"/>
      <c r="CD60" s="3339"/>
      <c r="CE60" s="3339"/>
      <c r="CF60" s="3339"/>
      <c r="CG60" s="3339"/>
      <c r="CH60" s="3339"/>
      <c r="CI60" s="3339"/>
      <c r="CJ60" s="3339"/>
      <c r="CK60" s="3339"/>
      <c r="CL60" s="3323"/>
      <c r="CM60" s="3324"/>
      <c r="CN60" s="3324"/>
      <c r="CO60" s="3324"/>
      <c r="CP60" s="3324"/>
      <c r="CQ60" s="3324"/>
      <c r="CR60" s="3324"/>
      <c r="CS60" s="3324"/>
      <c r="CT60" s="3324"/>
      <c r="CU60" s="3324"/>
      <c r="CV60" s="3324"/>
      <c r="CW60" s="3324"/>
      <c r="CX60" s="3324"/>
      <c r="CY60" s="3325"/>
      <c r="DB60" s="3343"/>
      <c r="DC60" s="3343"/>
      <c r="DD60" s="3343"/>
      <c r="DE60" s="3340">
        <v>40</v>
      </c>
      <c r="DF60" s="3341"/>
      <c r="DG60" s="3341"/>
      <c r="DH60" s="902" t="s">
        <v>140</v>
      </c>
      <c r="DI60" s="903" t="s">
        <v>128</v>
      </c>
      <c r="DJ60" s="3338">
        <v>35.061</v>
      </c>
      <c r="DK60" s="3339"/>
      <c r="DL60" s="3339"/>
      <c r="DM60" s="3339"/>
      <c r="DN60" s="3339"/>
      <c r="DO60" s="3339"/>
      <c r="DP60" s="3339"/>
      <c r="DQ60" s="3339"/>
      <c r="DR60" s="3339"/>
      <c r="DS60" s="3339"/>
      <c r="DT60" s="3339"/>
      <c r="DU60" s="3339"/>
      <c r="DV60" s="3339"/>
      <c r="DW60" s="3339"/>
      <c r="DX60" s="3338">
        <v>35.049999999999997</v>
      </c>
      <c r="DY60" s="3339"/>
      <c r="DZ60" s="3339"/>
      <c r="EA60" s="3339"/>
      <c r="EB60" s="3339"/>
      <c r="EC60" s="3339"/>
      <c r="ED60" s="3339"/>
      <c r="EE60" s="3339"/>
      <c r="EF60" s="3339"/>
      <c r="EG60" s="3339"/>
      <c r="EH60" s="3339"/>
      <c r="EI60" s="3339"/>
      <c r="EJ60" s="3339"/>
    </row>
    <row r="61" spans="1:140" ht="16.5" outlineLevel="1">
      <c r="A61" s="3342">
        <v>0.5</v>
      </c>
      <c r="B61" s="3342"/>
      <c r="C61" s="3342"/>
      <c r="D61" s="3340">
        <v>100</v>
      </c>
      <c r="E61" s="3341"/>
      <c r="F61" s="3341"/>
      <c r="G61" s="902" t="s">
        <v>140</v>
      </c>
      <c r="H61" s="903" t="s">
        <v>128</v>
      </c>
      <c r="I61" s="3337">
        <v>86.558000000000007</v>
      </c>
      <c r="J61" s="3337"/>
      <c r="K61" s="3337"/>
      <c r="L61" s="3337"/>
      <c r="M61" s="3337"/>
      <c r="N61" s="3337"/>
      <c r="O61" s="3337"/>
      <c r="P61" s="3337"/>
      <c r="Q61" s="3337"/>
      <c r="R61" s="3337"/>
      <c r="S61" s="3337"/>
      <c r="T61" s="3337"/>
      <c r="U61" s="3337"/>
      <c r="V61" s="3337"/>
      <c r="W61" s="3338">
        <v>86.19</v>
      </c>
      <c r="X61" s="3339"/>
      <c r="Y61" s="3339"/>
      <c r="Z61" s="3339"/>
      <c r="AA61" s="3339"/>
      <c r="AB61" s="3339"/>
      <c r="AC61" s="3339"/>
      <c r="AD61" s="3339"/>
      <c r="AE61" s="3339"/>
      <c r="AF61" s="3339"/>
      <c r="AG61" s="3339"/>
      <c r="AH61" s="3339"/>
      <c r="AI61" s="3339"/>
      <c r="AJ61" s="3339"/>
      <c r="AK61" s="3323"/>
      <c r="AL61" s="3324"/>
      <c r="AM61" s="3324"/>
      <c r="AN61" s="3324"/>
      <c r="AO61" s="3324"/>
      <c r="AP61" s="3324"/>
      <c r="AQ61" s="3324"/>
      <c r="AR61" s="3324"/>
      <c r="AS61" s="3324"/>
      <c r="AT61" s="3324"/>
      <c r="AU61" s="3324"/>
      <c r="AV61" s="3324"/>
      <c r="AW61" s="3324"/>
      <c r="AX61" s="3325"/>
      <c r="BB61" s="3342">
        <v>0.5</v>
      </c>
      <c r="BC61" s="3342"/>
      <c r="BD61" s="3342"/>
      <c r="BE61" s="3340">
        <v>100</v>
      </c>
      <c r="BF61" s="3341"/>
      <c r="BG61" s="3341"/>
      <c r="BH61" s="902" t="s">
        <v>140</v>
      </c>
      <c r="BI61" s="903" t="s">
        <v>128</v>
      </c>
      <c r="BJ61" s="3337">
        <v>86.558000000000007</v>
      </c>
      <c r="BK61" s="3337"/>
      <c r="BL61" s="3337"/>
      <c r="BM61" s="3337"/>
      <c r="BN61" s="3337"/>
      <c r="BO61" s="3337"/>
      <c r="BP61" s="3337"/>
      <c r="BQ61" s="3337"/>
      <c r="BR61" s="3337"/>
      <c r="BS61" s="3337"/>
      <c r="BT61" s="3337"/>
      <c r="BU61" s="3337"/>
      <c r="BV61" s="3337"/>
      <c r="BW61" s="3337"/>
      <c r="BX61" s="3338">
        <v>86.19</v>
      </c>
      <c r="BY61" s="3339"/>
      <c r="BZ61" s="3339"/>
      <c r="CA61" s="3339"/>
      <c r="CB61" s="3339"/>
      <c r="CC61" s="3339"/>
      <c r="CD61" s="3339"/>
      <c r="CE61" s="3339"/>
      <c r="CF61" s="3339"/>
      <c r="CG61" s="3339"/>
      <c r="CH61" s="3339"/>
      <c r="CI61" s="3339"/>
      <c r="CJ61" s="3339"/>
      <c r="CK61" s="3339"/>
      <c r="CL61" s="3323"/>
      <c r="CM61" s="3324"/>
      <c r="CN61" s="3324"/>
      <c r="CO61" s="3324"/>
      <c r="CP61" s="3324"/>
      <c r="CQ61" s="3324"/>
      <c r="CR61" s="3324"/>
      <c r="CS61" s="3324"/>
      <c r="CT61" s="3324"/>
      <c r="CU61" s="3324"/>
      <c r="CV61" s="3324"/>
      <c r="CW61" s="3324"/>
      <c r="CX61" s="3324"/>
      <c r="CY61" s="3325"/>
      <c r="DB61" s="3342">
        <v>0.5</v>
      </c>
      <c r="DC61" s="3342"/>
      <c r="DD61" s="3342"/>
      <c r="DE61" s="3340">
        <v>100</v>
      </c>
      <c r="DF61" s="3341"/>
      <c r="DG61" s="3341"/>
      <c r="DH61" s="902" t="s">
        <v>140</v>
      </c>
      <c r="DI61" s="903" t="s">
        <v>128</v>
      </c>
      <c r="DJ61" s="3337">
        <v>86.558000000000007</v>
      </c>
      <c r="DK61" s="3337"/>
      <c r="DL61" s="3337"/>
      <c r="DM61" s="3337"/>
      <c r="DN61" s="3337"/>
      <c r="DO61" s="3337"/>
      <c r="DP61" s="3337"/>
      <c r="DQ61" s="3337"/>
      <c r="DR61" s="3337"/>
      <c r="DS61" s="3337"/>
      <c r="DT61" s="3337"/>
      <c r="DU61" s="3337"/>
      <c r="DV61" s="3337"/>
      <c r="DW61" s="3337"/>
      <c r="DX61" s="3338">
        <v>86.19</v>
      </c>
      <c r="DY61" s="3339"/>
      <c r="DZ61" s="3339"/>
      <c r="EA61" s="3339"/>
      <c r="EB61" s="3339"/>
      <c r="EC61" s="3339"/>
      <c r="ED61" s="3339"/>
      <c r="EE61" s="3339"/>
      <c r="EF61" s="3339"/>
      <c r="EG61" s="3339"/>
      <c r="EH61" s="3339"/>
      <c r="EI61" s="3339"/>
      <c r="EJ61" s="3339"/>
    </row>
    <row r="62" spans="1:140" ht="16.5" outlineLevel="1">
      <c r="A62" s="3342"/>
      <c r="B62" s="3342"/>
      <c r="C62" s="3342"/>
      <c r="D62" s="3340">
        <v>40</v>
      </c>
      <c r="E62" s="3341"/>
      <c r="F62" s="3341"/>
      <c r="G62" s="902" t="s">
        <v>140</v>
      </c>
      <c r="H62" s="903" t="s">
        <v>128</v>
      </c>
      <c r="I62" s="3337">
        <v>34.043999999999997</v>
      </c>
      <c r="J62" s="3337"/>
      <c r="K62" s="3337"/>
      <c r="L62" s="3337"/>
      <c r="M62" s="3337"/>
      <c r="N62" s="3337"/>
      <c r="O62" s="3337"/>
      <c r="P62" s="3337"/>
      <c r="Q62" s="3337"/>
      <c r="R62" s="3337"/>
      <c r="S62" s="3337"/>
      <c r="T62" s="3337"/>
      <c r="U62" s="3337"/>
      <c r="V62" s="3337"/>
      <c r="W62" s="3337">
        <v>34.11</v>
      </c>
      <c r="X62" s="3337"/>
      <c r="Y62" s="3337"/>
      <c r="Z62" s="3337"/>
      <c r="AA62" s="3337"/>
      <c r="AB62" s="3337"/>
      <c r="AC62" s="3337"/>
      <c r="AD62" s="3337"/>
      <c r="AE62" s="3337"/>
      <c r="AF62" s="3337"/>
      <c r="AG62" s="3337"/>
      <c r="AH62" s="3337"/>
      <c r="AI62" s="3337"/>
      <c r="AJ62" s="3337"/>
      <c r="AK62" s="3326"/>
      <c r="AL62" s="3327"/>
      <c r="AM62" s="3327"/>
      <c r="AN62" s="3327"/>
      <c r="AO62" s="3327"/>
      <c r="AP62" s="3327"/>
      <c r="AQ62" s="3327"/>
      <c r="AR62" s="3327"/>
      <c r="AS62" s="3327"/>
      <c r="AT62" s="3327"/>
      <c r="AU62" s="3327"/>
      <c r="AV62" s="3327"/>
      <c r="AW62" s="3327"/>
      <c r="AX62" s="3328"/>
      <c r="BB62" s="3342"/>
      <c r="BC62" s="3342"/>
      <c r="BD62" s="3342"/>
      <c r="BE62" s="3340">
        <v>40</v>
      </c>
      <c r="BF62" s="3341"/>
      <c r="BG62" s="3341"/>
      <c r="BH62" s="902" t="s">
        <v>140</v>
      </c>
      <c r="BI62" s="903" t="s">
        <v>128</v>
      </c>
      <c r="BJ62" s="3337">
        <v>34.043999999999997</v>
      </c>
      <c r="BK62" s="3337"/>
      <c r="BL62" s="3337"/>
      <c r="BM62" s="3337"/>
      <c r="BN62" s="3337"/>
      <c r="BO62" s="3337"/>
      <c r="BP62" s="3337"/>
      <c r="BQ62" s="3337"/>
      <c r="BR62" s="3337"/>
      <c r="BS62" s="3337"/>
      <c r="BT62" s="3337"/>
      <c r="BU62" s="3337"/>
      <c r="BV62" s="3337"/>
      <c r="BW62" s="3337"/>
      <c r="BX62" s="3337">
        <v>34.11</v>
      </c>
      <c r="BY62" s="3337"/>
      <c r="BZ62" s="3337"/>
      <c r="CA62" s="3337"/>
      <c r="CB62" s="3337"/>
      <c r="CC62" s="3337"/>
      <c r="CD62" s="3337"/>
      <c r="CE62" s="3337"/>
      <c r="CF62" s="3337"/>
      <c r="CG62" s="3337"/>
      <c r="CH62" s="3337"/>
      <c r="CI62" s="3337"/>
      <c r="CJ62" s="3337"/>
      <c r="CK62" s="3337"/>
      <c r="CL62" s="3326"/>
      <c r="CM62" s="3327"/>
      <c r="CN62" s="3327"/>
      <c r="CO62" s="3327"/>
      <c r="CP62" s="3327"/>
      <c r="CQ62" s="3327"/>
      <c r="CR62" s="3327"/>
      <c r="CS62" s="3327"/>
      <c r="CT62" s="3327"/>
      <c r="CU62" s="3327"/>
      <c r="CV62" s="3327"/>
      <c r="CW62" s="3327"/>
      <c r="CX62" s="3327"/>
      <c r="CY62" s="3328"/>
      <c r="DB62" s="3342"/>
      <c r="DC62" s="3342"/>
      <c r="DD62" s="3342"/>
      <c r="DE62" s="3340">
        <v>40</v>
      </c>
      <c r="DF62" s="3341"/>
      <c r="DG62" s="3341"/>
      <c r="DH62" s="902" t="s">
        <v>140</v>
      </c>
      <c r="DI62" s="903" t="s">
        <v>128</v>
      </c>
      <c r="DJ62" s="3337">
        <v>34.043999999999997</v>
      </c>
      <c r="DK62" s="3337"/>
      <c r="DL62" s="3337"/>
      <c r="DM62" s="3337"/>
      <c r="DN62" s="3337"/>
      <c r="DO62" s="3337"/>
      <c r="DP62" s="3337"/>
      <c r="DQ62" s="3337"/>
      <c r="DR62" s="3337"/>
      <c r="DS62" s="3337"/>
      <c r="DT62" s="3337"/>
      <c r="DU62" s="3337"/>
      <c r="DV62" s="3337"/>
      <c r="DW62" s="3337"/>
      <c r="DX62" s="3337">
        <v>34.11</v>
      </c>
      <c r="DY62" s="3337"/>
      <c r="DZ62" s="3337"/>
      <c r="EA62" s="3337"/>
      <c r="EB62" s="3337"/>
      <c r="EC62" s="3337"/>
      <c r="ED62" s="3337"/>
      <c r="EE62" s="3337"/>
      <c r="EF62" s="3337"/>
      <c r="EG62" s="3337"/>
      <c r="EH62" s="3337"/>
      <c r="EI62" s="3337"/>
      <c r="EJ62" s="3337"/>
    </row>
    <row r="63" spans="1:140" outlineLevel="1"/>
    <row r="64" spans="1:140" ht="16.5" outlineLevel="1">
      <c r="A64" s="3332" t="s">
        <v>149</v>
      </c>
      <c r="B64" s="3333"/>
      <c r="C64" s="3317" t="s">
        <v>150</v>
      </c>
      <c r="D64" s="3317"/>
      <c r="E64" s="3317"/>
      <c r="F64" s="3317"/>
      <c r="G64" s="3317"/>
      <c r="H64" s="893" t="s">
        <v>126</v>
      </c>
      <c r="I64" s="894" t="s">
        <v>127</v>
      </c>
      <c r="J64" s="895" t="s">
        <v>128</v>
      </c>
      <c r="K64" s="893" t="s">
        <v>129</v>
      </c>
      <c r="L64" s="3334">
        <v>57.7</v>
      </c>
      <c r="M64" s="3334"/>
      <c r="N64" s="3334"/>
      <c r="O64" s="3334"/>
      <c r="P64" s="893" t="s">
        <v>130</v>
      </c>
      <c r="Q64" s="894" t="s">
        <v>140</v>
      </c>
      <c r="R64" s="895" t="s">
        <v>128</v>
      </c>
      <c r="S64" s="893" t="s">
        <v>129</v>
      </c>
      <c r="T64" s="3335">
        <v>1</v>
      </c>
      <c r="U64" s="3335"/>
      <c r="V64" s="3335"/>
      <c r="W64" s="3335"/>
      <c r="X64" s="893" t="s">
        <v>130</v>
      </c>
      <c r="Y64" s="3333" t="s">
        <v>131</v>
      </c>
      <c r="Z64" s="3333"/>
      <c r="AA64" s="3333"/>
      <c r="AB64" s="3336">
        <v>0.5</v>
      </c>
      <c r="AC64" s="3336"/>
      <c r="AD64" s="3336"/>
      <c r="AE64" s="893" t="s">
        <v>132</v>
      </c>
      <c r="AF64" s="893"/>
      <c r="AG64" s="893" t="s">
        <v>133</v>
      </c>
      <c r="AH64" s="893"/>
      <c r="AI64" s="893"/>
      <c r="AJ64" s="893"/>
      <c r="AK64" s="893"/>
      <c r="AL64" s="893"/>
      <c r="AM64" s="893"/>
      <c r="AN64" s="893"/>
      <c r="AO64" s="893"/>
      <c r="AP64" s="893"/>
      <c r="AQ64" s="893"/>
      <c r="AR64" s="893"/>
      <c r="AS64" s="893"/>
      <c r="AT64" s="893"/>
      <c r="AU64" s="893"/>
      <c r="AV64" s="893"/>
      <c r="AW64" s="893"/>
      <c r="AX64" s="896"/>
      <c r="BB64" s="3332" t="s">
        <v>149</v>
      </c>
      <c r="BC64" s="3333"/>
      <c r="BD64" s="3317" t="s">
        <v>150</v>
      </c>
      <c r="BE64" s="3317"/>
      <c r="BF64" s="3317"/>
      <c r="BG64" s="3317"/>
      <c r="BH64" s="3317"/>
      <c r="BI64" s="893" t="s">
        <v>126</v>
      </c>
      <c r="BJ64" s="894" t="s">
        <v>127</v>
      </c>
      <c r="BK64" s="895" t="s">
        <v>128</v>
      </c>
      <c r="BL64" s="893" t="s">
        <v>129</v>
      </c>
      <c r="BM64" s="3334">
        <v>57.7</v>
      </c>
      <c r="BN64" s="3334"/>
      <c r="BO64" s="3334"/>
      <c r="BP64" s="3334"/>
      <c r="BQ64" s="893" t="s">
        <v>130</v>
      </c>
      <c r="BR64" s="894" t="s">
        <v>140</v>
      </c>
      <c r="BS64" s="895" t="s">
        <v>128</v>
      </c>
      <c r="BT64" s="893" t="s">
        <v>129</v>
      </c>
      <c r="BU64" s="3335">
        <v>1</v>
      </c>
      <c r="BV64" s="3335"/>
      <c r="BW64" s="3335"/>
      <c r="BX64" s="3335"/>
      <c r="BY64" s="893" t="s">
        <v>130</v>
      </c>
      <c r="BZ64" s="3333" t="s">
        <v>131</v>
      </c>
      <c r="CA64" s="3333"/>
      <c r="CB64" s="3333"/>
      <c r="CC64" s="3336">
        <v>0.5</v>
      </c>
      <c r="CD64" s="3336"/>
      <c r="CE64" s="3336"/>
      <c r="CF64" s="893" t="s">
        <v>132</v>
      </c>
      <c r="CG64" s="893"/>
      <c r="CH64" s="893" t="s">
        <v>133</v>
      </c>
      <c r="CI64" s="893"/>
      <c r="CJ64" s="893"/>
      <c r="CK64" s="893"/>
      <c r="CL64" s="893"/>
      <c r="CM64" s="893"/>
      <c r="CN64" s="893"/>
      <c r="CO64" s="893"/>
      <c r="CP64" s="893"/>
      <c r="CQ64" s="893"/>
      <c r="CR64" s="893"/>
      <c r="CS64" s="893"/>
      <c r="CT64" s="893"/>
      <c r="CU64" s="893"/>
      <c r="CV64" s="893"/>
      <c r="CW64" s="893"/>
      <c r="CX64" s="893"/>
      <c r="CY64" s="896"/>
      <c r="DB64" s="3332" t="s">
        <v>149</v>
      </c>
      <c r="DC64" s="3333"/>
      <c r="DD64" s="3317" t="s">
        <v>150</v>
      </c>
      <c r="DE64" s="3317"/>
      <c r="DF64" s="3317"/>
      <c r="DG64" s="3317"/>
      <c r="DH64" s="3317"/>
      <c r="DI64" s="893" t="s">
        <v>126</v>
      </c>
      <c r="DJ64" s="894" t="s">
        <v>127</v>
      </c>
      <c r="DK64" s="895" t="s">
        <v>128</v>
      </c>
      <c r="DL64" s="893" t="s">
        <v>129</v>
      </c>
      <c r="DM64" s="3334">
        <v>57.7</v>
      </c>
      <c r="DN64" s="3334"/>
      <c r="DO64" s="3334"/>
      <c r="DP64" s="3334"/>
      <c r="DQ64" s="893" t="s">
        <v>130</v>
      </c>
      <c r="DR64" s="894" t="s">
        <v>140</v>
      </c>
      <c r="DS64" s="895" t="s">
        <v>128</v>
      </c>
      <c r="DT64" s="893" t="s">
        <v>129</v>
      </c>
      <c r="DU64" s="3335">
        <v>1</v>
      </c>
      <c r="DV64" s="3335"/>
      <c r="DW64" s="3335"/>
      <c r="DX64" s="3335"/>
      <c r="DY64" s="893" t="s">
        <v>130</v>
      </c>
      <c r="DZ64" s="3333" t="s">
        <v>131</v>
      </c>
      <c r="EA64" s="3333"/>
      <c r="EB64" s="3333"/>
      <c r="EC64" s="3336">
        <v>0.5</v>
      </c>
      <c r="ED64" s="3336"/>
      <c r="EE64" s="3336"/>
      <c r="EF64" s="893" t="s">
        <v>132</v>
      </c>
      <c r="EG64" s="893"/>
      <c r="EH64" s="893" t="s">
        <v>133</v>
      </c>
      <c r="EI64" s="893"/>
      <c r="EJ64" s="893"/>
    </row>
    <row r="65" spans="1:140" ht="15" outlineLevel="1">
      <c r="A65" s="3329" t="s">
        <v>151</v>
      </c>
      <c r="B65" s="3330"/>
      <c r="C65" s="170" t="s">
        <v>146</v>
      </c>
      <c r="D65" s="3316" t="s">
        <v>134</v>
      </c>
      <c r="E65" s="3317"/>
      <c r="F65" s="3317"/>
      <c r="G65" s="3317"/>
      <c r="H65" s="3318"/>
      <c r="I65" s="3319" t="s">
        <v>152</v>
      </c>
      <c r="J65" s="3320"/>
      <c r="K65" s="3320"/>
      <c r="L65" s="3320"/>
      <c r="M65" s="3320"/>
      <c r="N65" s="3320"/>
      <c r="O65" s="3320"/>
      <c r="P65" s="3320"/>
      <c r="Q65" s="3320"/>
      <c r="R65" s="3320"/>
      <c r="S65" s="3320"/>
      <c r="T65" s="3320"/>
      <c r="U65" s="3320"/>
      <c r="V65" s="3320"/>
      <c r="W65" s="3319" t="s">
        <v>153</v>
      </c>
      <c r="X65" s="3320"/>
      <c r="Y65" s="3320"/>
      <c r="Z65" s="3320"/>
      <c r="AA65" s="3320"/>
      <c r="AB65" s="3320"/>
      <c r="AC65" s="3320"/>
      <c r="AD65" s="3320"/>
      <c r="AE65" s="3320"/>
      <c r="AF65" s="3320"/>
      <c r="AG65" s="3320"/>
      <c r="AH65" s="3320"/>
      <c r="AI65" s="3320"/>
      <c r="AJ65" s="3320"/>
      <c r="AK65" s="3331" t="s">
        <v>2366</v>
      </c>
      <c r="AL65" s="3331"/>
      <c r="AM65" s="3331"/>
      <c r="AN65" s="3331"/>
      <c r="AO65" s="3331"/>
      <c r="AP65" s="3331"/>
      <c r="AQ65" s="3331"/>
      <c r="AR65" s="3331"/>
      <c r="AS65" s="3331"/>
      <c r="AT65" s="3331"/>
      <c r="AU65" s="3331"/>
      <c r="AV65" s="3331"/>
      <c r="AW65" s="3331"/>
      <c r="AX65" s="3331"/>
      <c r="AY65" s="899" t="s">
        <v>2367</v>
      </c>
      <c r="BB65" s="3329" t="s">
        <v>151</v>
      </c>
      <c r="BC65" s="3330"/>
      <c r="BD65" s="170" t="s">
        <v>146</v>
      </c>
      <c r="BE65" s="3316" t="s">
        <v>134</v>
      </c>
      <c r="BF65" s="3317"/>
      <c r="BG65" s="3317"/>
      <c r="BH65" s="3317"/>
      <c r="BI65" s="3318"/>
      <c r="BJ65" s="3319" t="s">
        <v>152</v>
      </c>
      <c r="BK65" s="3320"/>
      <c r="BL65" s="3320"/>
      <c r="BM65" s="3320"/>
      <c r="BN65" s="3320"/>
      <c r="BO65" s="3320"/>
      <c r="BP65" s="3320"/>
      <c r="BQ65" s="3320"/>
      <c r="BR65" s="3320"/>
      <c r="BS65" s="3320"/>
      <c r="BT65" s="3320"/>
      <c r="BU65" s="3320"/>
      <c r="BV65" s="3320"/>
      <c r="BW65" s="3320"/>
      <c r="BX65" s="3319" t="s">
        <v>153</v>
      </c>
      <c r="BY65" s="3320"/>
      <c r="BZ65" s="3320"/>
      <c r="CA65" s="3320"/>
      <c r="CB65" s="3320"/>
      <c r="CC65" s="3320"/>
      <c r="CD65" s="3320"/>
      <c r="CE65" s="3320"/>
      <c r="CF65" s="3320"/>
      <c r="CG65" s="3320"/>
      <c r="CH65" s="3320"/>
      <c r="CI65" s="3320"/>
      <c r="CJ65" s="3320"/>
      <c r="CK65" s="3320"/>
      <c r="CL65" s="3331" t="s">
        <v>2366</v>
      </c>
      <c r="CM65" s="3331"/>
      <c r="CN65" s="3331"/>
      <c r="CO65" s="3331"/>
      <c r="CP65" s="3331"/>
      <c r="CQ65" s="3331"/>
      <c r="CR65" s="3331"/>
      <c r="CS65" s="3331"/>
      <c r="CT65" s="3331"/>
      <c r="CU65" s="3331"/>
      <c r="CV65" s="3331"/>
      <c r="CW65" s="3331"/>
      <c r="CX65" s="3331"/>
      <c r="CY65" s="3331"/>
      <c r="DB65" s="3329" t="s">
        <v>151</v>
      </c>
      <c r="DC65" s="3330"/>
      <c r="DD65" s="170" t="s">
        <v>146</v>
      </c>
      <c r="DE65" s="3316" t="s">
        <v>134</v>
      </c>
      <c r="DF65" s="3317"/>
      <c r="DG65" s="3317"/>
      <c r="DH65" s="3317"/>
      <c r="DI65" s="3318"/>
      <c r="DJ65" s="3319" t="s">
        <v>152</v>
      </c>
      <c r="DK65" s="3320"/>
      <c r="DL65" s="3320"/>
      <c r="DM65" s="3320"/>
      <c r="DN65" s="3320"/>
      <c r="DO65" s="3320"/>
      <c r="DP65" s="3320"/>
      <c r="DQ65" s="3320"/>
      <c r="DR65" s="3320"/>
      <c r="DS65" s="3320"/>
      <c r="DT65" s="3320"/>
      <c r="DU65" s="3320"/>
      <c r="DV65" s="3320"/>
      <c r="DW65" s="3320"/>
      <c r="DX65" s="3319" t="s">
        <v>153</v>
      </c>
      <c r="DY65" s="3320"/>
      <c r="DZ65" s="3320"/>
      <c r="EA65" s="3320"/>
      <c r="EB65" s="3320"/>
      <c r="EC65" s="3320"/>
      <c r="ED65" s="3320"/>
      <c r="EE65" s="3320"/>
      <c r="EF65" s="3320"/>
      <c r="EG65" s="3320"/>
      <c r="EH65" s="3320"/>
      <c r="EI65" s="3320"/>
      <c r="EJ65" s="3320"/>
    </row>
    <row r="66" spans="1:140" ht="16.5" outlineLevel="1">
      <c r="A66" s="3321">
        <v>1</v>
      </c>
      <c r="B66" s="3321"/>
      <c r="C66" s="3321"/>
      <c r="D66" s="3308">
        <v>120</v>
      </c>
      <c r="E66" s="3309"/>
      <c r="F66" s="3309"/>
      <c r="G66" s="902" t="s">
        <v>140</v>
      </c>
      <c r="H66" s="903" t="s">
        <v>128</v>
      </c>
      <c r="I66" s="3304">
        <v>207.709</v>
      </c>
      <c r="J66" s="3305"/>
      <c r="K66" s="3305"/>
      <c r="L66" s="3305"/>
      <c r="M66" s="3305"/>
      <c r="N66" s="3305"/>
      <c r="O66" s="3305"/>
      <c r="P66" s="3305"/>
      <c r="Q66" s="3305"/>
      <c r="R66" s="3305"/>
      <c r="S66" s="3305"/>
      <c r="T66" s="3305"/>
      <c r="U66" s="3305"/>
      <c r="V66" s="3305"/>
      <c r="W66" s="3314">
        <v>207</v>
      </c>
      <c r="X66" s="3315"/>
      <c r="Y66" s="3315"/>
      <c r="Z66" s="3315"/>
      <c r="AA66" s="3315"/>
      <c r="AB66" s="3315"/>
      <c r="AC66" s="3315"/>
      <c r="AD66" s="3315"/>
      <c r="AE66" s="3315"/>
      <c r="AF66" s="3315"/>
      <c r="AG66" s="3315"/>
      <c r="AH66" s="3315"/>
      <c r="AI66" s="3315"/>
      <c r="AJ66" s="3315"/>
      <c r="AK66" s="3306" t="s">
        <v>2368</v>
      </c>
      <c r="AL66" s="3307"/>
      <c r="AM66" s="3307"/>
      <c r="AN66" s="3307"/>
      <c r="AO66" s="3307"/>
      <c r="AP66" s="3307"/>
      <c r="AQ66" s="3307"/>
      <c r="AR66" s="3307"/>
      <c r="AS66" s="3307"/>
      <c r="AT66" s="3307"/>
      <c r="AU66" s="3307"/>
      <c r="AV66" s="3307"/>
      <c r="AW66" s="3307"/>
      <c r="AX66" s="3322"/>
      <c r="BB66" s="3321">
        <v>1</v>
      </c>
      <c r="BC66" s="3321"/>
      <c r="BD66" s="3321"/>
      <c r="BE66" s="3308">
        <v>120</v>
      </c>
      <c r="BF66" s="3309"/>
      <c r="BG66" s="3309"/>
      <c r="BH66" s="902" t="s">
        <v>140</v>
      </c>
      <c r="BI66" s="903" t="s">
        <v>128</v>
      </c>
      <c r="BJ66" s="3304">
        <v>207.709</v>
      </c>
      <c r="BK66" s="3305"/>
      <c r="BL66" s="3305"/>
      <c r="BM66" s="3305"/>
      <c r="BN66" s="3305"/>
      <c r="BO66" s="3305"/>
      <c r="BP66" s="3305"/>
      <c r="BQ66" s="3305"/>
      <c r="BR66" s="3305"/>
      <c r="BS66" s="3305"/>
      <c r="BT66" s="3305"/>
      <c r="BU66" s="3305"/>
      <c r="BV66" s="3305"/>
      <c r="BW66" s="3305"/>
      <c r="BX66" s="3314">
        <v>207</v>
      </c>
      <c r="BY66" s="3315"/>
      <c r="BZ66" s="3315"/>
      <c r="CA66" s="3315"/>
      <c r="CB66" s="3315"/>
      <c r="CC66" s="3315"/>
      <c r="CD66" s="3315"/>
      <c r="CE66" s="3315"/>
      <c r="CF66" s="3315"/>
      <c r="CG66" s="3315"/>
      <c r="CH66" s="3315"/>
      <c r="CI66" s="3315"/>
      <c r="CJ66" s="3315"/>
      <c r="CK66" s="3315"/>
      <c r="CL66" s="3306" t="s">
        <v>2369</v>
      </c>
      <c r="CM66" s="3307"/>
      <c r="CN66" s="3307"/>
      <c r="CO66" s="3307"/>
      <c r="CP66" s="3307"/>
      <c r="CQ66" s="3307"/>
      <c r="CR66" s="3307"/>
      <c r="CS66" s="3307"/>
      <c r="CT66" s="3307"/>
      <c r="CU66" s="3307"/>
      <c r="CV66" s="3307"/>
      <c r="CW66" s="3307"/>
      <c r="CX66" s="3307"/>
      <c r="CY66" s="3322"/>
      <c r="DB66" s="3321">
        <v>1</v>
      </c>
      <c r="DC66" s="3321"/>
      <c r="DD66" s="3321"/>
      <c r="DE66" s="3308">
        <v>120</v>
      </c>
      <c r="DF66" s="3309"/>
      <c r="DG66" s="3309"/>
      <c r="DH66" s="902" t="s">
        <v>140</v>
      </c>
      <c r="DI66" s="903" t="s">
        <v>128</v>
      </c>
      <c r="DJ66" s="3304">
        <v>207.709</v>
      </c>
      <c r="DK66" s="3305"/>
      <c r="DL66" s="3305"/>
      <c r="DM66" s="3305"/>
      <c r="DN66" s="3305"/>
      <c r="DO66" s="3305"/>
      <c r="DP66" s="3305"/>
      <c r="DQ66" s="3305"/>
      <c r="DR66" s="3305"/>
      <c r="DS66" s="3305"/>
      <c r="DT66" s="3305"/>
      <c r="DU66" s="3305"/>
      <c r="DV66" s="3305"/>
      <c r="DW66" s="3305"/>
      <c r="DX66" s="3314">
        <v>207</v>
      </c>
      <c r="DY66" s="3315"/>
      <c r="DZ66" s="3315"/>
      <c r="EA66" s="3315"/>
      <c r="EB66" s="3315"/>
      <c r="EC66" s="3315"/>
      <c r="ED66" s="3315"/>
      <c r="EE66" s="3315"/>
      <c r="EF66" s="3315"/>
      <c r="EG66" s="3315"/>
      <c r="EH66" s="3315"/>
      <c r="EI66" s="3315"/>
      <c r="EJ66" s="3315"/>
    </row>
    <row r="67" spans="1:140" ht="16.5" outlineLevel="1">
      <c r="A67" s="3321"/>
      <c r="B67" s="3321"/>
      <c r="C67" s="3321"/>
      <c r="D67" s="3308">
        <v>100</v>
      </c>
      <c r="E67" s="3309"/>
      <c r="F67" s="3309"/>
      <c r="G67" s="902" t="s">
        <v>140</v>
      </c>
      <c r="H67" s="903" t="s">
        <v>128</v>
      </c>
      <c r="I67" s="3304">
        <v>173.09299999999999</v>
      </c>
      <c r="J67" s="3305"/>
      <c r="K67" s="3305"/>
      <c r="L67" s="3305"/>
      <c r="M67" s="3305"/>
      <c r="N67" s="3305"/>
      <c r="O67" s="3305"/>
      <c r="P67" s="3305"/>
      <c r="Q67" s="3305"/>
      <c r="R67" s="3305"/>
      <c r="S67" s="3305"/>
      <c r="T67" s="3305"/>
      <c r="U67" s="3305"/>
      <c r="V67" s="3305"/>
      <c r="W67" s="3314">
        <v>172.5</v>
      </c>
      <c r="X67" s="3315"/>
      <c r="Y67" s="3315"/>
      <c r="Z67" s="3315"/>
      <c r="AA67" s="3315"/>
      <c r="AB67" s="3315"/>
      <c r="AC67" s="3315"/>
      <c r="AD67" s="3315"/>
      <c r="AE67" s="3315"/>
      <c r="AF67" s="3315"/>
      <c r="AG67" s="3315"/>
      <c r="AH67" s="3315"/>
      <c r="AI67" s="3315"/>
      <c r="AJ67" s="3315"/>
      <c r="AK67" s="3323"/>
      <c r="AL67" s="3324"/>
      <c r="AM67" s="3324"/>
      <c r="AN67" s="3324"/>
      <c r="AO67" s="3324"/>
      <c r="AP67" s="3324"/>
      <c r="AQ67" s="3324"/>
      <c r="AR67" s="3324"/>
      <c r="AS67" s="3324"/>
      <c r="AT67" s="3324"/>
      <c r="AU67" s="3324"/>
      <c r="AV67" s="3324"/>
      <c r="AW67" s="3324"/>
      <c r="AX67" s="3325"/>
      <c r="BB67" s="3321"/>
      <c r="BC67" s="3321"/>
      <c r="BD67" s="3321"/>
      <c r="BE67" s="3308">
        <v>100</v>
      </c>
      <c r="BF67" s="3309"/>
      <c r="BG67" s="3309"/>
      <c r="BH67" s="902" t="s">
        <v>140</v>
      </c>
      <c r="BI67" s="903" t="s">
        <v>128</v>
      </c>
      <c r="BJ67" s="3304">
        <v>173.09299999999999</v>
      </c>
      <c r="BK67" s="3305"/>
      <c r="BL67" s="3305"/>
      <c r="BM67" s="3305"/>
      <c r="BN67" s="3305"/>
      <c r="BO67" s="3305"/>
      <c r="BP67" s="3305"/>
      <c r="BQ67" s="3305"/>
      <c r="BR67" s="3305"/>
      <c r="BS67" s="3305"/>
      <c r="BT67" s="3305"/>
      <c r="BU67" s="3305"/>
      <c r="BV67" s="3305"/>
      <c r="BW67" s="3305"/>
      <c r="BX67" s="3314">
        <v>172.5</v>
      </c>
      <c r="BY67" s="3315"/>
      <c r="BZ67" s="3315"/>
      <c r="CA67" s="3315"/>
      <c r="CB67" s="3315"/>
      <c r="CC67" s="3315"/>
      <c r="CD67" s="3315"/>
      <c r="CE67" s="3315"/>
      <c r="CF67" s="3315"/>
      <c r="CG67" s="3315"/>
      <c r="CH67" s="3315"/>
      <c r="CI67" s="3315"/>
      <c r="CJ67" s="3315"/>
      <c r="CK67" s="3315"/>
      <c r="CL67" s="3323"/>
      <c r="CM67" s="3324"/>
      <c r="CN67" s="3324"/>
      <c r="CO67" s="3324"/>
      <c r="CP67" s="3324"/>
      <c r="CQ67" s="3324"/>
      <c r="CR67" s="3324"/>
      <c r="CS67" s="3324"/>
      <c r="CT67" s="3324"/>
      <c r="CU67" s="3324"/>
      <c r="CV67" s="3324"/>
      <c r="CW67" s="3324"/>
      <c r="CX67" s="3324"/>
      <c r="CY67" s="3325"/>
      <c r="DB67" s="3321"/>
      <c r="DC67" s="3321"/>
      <c r="DD67" s="3321"/>
      <c r="DE67" s="3308">
        <v>100</v>
      </c>
      <c r="DF67" s="3309"/>
      <c r="DG67" s="3309"/>
      <c r="DH67" s="902" t="s">
        <v>140</v>
      </c>
      <c r="DI67" s="903" t="s">
        <v>128</v>
      </c>
      <c r="DJ67" s="3304">
        <v>173.09299999999999</v>
      </c>
      <c r="DK67" s="3305"/>
      <c r="DL67" s="3305"/>
      <c r="DM67" s="3305"/>
      <c r="DN67" s="3305"/>
      <c r="DO67" s="3305"/>
      <c r="DP67" s="3305"/>
      <c r="DQ67" s="3305"/>
      <c r="DR67" s="3305"/>
      <c r="DS67" s="3305"/>
      <c r="DT67" s="3305"/>
      <c r="DU67" s="3305"/>
      <c r="DV67" s="3305"/>
      <c r="DW67" s="3305"/>
      <c r="DX67" s="3314">
        <v>172.5</v>
      </c>
      <c r="DY67" s="3315"/>
      <c r="DZ67" s="3315"/>
      <c r="EA67" s="3315"/>
      <c r="EB67" s="3315"/>
      <c r="EC67" s="3315"/>
      <c r="ED67" s="3315"/>
      <c r="EE67" s="3315"/>
      <c r="EF67" s="3315"/>
      <c r="EG67" s="3315"/>
      <c r="EH67" s="3315"/>
      <c r="EI67" s="3315"/>
      <c r="EJ67" s="3315"/>
    </row>
    <row r="68" spans="1:140" ht="16.5" outlineLevel="1">
      <c r="A68" s="3321"/>
      <c r="B68" s="3321"/>
      <c r="C68" s="3321"/>
      <c r="D68" s="3308">
        <v>80</v>
      </c>
      <c r="E68" s="3309"/>
      <c r="F68" s="3309"/>
      <c r="G68" s="902" t="s">
        <v>140</v>
      </c>
      <c r="H68" s="903" t="s">
        <v>128</v>
      </c>
      <c r="I68" s="3304">
        <v>138.476</v>
      </c>
      <c r="J68" s="3305"/>
      <c r="K68" s="3305"/>
      <c r="L68" s="3305"/>
      <c r="M68" s="3305"/>
      <c r="N68" s="3305"/>
      <c r="O68" s="3305"/>
      <c r="P68" s="3305"/>
      <c r="Q68" s="3305"/>
      <c r="R68" s="3305"/>
      <c r="S68" s="3305"/>
      <c r="T68" s="3305"/>
      <c r="U68" s="3305"/>
      <c r="V68" s="3305"/>
      <c r="W68" s="3314">
        <v>138.30000000000001</v>
      </c>
      <c r="X68" s="3315"/>
      <c r="Y68" s="3315"/>
      <c r="Z68" s="3315"/>
      <c r="AA68" s="3315"/>
      <c r="AB68" s="3315"/>
      <c r="AC68" s="3315"/>
      <c r="AD68" s="3315"/>
      <c r="AE68" s="3315"/>
      <c r="AF68" s="3315"/>
      <c r="AG68" s="3315"/>
      <c r="AH68" s="3315"/>
      <c r="AI68" s="3315"/>
      <c r="AJ68" s="3315"/>
      <c r="AK68" s="3323"/>
      <c r="AL68" s="3324"/>
      <c r="AM68" s="3324"/>
      <c r="AN68" s="3324"/>
      <c r="AO68" s="3324"/>
      <c r="AP68" s="3324"/>
      <c r="AQ68" s="3324"/>
      <c r="AR68" s="3324"/>
      <c r="AS68" s="3324"/>
      <c r="AT68" s="3324"/>
      <c r="AU68" s="3324"/>
      <c r="AV68" s="3324"/>
      <c r="AW68" s="3324"/>
      <c r="AX68" s="3325"/>
      <c r="BB68" s="3321"/>
      <c r="BC68" s="3321"/>
      <c r="BD68" s="3321"/>
      <c r="BE68" s="3308">
        <v>80</v>
      </c>
      <c r="BF68" s="3309"/>
      <c r="BG68" s="3309"/>
      <c r="BH68" s="902" t="s">
        <v>140</v>
      </c>
      <c r="BI68" s="903" t="s">
        <v>128</v>
      </c>
      <c r="BJ68" s="3304">
        <v>138.476</v>
      </c>
      <c r="BK68" s="3305"/>
      <c r="BL68" s="3305"/>
      <c r="BM68" s="3305"/>
      <c r="BN68" s="3305"/>
      <c r="BO68" s="3305"/>
      <c r="BP68" s="3305"/>
      <c r="BQ68" s="3305"/>
      <c r="BR68" s="3305"/>
      <c r="BS68" s="3305"/>
      <c r="BT68" s="3305"/>
      <c r="BU68" s="3305"/>
      <c r="BV68" s="3305"/>
      <c r="BW68" s="3305"/>
      <c r="BX68" s="3314">
        <v>138.30000000000001</v>
      </c>
      <c r="BY68" s="3315"/>
      <c r="BZ68" s="3315"/>
      <c r="CA68" s="3315"/>
      <c r="CB68" s="3315"/>
      <c r="CC68" s="3315"/>
      <c r="CD68" s="3315"/>
      <c r="CE68" s="3315"/>
      <c r="CF68" s="3315"/>
      <c r="CG68" s="3315"/>
      <c r="CH68" s="3315"/>
      <c r="CI68" s="3315"/>
      <c r="CJ68" s="3315"/>
      <c r="CK68" s="3315"/>
      <c r="CL68" s="3323"/>
      <c r="CM68" s="3324"/>
      <c r="CN68" s="3324"/>
      <c r="CO68" s="3324"/>
      <c r="CP68" s="3324"/>
      <c r="CQ68" s="3324"/>
      <c r="CR68" s="3324"/>
      <c r="CS68" s="3324"/>
      <c r="CT68" s="3324"/>
      <c r="CU68" s="3324"/>
      <c r="CV68" s="3324"/>
      <c r="CW68" s="3324"/>
      <c r="CX68" s="3324"/>
      <c r="CY68" s="3325"/>
      <c r="DB68" s="3321"/>
      <c r="DC68" s="3321"/>
      <c r="DD68" s="3321"/>
      <c r="DE68" s="3308">
        <v>80</v>
      </c>
      <c r="DF68" s="3309"/>
      <c r="DG68" s="3309"/>
      <c r="DH68" s="902" t="s">
        <v>140</v>
      </c>
      <c r="DI68" s="903" t="s">
        <v>128</v>
      </c>
      <c r="DJ68" s="3304">
        <v>138.476</v>
      </c>
      <c r="DK68" s="3305"/>
      <c r="DL68" s="3305"/>
      <c r="DM68" s="3305"/>
      <c r="DN68" s="3305"/>
      <c r="DO68" s="3305"/>
      <c r="DP68" s="3305"/>
      <c r="DQ68" s="3305"/>
      <c r="DR68" s="3305"/>
      <c r="DS68" s="3305"/>
      <c r="DT68" s="3305"/>
      <c r="DU68" s="3305"/>
      <c r="DV68" s="3305"/>
      <c r="DW68" s="3305"/>
      <c r="DX68" s="3314">
        <v>138.30000000000001</v>
      </c>
      <c r="DY68" s="3315"/>
      <c r="DZ68" s="3315"/>
      <c r="EA68" s="3315"/>
      <c r="EB68" s="3315"/>
      <c r="EC68" s="3315"/>
      <c r="ED68" s="3315"/>
      <c r="EE68" s="3315"/>
      <c r="EF68" s="3315"/>
      <c r="EG68" s="3315"/>
      <c r="EH68" s="3315"/>
      <c r="EI68" s="3315"/>
      <c r="EJ68" s="3315"/>
    </row>
    <row r="69" spans="1:140" ht="16.5" outlineLevel="1">
      <c r="A69" s="3321"/>
      <c r="B69" s="3321"/>
      <c r="C69" s="3321"/>
      <c r="D69" s="3308">
        <v>60</v>
      </c>
      <c r="E69" s="3309"/>
      <c r="F69" s="3309"/>
      <c r="G69" s="902" t="s">
        <v>140</v>
      </c>
      <c r="H69" s="903" t="s">
        <v>128</v>
      </c>
      <c r="I69" s="3304">
        <v>103.854</v>
      </c>
      <c r="J69" s="3305"/>
      <c r="K69" s="3305"/>
      <c r="L69" s="3305"/>
      <c r="M69" s="3305"/>
      <c r="N69" s="3305"/>
      <c r="O69" s="3305"/>
      <c r="P69" s="3305"/>
      <c r="Q69" s="3305"/>
      <c r="R69" s="3305"/>
      <c r="S69" s="3305"/>
      <c r="T69" s="3305"/>
      <c r="U69" s="3305"/>
      <c r="V69" s="3305"/>
      <c r="W69" s="3314">
        <v>104.1</v>
      </c>
      <c r="X69" s="3315"/>
      <c r="Y69" s="3315"/>
      <c r="Z69" s="3315"/>
      <c r="AA69" s="3315"/>
      <c r="AB69" s="3315"/>
      <c r="AC69" s="3315"/>
      <c r="AD69" s="3315"/>
      <c r="AE69" s="3315"/>
      <c r="AF69" s="3315"/>
      <c r="AG69" s="3315"/>
      <c r="AH69" s="3315"/>
      <c r="AI69" s="3315"/>
      <c r="AJ69" s="3315"/>
      <c r="AK69" s="3323"/>
      <c r="AL69" s="3324"/>
      <c r="AM69" s="3324"/>
      <c r="AN69" s="3324"/>
      <c r="AO69" s="3324"/>
      <c r="AP69" s="3324"/>
      <c r="AQ69" s="3324"/>
      <c r="AR69" s="3324"/>
      <c r="AS69" s="3324"/>
      <c r="AT69" s="3324"/>
      <c r="AU69" s="3324"/>
      <c r="AV69" s="3324"/>
      <c r="AW69" s="3324"/>
      <c r="AX69" s="3325"/>
      <c r="BB69" s="3321"/>
      <c r="BC69" s="3321"/>
      <c r="BD69" s="3321"/>
      <c r="BE69" s="3308">
        <v>60</v>
      </c>
      <c r="BF69" s="3309"/>
      <c r="BG69" s="3309"/>
      <c r="BH69" s="902" t="s">
        <v>140</v>
      </c>
      <c r="BI69" s="903" t="s">
        <v>128</v>
      </c>
      <c r="BJ69" s="3304">
        <v>103.854</v>
      </c>
      <c r="BK69" s="3305"/>
      <c r="BL69" s="3305"/>
      <c r="BM69" s="3305"/>
      <c r="BN69" s="3305"/>
      <c r="BO69" s="3305"/>
      <c r="BP69" s="3305"/>
      <c r="BQ69" s="3305"/>
      <c r="BR69" s="3305"/>
      <c r="BS69" s="3305"/>
      <c r="BT69" s="3305"/>
      <c r="BU69" s="3305"/>
      <c r="BV69" s="3305"/>
      <c r="BW69" s="3305"/>
      <c r="BX69" s="3314">
        <v>104.1</v>
      </c>
      <c r="BY69" s="3315"/>
      <c r="BZ69" s="3315"/>
      <c r="CA69" s="3315"/>
      <c r="CB69" s="3315"/>
      <c r="CC69" s="3315"/>
      <c r="CD69" s="3315"/>
      <c r="CE69" s="3315"/>
      <c r="CF69" s="3315"/>
      <c r="CG69" s="3315"/>
      <c r="CH69" s="3315"/>
      <c r="CI69" s="3315"/>
      <c r="CJ69" s="3315"/>
      <c r="CK69" s="3315"/>
      <c r="CL69" s="3323"/>
      <c r="CM69" s="3324"/>
      <c r="CN69" s="3324"/>
      <c r="CO69" s="3324"/>
      <c r="CP69" s="3324"/>
      <c r="CQ69" s="3324"/>
      <c r="CR69" s="3324"/>
      <c r="CS69" s="3324"/>
      <c r="CT69" s="3324"/>
      <c r="CU69" s="3324"/>
      <c r="CV69" s="3324"/>
      <c r="CW69" s="3324"/>
      <c r="CX69" s="3324"/>
      <c r="CY69" s="3325"/>
      <c r="DB69" s="3321"/>
      <c r="DC69" s="3321"/>
      <c r="DD69" s="3321"/>
      <c r="DE69" s="3308">
        <v>60</v>
      </c>
      <c r="DF69" s="3309"/>
      <c r="DG69" s="3309"/>
      <c r="DH69" s="902" t="s">
        <v>140</v>
      </c>
      <c r="DI69" s="903" t="s">
        <v>128</v>
      </c>
      <c r="DJ69" s="3304">
        <v>103.854</v>
      </c>
      <c r="DK69" s="3305"/>
      <c r="DL69" s="3305"/>
      <c r="DM69" s="3305"/>
      <c r="DN69" s="3305"/>
      <c r="DO69" s="3305"/>
      <c r="DP69" s="3305"/>
      <c r="DQ69" s="3305"/>
      <c r="DR69" s="3305"/>
      <c r="DS69" s="3305"/>
      <c r="DT69" s="3305"/>
      <c r="DU69" s="3305"/>
      <c r="DV69" s="3305"/>
      <c r="DW69" s="3305"/>
      <c r="DX69" s="3314">
        <v>104.1</v>
      </c>
      <c r="DY69" s="3315"/>
      <c r="DZ69" s="3315"/>
      <c r="EA69" s="3315"/>
      <c r="EB69" s="3315"/>
      <c r="EC69" s="3315"/>
      <c r="ED69" s="3315"/>
      <c r="EE69" s="3315"/>
      <c r="EF69" s="3315"/>
      <c r="EG69" s="3315"/>
      <c r="EH69" s="3315"/>
      <c r="EI69" s="3315"/>
      <c r="EJ69" s="3315"/>
    </row>
    <row r="70" spans="1:140" ht="16.5" hidden="1" customHeight="1" outlineLevel="1">
      <c r="A70" s="3321"/>
      <c r="B70" s="3321"/>
      <c r="C70" s="3321"/>
      <c r="D70" s="3308">
        <v>50</v>
      </c>
      <c r="E70" s="3309"/>
      <c r="F70" s="3309"/>
      <c r="G70" s="902" t="s">
        <v>140</v>
      </c>
      <c r="H70" s="903" t="s">
        <v>128</v>
      </c>
      <c r="I70" s="3304">
        <v>86.542000000000002</v>
      </c>
      <c r="J70" s="3305"/>
      <c r="K70" s="3305"/>
      <c r="L70" s="3305"/>
      <c r="M70" s="3305"/>
      <c r="N70" s="3305"/>
      <c r="O70" s="3305"/>
      <c r="P70" s="3305"/>
      <c r="Q70" s="3305"/>
      <c r="R70" s="3305"/>
      <c r="S70" s="3305"/>
      <c r="T70" s="3305"/>
      <c r="U70" s="3305"/>
      <c r="V70" s="3305"/>
      <c r="W70" s="3306">
        <v>86.72</v>
      </c>
      <c r="X70" s="3307"/>
      <c r="Y70" s="3307"/>
      <c r="Z70" s="3307"/>
      <c r="AA70" s="3307"/>
      <c r="AB70" s="3307"/>
      <c r="AC70" s="3307"/>
      <c r="AD70" s="3307"/>
      <c r="AE70" s="3307"/>
      <c r="AF70" s="3307"/>
      <c r="AG70" s="3307"/>
      <c r="AH70" s="3307"/>
      <c r="AI70" s="3307"/>
      <c r="AJ70" s="3307"/>
      <c r="AK70" s="3323"/>
      <c r="AL70" s="3324"/>
      <c r="AM70" s="3324"/>
      <c r="AN70" s="3324"/>
      <c r="AO70" s="3324"/>
      <c r="AP70" s="3324"/>
      <c r="AQ70" s="3324"/>
      <c r="AR70" s="3324"/>
      <c r="AS70" s="3324"/>
      <c r="AT70" s="3324"/>
      <c r="AU70" s="3324"/>
      <c r="AV70" s="3324"/>
      <c r="AW70" s="3324"/>
      <c r="AX70" s="3325"/>
      <c r="BB70" s="3321"/>
      <c r="BC70" s="3321"/>
      <c r="BD70" s="3321"/>
      <c r="BE70" s="3308">
        <v>50</v>
      </c>
      <c r="BF70" s="3309"/>
      <c r="BG70" s="3309"/>
      <c r="BH70" s="902" t="s">
        <v>140</v>
      </c>
      <c r="BI70" s="903" t="s">
        <v>128</v>
      </c>
      <c r="BJ70" s="3304">
        <v>86.542000000000002</v>
      </c>
      <c r="BK70" s="3305"/>
      <c r="BL70" s="3305"/>
      <c r="BM70" s="3305"/>
      <c r="BN70" s="3305"/>
      <c r="BO70" s="3305"/>
      <c r="BP70" s="3305"/>
      <c r="BQ70" s="3305"/>
      <c r="BR70" s="3305"/>
      <c r="BS70" s="3305"/>
      <c r="BT70" s="3305"/>
      <c r="BU70" s="3305"/>
      <c r="BV70" s="3305"/>
      <c r="BW70" s="3305"/>
      <c r="BX70" s="3306">
        <v>86.72</v>
      </c>
      <c r="BY70" s="3307"/>
      <c r="BZ70" s="3307"/>
      <c r="CA70" s="3307"/>
      <c r="CB70" s="3307"/>
      <c r="CC70" s="3307"/>
      <c r="CD70" s="3307"/>
      <c r="CE70" s="3307"/>
      <c r="CF70" s="3307"/>
      <c r="CG70" s="3307"/>
      <c r="CH70" s="3307"/>
      <c r="CI70" s="3307"/>
      <c r="CJ70" s="3307"/>
      <c r="CK70" s="3307"/>
      <c r="CL70" s="3323"/>
      <c r="CM70" s="3324"/>
      <c r="CN70" s="3324"/>
      <c r="CO70" s="3324"/>
      <c r="CP70" s="3324"/>
      <c r="CQ70" s="3324"/>
      <c r="CR70" s="3324"/>
      <c r="CS70" s="3324"/>
      <c r="CT70" s="3324"/>
      <c r="CU70" s="3324"/>
      <c r="CV70" s="3324"/>
      <c r="CW70" s="3324"/>
      <c r="CX70" s="3324"/>
      <c r="CY70" s="3325"/>
      <c r="DB70" s="3321"/>
      <c r="DC70" s="3321"/>
      <c r="DD70" s="3321"/>
      <c r="DE70" s="3308">
        <v>50</v>
      </c>
      <c r="DF70" s="3309"/>
      <c r="DG70" s="3309"/>
      <c r="DH70" s="902" t="s">
        <v>140</v>
      </c>
      <c r="DI70" s="903" t="s">
        <v>128</v>
      </c>
      <c r="DJ70" s="3304">
        <v>86.542000000000002</v>
      </c>
      <c r="DK70" s="3305"/>
      <c r="DL70" s="3305"/>
      <c r="DM70" s="3305"/>
      <c r="DN70" s="3305"/>
      <c r="DO70" s="3305"/>
      <c r="DP70" s="3305"/>
      <c r="DQ70" s="3305"/>
      <c r="DR70" s="3305"/>
      <c r="DS70" s="3305"/>
      <c r="DT70" s="3305"/>
      <c r="DU70" s="3305"/>
      <c r="DV70" s="3305"/>
      <c r="DW70" s="3305"/>
      <c r="DX70" s="3306">
        <v>86.72</v>
      </c>
      <c r="DY70" s="3307"/>
      <c r="DZ70" s="3307"/>
      <c r="EA70" s="3307"/>
      <c r="EB70" s="3307"/>
      <c r="EC70" s="3307"/>
      <c r="ED70" s="3307"/>
      <c r="EE70" s="3307"/>
      <c r="EF70" s="3307"/>
      <c r="EG70" s="3307"/>
      <c r="EH70" s="3307"/>
      <c r="EI70" s="3307"/>
      <c r="EJ70" s="3307"/>
    </row>
    <row r="71" spans="1:140" ht="16.5" outlineLevel="1">
      <c r="A71" s="3321"/>
      <c r="B71" s="3321"/>
      <c r="C71" s="3321"/>
      <c r="D71" s="3308">
        <v>40</v>
      </c>
      <c r="E71" s="3309"/>
      <c r="F71" s="3309"/>
      <c r="G71" s="902" t="s">
        <v>140</v>
      </c>
      <c r="H71" s="903" t="s">
        <v>128</v>
      </c>
      <c r="I71" s="3304">
        <v>69.236000000000004</v>
      </c>
      <c r="J71" s="3305"/>
      <c r="K71" s="3305"/>
      <c r="L71" s="3305"/>
      <c r="M71" s="3305"/>
      <c r="N71" s="3305"/>
      <c r="O71" s="3305"/>
      <c r="P71" s="3305"/>
      <c r="Q71" s="3305"/>
      <c r="R71" s="3305"/>
      <c r="S71" s="3305"/>
      <c r="T71" s="3305"/>
      <c r="U71" s="3305"/>
      <c r="V71" s="3305"/>
      <c r="W71" s="3306">
        <v>69.150000000000006</v>
      </c>
      <c r="X71" s="3307"/>
      <c r="Y71" s="3307"/>
      <c r="Z71" s="3307"/>
      <c r="AA71" s="3307"/>
      <c r="AB71" s="3307"/>
      <c r="AC71" s="3307"/>
      <c r="AD71" s="3307"/>
      <c r="AE71" s="3307"/>
      <c r="AF71" s="3307"/>
      <c r="AG71" s="3307"/>
      <c r="AH71" s="3307"/>
      <c r="AI71" s="3307"/>
      <c r="AJ71" s="3307"/>
      <c r="AK71" s="3323"/>
      <c r="AL71" s="3324"/>
      <c r="AM71" s="3324"/>
      <c r="AN71" s="3324"/>
      <c r="AO71" s="3324"/>
      <c r="AP71" s="3324"/>
      <c r="AQ71" s="3324"/>
      <c r="AR71" s="3324"/>
      <c r="AS71" s="3324"/>
      <c r="AT71" s="3324"/>
      <c r="AU71" s="3324"/>
      <c r="AV71" s="3324"/>
      <c r="AW71" s="3324"/>
      <c r="AX71" s="3325"/>
      <c r="BB71" s="3321"/>
      <c r="BC71" s="3321"/>
      <c r="BD71" s="3321"/>
      <c r="BE71" s="3308">
        <v>40</v>
      </c>
      <c r="BF71" s="3309"/>
      <c r="BG71" s="3309"/>
      <c r="BH71" s="902" t="s">
        <v>140</v>
      </c>
      <c r="BI71" s="903" t="s">
        <v>128</v>
      </c>
      <c r="BJ71" s="3304">
        <v>69.236000000000004</v>
      </c>
      <c r="BK71" s="3305"/>
      <c r="BL71" s="3305"/>
      <c r="BM71" s="3305"/>
      <c r="BN71" s="3305"/>
      <c r="BO71" s="3305"/>
      <c r="BP71" s="3305"/>
      <c r="BQ71" s="3305"/>
      <c r="BR71" s="3305"/>
      <c r="BS71" s="3305"/>
      <c r="BT71" s="3305"/>
      <c r="BU71" s="3305"/>
      <c r="BV71" s="3305"/>
      <c r="BW71" s="3305"/>
      <c r="BX71" s="3306">
        <v>69.150000000000006</v>
      </c>
      <c r="BY71" s="3307"/>
      <c r="BZ71" s="3307"/>
      <c r="CA71" s="3307"/>
      <c r="CB71" s="3307"/>
      <c r="CC71" s="3307"/>
      <c r="CD71" s="3307"/>
      <c r="CE71" s="3307"/>
      <c r="CF71" s="3307"/>
      <c r="CG71" s="3307"/>
      <c r="CH71" s="3307"/>
      <c r="CI71" s="3307"/>
      <c r="CJ71" s="3307"/>
      <c r="CK71" s="3307"/>
      <c r="CL71" s="3323"/>
      <c r="CM71" s="3324"/>
      <c r="CN71" s="3324"/>
      <c r="CO71" s="3324"/>
      <c r="CP71" s="3324"/>
      <c r="CQ71" s="3324"/>
      <c r="CR71" s="3324"/>
      <c r="CS71" s="3324"/>
      <c r="CT71" s="3324"/>
      <c r="CU71" s="3324"/>
      <c r="CV71" s="3324"/>
      <c r="CW71" s="3324"/>
      <c r="CX71" s="3324"/>
      <c r="CY71" s="3325"/>
      <c r="DB71" s="3321"/>
      <c r="DC71" s="3321"/>
      <c r="DD71" s="3321"/>
      <c r="DE71" s="3308">
        <v>40</v>
      </c>
      <c r="DF71" s="3309"/>
      <c r="DG71" s="3309"/>
      <c r="DH71" s="902" t="s">
        <v>140</v>
      </c>
      <c r="DI71" s="903" t="s">
        <v>128</v>
      </c>
      <c r="DJ71" s="3304">
        <v>69.236000000000004</v>
      </c>
      <c r="DK71" s="3305"/>
      <c r="DL71" s="3305"/>
      <c r="DM71" s="3305"/>
      <c r="DN71" s="3305"/>
      <c r="DO71" s="3305"/>
      <c r="DP71" s="3305"/>
      <c r="DQ71" s="3305"/>
      <c r="DR71" s="3305"/>
      <c r="DS71" s="3305"/>
      <c r="DT71" s="3305"/>
      <c r="DU71" s="3305"/>
      <c r="DV71" s="3305"/>
      <c r="DW71" s="3305"/>
      <c r="DX71" s="3306">
        <v>69.150000000000006</v>
      </c>
      <c r="DY71" s="3307"/>
      <c r="DZ71" s="3307"/>
      <c r="EA71" s="3307"/>
      <c r="EB71" s="3307"/>
      <c r="EC71" s="3307"/>
      <c r="ED71" s="3307"/>
      <c r="EE71" s="3307"/>
      <c r="EF71" s="3307"/>
      <c r="EG71" s="3307"/>
      <c r="EH71" s="3307"/>
      <c r="EI71" s="3307"/>
      <c r="EJ71" s="3307"/>
    </row>
    <row r="72" spans="1:140" ht="16.5" outlineLevel="1">
      <c r="A72" s="3321"/>
      <c r="B72" s="3321"/>
      <c r="C72" s="3321"/>
      <c r="D72" s="3308">
        <v>20</v>
      </c>
      <c r="E72" s="3309"/>
      <c r="F72" s="3309"/>
      <c r="G72" s="902" t="s">
        <v>140</v>
      </c>
      <c r="H72" s="903" t="s">
        <v>128</v>
      </c>
      <c r="I72" s="3304">
        <v>34.610999999999997</v>
      </c>
      <c r="J72" s="3305"/>
      <c r="K72" s="3305"/>
      <c r="L72" s="3305"/>
      <c r="M72" s="3305"/>
      <c r="N72" s="3305"/>
      <c r="O72" s="3305"/>
      <c r="P72" s="3305"/>
      <c r="Q72" s="3305"/>
      <c r="R72" s="3305"/>
      <c r="S72" s="3305"/>
      <c r="T72" s="3305"/>
      <c r="U72" s="3305"/>
      <c r="V72" s="3305"/>
      <c r="W72" s="3306">
        <v>34.56</v>
      </c>
      <c r="X72" s="3307"/>
      <c r="Y72" s="3307"/>
      <c r="Z72" s="3307"/>
      <c r="AA72" s="3307"/>
      <c r="AB72" s="3307"/>
      <c r="AC72" s="3307"/>
      <c r="AD72" s="3307"/>
      <c r="AE72" s="3307"/>
      <c r="AF72" s="3307"/>
      <c r="AG72" s="3307"/>
      <c r="AH72" s="3307"/>
      <c r="AI72" s="3307"/>
      <c r="AJ72" s="3307"/>
      <c r="AK72" s="3323"/>
      <c r="AL72" s="3324"/>
      <c r="AM72" s="3324"/>
      <c r="AN72" s="3324"/>
      <c r="AO72" s="3324"/>
      <c r="AP72" s="3324"/>
      <c r="AQ72" s="3324"/>
      <c r="AR72" s="3324"/>
      <c r="AS72" s="3324"/>
      <c r="AT72" s="3324"/>
      <c r="AU72" s="3324"/>
      <c r="AV72" s="3324"/>
      <c r="AW72" s="3324"/>
      <c r="AX72" s="3325"/>
      <c r="BB72" s="3321"/>
      <c r="BC72" s="3321"/>
      <c r="BD72" s="3321"/>
      <c r="BE72" s="3308">
        <v>20</v>
      </c>
      <c r="BF72" s="3309"/>
      <c r="BG72" s="3309"/>
      <c r="BH72" s="902" t="s">
        <v>140</v>
      </c>
      <c r="BI72" s="903" t="s">
        <v>128</v>
      </c>
      <c r="BJ72" s="3304">
        <v>34.610999999999997</v>
      </c>
      <c r="BK72" s="3305"/>
      <c r="BL72" s="3305"/>
      <c r="BM72" s="3305"/>
      <c r="BN72" s="3305"/>
      <c r="BO72" s="3305"/>
      <c r="BP72" s="3305"/>
      <c r="BQ72" s="3305"/>
      <c r="BR72" s="3305"/>
      <c r="BS72" s="3305"/>
      <c r="BT72" s="3305"/>
      <c r="BU72" s="3305"/>
      <c r="BV72" s="3305"/>
      <c r="BW72" s="3305"/>
      <c r="BX72" s="3306">
        <v>34.56</v>
      </c>
      <c r="BY72" s="3307"/>
      <c r="BZ72" s="3307"/>
      <c r="CA72" s="3307"/>
      <c r="CB72" s="3307"/>
      <c r="CC72" s="3307"/>
      <c r="CD72" s="3307"/>
      <c r="CE72" s="3307"/>
      <c r="CF72" s="3307"/>
      <c r="CG72" s="3307"/>
      <c r="CH72" s="3307"/>
      <c r="CI72" s="3307"/>
      <c r="CJ72" s="3307"/>
      <c r="CK72" s="3307"/>
      <c r="CL72" s="3323"/>
      <c r="CM72" s="3324"/>
      <c r="CN72" s="3324"/>
      <c r="CO72" s="3324"/>
      <c r="CP72" s="3324"/>
      <c r="CQ72" s="3324"/>
      <c r="CR72" s="3324"/>
      <c r="CS72" s="3324"/>
      <c r="CT72" s="3324"/>
      <c r="CU72" s="3324"/>
      <c r="CV72" s="3324"/>
      <c r="CW72" s="3324"/>
      <c r="CX72" s="3324"/>
      <c r="CY72" s="3325"/>
      <c r="DB72" s="3321"/>
      <c r="DC72" s="3321"/>
      <c r="DD72" s="3321"/>
      <c r="DE72" s="3308">
        <v>20</v>
      </c>
      <c r="DF72" s="3309"/>
      <c r="DG72" s="3309"/>
      <c r="DH72" s="902" t="s">
        <v>140</v>
      </c>
      <c r="DI72" s="903" t="s">
        <v>128</v>
      </c>
      <c r="DJ72" s="3304">
        <v>34.610999999999997</v>
      </c>
      <c r="DK72" s="3305"/>
      <c r="DL72" s="3305"/>
      <c r="DM72" s="3305"/>
      <c r="DN72" s="3305"/>
      <c r="DO72" s="3305"/>
      <c r="DP72" s="3305"/>
      <c r="DQ72" s="3305"/>
      <c r="DR72" s="3305"/>
      <c r="DS72" s="3305"/>
      <c r="DT72" s="3305"/>
      <c r="DU72" s="3305"/>
      <c r="DV72" s="3305"/>
      <c r="DW72" s="3305"/>
      <c r="DX72" s="3306">
        <v>34.56</v>
      </c>
      <c r="DY72" s="3307"/>
      <c r="DZ72" s="3307"/>
      <c r="EA72" s="3307"/>
      <c r="EB72" s="3307"/>
      <c r="EC72" s="3307"/>
      <c r="ED72" s="3307"/>
      <c r="EE72" s="3307"/>
      <c r="EF72" s="3307"/>
      <c r="EG72" s="3307"/>
      <c r="EH72" s="3307"/>
      <c r="EI72" s="3307"/>
      <c r="EJ72" s="3307"/>
    </row>
    <row r="73" spans="1:140" ht="16.5" outlineLevel="1">
      <c r="A73" s="3321"/>
      <c r="B73" s="3321"/>
      <c r="C73" s="3321"/>
      <c r="D73" s="3308">
        <v>0</v>
      </c>
      <c r="E73" s="3309"/>
      <c r="F73" s="3309"/>
      <c r="G73" s="902" t="s">
        <v>140</v>
      </c>
      <c r="H73" s="903" t="s">
        <v>128</v>
      </c>
      <c r="I73" s="3304">
        <v>0</v>
      </c>
      <c r="J73" s="3305"/>
      <c r="K73" s="3305"/>
      <c r="L73" s="3305"/>
      <c r="M73" s="3305"/>
      <c r="N73" s="3305"/>
      <c r="O73" s="3305"/>
      <c r="P73" s="3305"/>
      <c r="Q73" s="3305"/>
      <c r="R73" s="3305"/>
      <c r="S73" s="3305"/>
      <c r="T73" s="3305"/>
      <c r="U73" s="3305"/>
      <c r="V73" s="3305"/>
      <c r="W73" s="3306">
        <v>0</v>
      </c>
      <c r="X73" s="3307"/>
      <c r="Y73" s="3307"/>
      <c r="Z73" s="3307"/>
      <c r="AA73" s="3307"/>
      <c r="AB73" s="3307"/>
      <c r="AC73" s="3307"/>
      <c r="AD73" s="3307"/>
      <c r="AE73" s="3307"/>
      <c r="AF73" s="3307"/>
      <c r="AG73" s="3307"/>
      <c r="AH73" s="3307"/>
      <c r="AI73" s="3307"/>
      <c r="AJ73" s="3307"/>
      <c r="AK73" s="3323"/>
      <c r="AL73" s="3324"/>
      <c r="AM73" s="3324"/>
      <c r="AN73" s="3324"/>
      <c r="AO73" s="3324"/>
      <c r="AP73" s="3324"/>
      <c r="AQ73" s="3324"/>
      <c r="AR73" s="3324"/>
      <c r="AS73" s="3324"/>
      <c r="AT73" s="3324"/>
      <c r="AU73" s="3324"/>
      <c r="AV73" s="3324"/>
      <c r="AW73" s="3324"/>
      <c r="AX73" s="3325"/>
      <c r="BB73" s="3321"/>
      <c r="BC73" s="3321"/>
      <c r="BD73" s="3321"/>
      <c r="BE73" s="3308">
        <v>0</v>
      </c>
      <c r="BF73" s="3309"/>
      <c r="BG73" s="3309"/>
      <c r="BH73" s="902" t="s">
        <v>140</v>
      </c>
      <c r="BI73" s="903" t="s">
        <v>128</v>
      </c>
      <c r="BJ73" s="3304">
        <v>0</v>
      </c>
      <c r="BK73" s="3305"/>
      <c r="BL73" s="3305"/>
      <c r="BM73" s="3305"/>
      <c r="BN73" s="3305"/>
      <c r="BO73" s="3305"/>
      <c r="BP73" s="3305"/>
      <c r="BQ73" s="3305"/>
      <c r="BR73" s="3305"/>
      <c r="BS73" s="3305"/>
      <c r="BT73" s="3305"/>
      <c r="BU73" s="3305"/>
      <c r="BV73" s="3305"/>
      <c r="BW73" s="3305"/>
      <c r="BX73" s="3306">
        <v>0</v>
      </c>
      <c r="BY73" s="3307"/>
      <c r="BZ73" s="3307"/>
      <c r="CA73" s="3307"/>
      <c r="CB73" s="3307"/>
      <c r="CC73" s="3307"/>
      <c r="CD73" s="3307"/>
      <c r="CE73" s="3307"/>
      <c r="CF73" s="3307"/>
      <c r="CG73" s="3307"/>
      <c r="CH73" s="3307"/>
      <c r="CI73" s="3307"/>
      <c r="CJ73" s="3307"/>
      <c r="CK73" s="3307"/>
      <c r="CL73" s="3323"/>
      <c r="CM73" s="3324"/>
      <c r="CN73" s="3324"/>
      <c r="CO73" s="3324"/>
      <c r="CP73" s="3324"/>
      <c r="CQ73" s="3324"/>
      <c r="CR73" s="3324"/>
      <c r="CS73" s="3324"/>
      <c r="CT73" s="3324"/>
      <c r="CU73" s="3324"/>
      <c r="CV73" s="3324"/>
      <c r="CW73" s="3324"/>
      <c r="CX73" s="3324"/>
      <c r="CY73" s="3325"/>
      <c r="DB73" s="3321"/>
      <c r="DC73" s="3321"/>
      <c r="DD73" s="3321"/>
      <c r="DE73" s="3308">
        <v>0</v>
      </c>
      <c r="DF73" s="3309"/>
      <c r="DG73" s="3309"/>
      <c r="DH73" s="902" t="s">
        <v>140</v>
      </c>
      <c r="DI73" s="903" t="s">
        <v>128</v>
      </c>
      <c r="DJ73" s="3304">
        <v>0</v>
      </c>
      <c r="DK73" s="3305"/>
      <c r="DL73" s="3305"/>
      <c r="DM73" s="3305"/>
      <c r="DN73" s="3305"/>
      <c r="DO73" s="3305"/>
      <c r="DP73" s="3305"/>
      <c r="DQ73" s="3305"/>
      <c r="DR73" s="3305"/>
      <c r="DS73" s="3305"/>
      <c r="DT73" s="3305"/>
      <c r="DU73" s="3305"/>
      <c r="DV73" s="3305"/>
      <c r="DW73" s="3305"/>
      <c r="DX73" s="3306">
        <v>0</v>
      </c>
      <c r="DY73" s="3307"/>
      <c r="DZ73" s="3307"/>
      <c r="EA73" s="3307"/>
      <c r="EB73" s="3307"/>
      <c r="EC73" s="3307"/>
      <c r="ED73" s="3307"/>
      <c r="EE73" s="3307"/>
      <c r="EF73" s="3307"/>
      <c r="EG73" s="3307"/>
      <c r="EH73" s="3307"/>
      <c r="EI73" s="3307"/>
      <c r="EJ73" s="3307"/>
    </row>
    <row r="74" spans="1:140" ht="16.5" outlineLevel="1">
      <c r="A74" s="3313">
        <v>0.5</v>
      </c>
      <c r="B74" s="3313"/>
      <c r="C74" s="3313"/>
      <c r="D74" s="3308">
        <v>100</v>
      </c>
      <c r="E74" s="3309"/>
      <c r="F74" s="3309"/>
      <c r="G74" s="902" t="s">
        <v>140</v>
      </c>
      <c r="H74" s="903" t="s">
        <v>128</v>
      </c>
      <c r="I74" s="3304">
        <v>86.774000000000001</v>
      </c>
      <c r="J74" s="3305"/>
      <c r="K74" s="3305"/>
      <c r="L74" s="3305"/>
      <c r="M74" s="3305"/>
      <c r="N74" s="3305"/>
      <c r="O74" s="3305"/>
      <c r="P74" s="3305"/>
      <c r="Q74" s="3305"/>
      <c r="R74" s="3305"/>
      <c r="S74" s="3305"/>
      <c r="T74" s="3305"/>
      <c r="U74" s="3305"/>
      <c r="V74" s="3305"/>
      <c r="W74" s="3306">
        <v>86.46</v>
      </c>
      <c r="X74" s="3307"/>
      <c r="Y74" s="3307"/>
      <c r="Z74" s="3307"/>
      <c r="AA74" s="3307"/>
      <c r="AB74" s="3307"/>
      <c r="AC74" s="3307"/>
      <c r="AD74" s="3307"/>
      <c r="AE74" s="3307"/>
      <c r="AF74" s="3307"/>
      <c r="AG74" s="3307"/>
      <c r="AH74" s="3307"/>
      <c r="AI74" s="3307"/>
      <c r="AJ74" s="3307"/>
      <c r="AK74" s="3323"/>
      <c r="AL74" s="3324"/>
      <c r="AM74" s="3324"/>
      <c r="AN74" s="3324"/>
      <c r="AO74" s="3324"/>
      <c r="AP74" s="3324"/>
      <c r="AQ74" s="3324"/>
      <c r="AR74" s="3324"/>
      <c r="AS74" s="3324"/>
      <c r="AT74" s="3324"/>
      <c r="AU74" s="3324"/>
      <c r="AV74" s="3324"/>
      <c r="AW74" s="3324"/>
      <c r="AX74" s="3325"/>
      <c r="BB74" s="3313">
        <v>0.5</v>
      </c>
      <c r="BC74" s="3313"/>
      <c r="BD74" s="3313"/>
      <c r="BE74" s="3308">
        <v>100</v>
      </c>
      <c r="BF74" s="3309"/>
      <c r="BG74" s="3309"/>
      <c r="BH74" s="902" t="s">
        <v>140</v>
      </c>
      <c r="BI74" s="903" t="s">
        <v>128</v>
      </c>
      <c r="BJ74" s="3304">
        <v>86.774000000000001</v>
      </c>
      <c r="BK74" s="3305"/>
      <c r="BL74" s="3305"/>
      <c r="BM74" s="3305"/>
      <c r="BN74" s="3305"/>
      <c r="BO74" s="3305"/>
      <c r="BP74" s="3305"/>
      <c r="BQ74" s="3305"/>
      <c r="BR74" s="3305"/>
      <c r="BS74" s="3305"/>
      <c r="BT74" s="3305"/>
      <c r="BU74" s="3305"/>
      <c r="BV74" s="3305"/>
      <c r="BW74" s="3305"/>
      <c r="BX74" s="3306">
        <v>86.46</v>
      </c>
      <c r="BY74" s="3307"/>
      <c r="BZ74" s="3307"/>
      <c r="CA74" s="3307"/>
      <c r="CB74" s="3307"/>
      <c r="CC74" s="3307"/>
      <c r="CD74" s="3307"/>
      <c r="CE74" s="3307"/>
      <c r="CF74" s="3307"/>
      <c r="CG74" s="3307"/>
      <c r="CH74" s="3307"/>
      <c r="CI74" s="3307"/>
      <c r="CJ74" s="3307"/>
      <c r="CK74" s="3307"/>
      <c r="CL74" s="3323"/>
      <c r="CM74" s="3324"/>
      <c r="CN74" s="3324"/>
      <c r="CO74" s="3324"/>
      <c r="CP74" s="3324"/>
      <c r="CQ74" s="3324"/>
      <c r="CR74" s="3324"/>
      <c r="CS74" s="3324"/>
      <c r="CT74" s="3324"/>
      <c r="CU74" s="3324"/>
      <c r="CV74" s="3324"/>
      <c r="CW74" s="3324"/>
      <c r="CX74" s="3324"/>
      <c r="CY74" s="3325"/>
      <c r="DB74" s="3313">
        <v>0.5</v>
      </c>
      <c r="DC74" s="3313"/>
      <c r="DD74" s="3313"/>
      <c r="DE74" s="3308">
        <v>100</v>
      </c>
      <c r="DF74" s="3309"/>
      <c r="DG74" s="3309"/>
      <c r="DH74" s="902" t="s">
        <v>140</v>
      </c>
      <c r="DI74" s="903" t="s">
        <v>128</v>
      </c>
      <c r="DJ74" s="3304">
        <v>86.774000000000001</v>
      </c>
      <c r="DK74" s="3305"/>
      <c r="DL74" s="3305"/>
      <c r="DM74" s="3305"/>
      <c r="DN74" s="3305"/>
      <c r="DO74" s="3305"/>
      <c r="DP74" s="3305"/>
      <c r="DQ74" s="3305"/>
      <c r="DR74" s="3305"/>
      <c r="DS74" s="3305"/>
      <c r="DT74" s="3305"/>
      <c r="DU74" s="3305"/>
      <c r="DV74" s="3305"/>
      <c r="DW74" s="3305"/>
      <c r="DX74" s="3306">
        <v>86.46</v>
      </c>
      <c r="DY74" s="3307"/>
      <c r="DZ74" s="3307"/>
      <c r="EA74" s="3307"/>
      <c r="EB74" s="3307"/>
      <c r="EC74" s="3307"/>
      <c r="ED74" s="3307"/>
      <c r="EE74" s="3307"/>
      <c r="EF74" s="3307"/>
      <c r="EG74" s="3307"/>
      <c r="EH74" s="3307"/>
      <c r="EI74" s="3307"/>
      <c r="EJ74" s="3307"/>
    </row>
    <row r="75" spans="1:140" ht="16.5" outlineLevel="1">
      <c r="A75" s="3313"/>
      <c r="B75" s="3313"/>
      <c r="C75" s="3313"/>
      <c r="D75" s="3308">
        <v>40</v>
      </c>
      <c r="E75" s="3309"/>
      <c r="F75" s="3309"/>
      <c r="G75" s="902" t="s">
        <v>140</v>
      </c>
      <c r="H75" s="903" t="s">
        <v>128</v>
      </c>
      <c r="I75" s="3304">
        <v>34.155999999999999</v>
      </c>
      <c r="J75" s="3305"/>
      <c r="K75" s="3305"/>
      <c r="L75" s="3305"/>
      <c r="M75" s="3305"/>
      <c r="N75" s="3305"/>
      <c r="O75" s="3305"/>
      <c r="P75" s="3305"/>
      <c r="Q75" s="3305"/>
      <c r="R75" s="3305"/>
      <c r="S75" s="3305"/>
      <c r="T75" s="3305"/>
      <c r="U75" s="3305"/>
      <c r="V75" s="3305"/>
      <c r="W75" s="3306">
        <v>34.06</v>
      </c>
      <c r="X75" s="3307"/>
      <c r="Y75" s="3307"/>
      <c r="Z75" s="3307"/>
      <c r="AA75" s="3307"/>
      <c r="AB75" s="3307"/>
      <c r="AC75" s="3307"/>
      <c r="AD75" s="3307"/>
      <c r="AE75" s="3307"/>
      <c r="AF75" s="3307"/>
      <c r="AG75" s="3307"/>
      <c r="AH75" s="3307"/>
      <c r="AI75" s="3307"/>
      <c r="AJ75" s="3307"/>
      <c r="AK75" s="3323"/>
      <c r="AL75" s="3324"/>
      <c r="AM75" s="3324"/>
      <c r="AN75" s="3324"/>
      <c r="AO75" s="3324"/>
      <c r="AP75" s="3324"/>
      <c r="AQ75" s="3324"/>
      <c r="AR75" s="3324"/>
      <c r="AS75" s="3324"/>
      <c r="AT75" s="3324"/>
      <c r="AU75" s="3324"/>
      <c r="AV75" s="3324"/>
      <c r="AW75" s="3324"/>
      <c r="AX75" s="3325"/>
      <c r="BB75" s="3313"/>
      <c r="BC75" s="3313"/>
      <c r="BD75" s="3313"/>
      <c r="BE75" s="3308">
        <v>40</v>
      </c>
      <c r="BF75" s="3309"/>
      <c r="BG75" s="3309"/>
      <c r="BH75" s="902" t="s">
        <v>140</v>
      </c>
      <c r="BI75" s="903" t="s">
        <v>128</v>
      </c>
      <c r="BJ75" s="3304">
        <v>34.155999999999999</v>
      </c>
      <c r="BK75" s="3305"/>
      <c r="BL75" s="3305"/>
      <c r="BM75" s="3305"/>
      <c r="BN75" s="3305"/>
      <c r="BO75" s="3305"/>
      <c r="BP75" s="3305"/>
      <c r="BQ75" s="3305"/>
      <c r="BR75" s="3305"/>
      <c r="BS75" s="3305"/>
      <c r="BT75" s="3305"/>
      <c r="BU75" s="3305"/>
      <c r="BV75" s="3305"/>
      <c r="BW75" s="3305"/>
      <c r="BX75" s="3306">
        <v>34.06</v>
      </c>
      <c r="BY75" s="3307"/>
      <c r="BZ75" s="3307"/>
      <c r="CA75" s="3307"/>
      <c r="CB75" s="3307"/>
      <c r="CC75" s="3307"/>
      <c r="CD75" s="3307"/>
      <c r="CE75" s="3307"/>
      <c r="CF75" s="3307"/>
      <c r="CG75" s="3307"/>
      <c r="CH75" s="3307"/>
      <c r="CI75" s="3307"/>
      <c r="CJ75" s="3307"/>
      <c r="CK75" s="3307"/>
      <c r="CL75" s="3323"/>
      <c r="CM75" s="3324"/>
      <c r="CN75" s="3324"/>
      <c r="CO75" s="3324"/>
      <c r="CP75" s="3324"/>
      <c r="CQ75" s="3324"/>
      <c r="CR75" s="3324"/>
      <c r="CS75" s="3324"/>
      <c r="CT75" s="3324"/>
      <c r="CU75" s="3324"/>
      <c r="CV75" s="3324"/>
      <c r="CW75" s="3324"/>
      <c r="CX75" s="3324"/>
      <c r="CY75" s="3325"/>
      <c r="DB75" s="3313"/>
      <c r="DC75" s="3313"/>
      <c r="DD75" s="3313"/>
      <c r="DE75" s="3308">
        <v>40</v>
      </c>
      <c r="DF75" s="3309"/>
      <c r="DG75" s="3309"/>
      <c r="DH75" s="902" t="s">
        <v>140</v>
      </c>
      <c r="DI75" s="903" t="s">
        <v>128</v>
      </c>
      <c r="DJ75" s="3304">
        <v>34.155999999999999</v>
      </c>
      <c r="DK75" s="3305"/>
      <c r="DL75" s="3305"/>
      <c r="DM75" s="3305"/>
      <c r="DN75" s="3305"/>
      <c r="DO75" s="3305"/>
      <c r="DP75" s="3305"/>
      <c r="DQ75" s="3305"/>
      <c r="DR75" s="3305"/>
      <c r="DS75" s="3305"/>
      <c r="DT75" s="3305"/>
      <c r="DU75" s="3305"/>
      <c r="DV75" s="3305"/>
      <c r="DW75" s="3305"/>
      <c r="DX75" s="3306">
        <v>34.06</v>
      </c>
      <c r="DY75" s="3307"/>
      <c r="DZ75" s="3307"/>
      <c r="EA75" s="3307"/>
      <c r="EB75" s="3307"/>
      <c r="EC75" s="3307"/>
      <c r="ED75" s="3307"/>
      <c r="EE75" s="3307"/>
      <c r="EF75" s="3307"/>
      <c r="EG75" s="3307"/>
      <c r="EH75" s="3307"/>
      <c r="EI75" s="3307"/>
      <c r="EJ75" s="3307"/>
    </row>
    <row r="76" spans="1:140" ht="16.5" outlineLevel="1">
      <c r="A76" s="3312">
        <v>0.5</v>
      </c>
      <c r="B76" s="3312"/>
      <c r="C76" s="3312"/>
      <c r="D76" s="3308">
        <v>100</v>
      </c>
      <c r="E76" s="3309"/>
      <c r="F76" s="3309"/>
      <c r="G76" s="902" t="s">
        <v>140</v>
      </c>
      <c r="H76" s="903" t="s">
        <v>128</v>
      </c>
      <c r="I76" s="3304">
        <v>-86.617999999999995</v>
      </c>
      <c r="J76" s="3305"/>
      <c r="K76" s="3305"/>
      <c r="L76" s="3305"/>
      <c r="M76" s="3305"/>
      <c r="N76" s="3305"/>
      <c r="O76" s="3305"/>
      <c r="P76" s="3305"/>
      <c r="Q76" s="3305"/>
      <c r="R76" s="3305"/>
      <c r="S76" s="3305"/>
      <c r="T76" s="3305"/>
      <c r="U76" s="3305"/>
      <c r="V76" s="3305"/>
      <c r="W76" s="3306">
        <v>-86.2</v>
      </c>
      <c r="X76" s="3307"/>
      <c r="Y76" s="3307"/>
      <c r="Z76" s="3307"/>
      <c r="AA76" s="3307"/>
      <c r="AB76" s="3307"/>
      <c r="AC76" s="3307"/>
      <c r="AD76" s="3307"/>
      <c r="AE76" s="3307"/>
      <c r="AF76" s="3307"/>
      <c r="AG76" s="3307"/>
      <c r="AH76" s="3307"/>
      <c r="AI76" s="3307"/>
      <c r="AJ76" s="3307"/>
      <c r="AK76" s="3323"/>
      <c r="AL76" s="3324"/>
      <c r="AM76" s="3324"/>
      <c r="AN76" s="3324"/>
      <c r="AO76" s="3324"/>
      <c r="AP76" s="3324"/>
      <c r="AQ76" s="3324"/>
      <c r="AR76" s="3324"/>
      <c r="AS76" s="3324"/>
      <c r="AT76" s="3324"/>
      <c r="AU76" s="3324"/>
      <c r="AV76" s="3324"/>
      <c r="AW76" s="3324"/>
      <c r="AX76" s="3325"/>
      <c r="BB76" s="3312">
        <v>0.5</v>
      </c>
      <c r="BC76" s="3312"/>
      <c r="BD76" s="3312"/>
      <c r="BE76" s="3308">
        <v>100</v>
      </c>
      <c r="BF76" s="3309"/>
      <c r="BG76" s="3309"/>
      <c r="BH76" s="902" t="s">
        <v>140</v>
      </c>
      <c r="BI76" s="903" t="s">
        <v>128</v>
      </c>
      <c r="BJ76" s="3304">
        <v>-86.617999999999995</v>
      </c>
      <c r="BK76" s="3305"/>
      <c r="BL76" s="3305"/>
      <c r="BM76" s="3305"/>
      <c r="BN76" s="3305"/>
      <c r="BO76" s="3305"/>
      <c r="BP76" s="3305"/>
      <c r="BQ76" s="3305"/>
      <c r="BR76" s="3305"/>
      <c r="BS76" s="3305"/>
      <c r="BT76" s="3305"/>
      <c r="BU76" s="3305"/>
      <c r="BV76" s="3305"/>
      <c r="BW76" s="3305"/>
      <c r="BX76" s="3306">
        <v>-86.2</v>
      </c>
      <c r="BY76" s="3307"/>
      <c r="BZ76" s="3307"/>
      <c r="CA76" s="3307"/>
      <c r="CB76" s="3307"/>
      <c r="CC76" s="3307"/>
      <c r="CD76" s="3307"/>
      <c r="CE76" s="3307"/>
      <c r="CF76" s="3307"/>
      <c r="CG76" s="3307"/>
      <c r="CH76" s="3307"/>
      <c r="CI76" s="3307"/>
      <c r="CJ76" s="3307"/>
      <c r="CK76" s="3307"/>
      <c r="CL76" s="3323"/>
      <c r="CM76" s="3324"/>
      <c r="CN76" s="3324"/>
      <c r="CO76" s="3324"/>
      <c r="CP76" s="3324"/>
      <c r="CQ76" s="3324"/>
      <c r="CR76" s="3324"/>
      <c r="CS76" s="3324"/>
      <c r="CT76" s="3324"/>
      <c r="CU76" s="3324"/>
      <c r="CV76" s="3324"/>
      <c r="CW76" s="3324"/>
      <c r="CX76" s="3324"/>
      <c r="CY76" s="3325"/>
      <c r="DB76" s="3312">
        <v>0.5</v>
      </c>
      <c r="DC76" s="3312"/>
      <c r="DD76" s="3312"/>
      <c r="DE76" s="3308">
        <v>100</v>
      </c>
      <c r="DF76" s="3309"/>
      <c r="DG76" s="3309"/>
      <c r="DH76" s="902" t="s">
        <v>140</v>
      </c>
      <c r="DI76" s="903" t="s">
        <v>128</v>
      </c>
      <c r="DJ76" s="3304">
        <v>-86.617999999999995</v>
      </c>
      <c r="DK76" s="3305"/>
      <c r="DL76" s="3305"/>
      <c r="DM76" s="3305"/>
      <c r="DN76" s="3305"/>
      <c r="DO76" s="3305"/>
      <c r="DP76" s="3305"/>
      <c r="DQ76" s="3305"/>
      <c r="DR76" s="3305"/>
      <c r="DS76" s="3305"/>
      <c r="DT76" s="3305"/>
      <c r="DU76" s="3305"/>
      <c r="DV76" s="3305"/>
      <c r="DW76" s="3305"/>
      <c r="DX76" s="3306">
        <v>-86.2</v>
      </c>
      <c r="DY76" s="3307"/>
      <c r="DZ76" s="3307"/>
      <c r="EA76" s="3307"/>
      <c r="EB76" s="3307"/>
      <c r="EC76" s="3307"/>
      <c r="ED76" s="3307"/>
      <c r="EE76" s="3307"/>
      <c r="EF76" s="3307"/>
      <c r="EG76" s="3307"/>
      <c r="EH76" s="3307"/>
      <c r="EI76" s="3307"/>
      <c r="EJ76" s="3307"/>
    </row>
    <row r="77" spans="1:140" ht="16.5" outlineLevel="1">
      <c r="A77" s="3312"/>
      <c r="B77" s="3312"/>
      <c r="C77" s="3312"/>
      <c r="D77" s="3308">
        <v>40</v>
      </c>
      <c r="E77" s="3309"/>
      <c r="F77" s="3309"/>
      <c r="G77" s="902" t="s">
        <v>140</v>
      </c>
      <c r="H77" s="903" t="s">
        <v>128</v>
      </c>
      <c r="I77" s="3310">
        <v>-35.265000000000001</v>
      </c>
      <c r="J77" s="3310"/>
      <c r="K77" s="3310"/>
      <c r="L77" s="3310"/>
      <c r="M77" s="3310"/>
      <c r="N77" s="3310"/>
      <c r="O77" s="3310"/>
      <c r="P77" s="3310"/>
      <c r="Q77" s="3310"/>
      <c r="R77" s="3310"/>
      <c r="S77" s="3310"/>
      <c r="T77" s="3310"/>
      <c r="U77" s="3310"/>
      <c r="V77" s="3310"/>
      <c r="W77" s="3311">
        <v>-35.58</v>
      </c>
      <c r="X77" s="3311"/>
      <c r="Y77" s="3311"/>
      <c r="Z77" s="3311"/>
      <c r="AA77" s="3311"/>
      <c r="AB77" s="3311"/>
      <c r="AC77" s="3311"/>
      <c r="AD77" s="3311"/>
      <c r="AE77" s="3311"/>
      <c r="AF77" s="3311"/>
      <c r="AG77" s="3311"/>
      <c r="AH77" s="3311"/>
      <c r="AI77" s="3311"/>
      <c r="AJ77" s="3311"/>
      <c r="AK77" s="3326"/>
      <c r="AL77" s="3327"/>
      <c r="AM77" s="3327"/>
      <c r="AN77" s="3327"/>
      <c r="AO77" s="3327"/>
      <c r="AP77" s="3327"/>
      <c r="AQ77" s="3327"/>
      <c r="AR77" s="3327"/>
      <c r="AS77" s="3327"/>
      <c r="AT77" s="3327"/>
      <c r="AU77" s="3327"/>
      <c r="AV77" s="3327"/>
      <c r="AW77" s="3327"/>
      <c r="AX77" s="3328"/>
      <c r="BB77" s="3312"/>
      <c r="BC77" s="3312"/>
      <c r="BD77" s="3312"/>
      <c r="BE77" s="3308">
        <v>40</v>
      </c>
      <c r="BF77" s="3309"/>
      <c r="BG77" s="3309"/>
      <c r="BH77" s="902" t="s">
        <v>140</v>
      </c>
      <c r="BI77" s="903" t="s">
        <v>128</v>
      </c>
      <c r="BJ77" s="3310">
        <v>-35.265000000000001</v>
      </c>
      <c r="BK77" s="3310"/>
      <c r="BL77" s="3310"/>
      <c r="BM77" s="3310"/>
      <c r="BN77" s="3310"/>
      <c r="BO77" s="3310"/>
      <c r="BP77" s="3310"/>
      <c r="BQ77" s="3310"/>
      <c r="BR77" s="3310"/>
      <c r="BS77" s="3310"/>
      <c r="BT77" s="3310"/>
      <c r="BU77" s="3310"/>
      <c r="BV77" s="3310"/>
      <c r="BW77" s="3310"/>
      <c r="BX77" s="3311">
        <v>-35.58</v>
      </c>
      <c r="BY77" s="3311"/>
      <c r="BZ77" s="3311"/>
      <c r="CA77" s="3311"/>
      <c r="CB77" s="3311"/>
      <c r="CC77" s="3311"/>
      <c r="CD77" s="3311"/>
      <c r="CE77" s="3311"/>
      <c r="CF77" s="3311"/>
      <c r="CG77" s="3311"/>
      <c r="CH77" s="3311"/>
      <c r="CI77" s="3311"/>
      <c r="CJ77" s="3311"/>
      <c r="CK77" s="3311"/>
      <c r="CL77" s="3326"/>
      <c r="CM77" s="3327"/>
      <c r="CN77" s="3327"/>
      <c r="CO77" s="3327"/>
      <c r="CP77" s="3327"/>
      <c r="CQ77" s="3327"/>
      <c r="CR77" s="3327"/>
      <c r="CS77" s="3327"/>
      <c r="CT77" s="3327"/>
      <c r="CU77" s="3327"/>
      <c r="CV77" s="3327"/>
      <c r="CW77" s="3327"/>
      <c r="CX77" s="3327"/>
      <c r="CY77" s="3328"/>
      <c r="DB77" s="3312"/>
      <c r="DC77" s="3312"/>
      <c r="DD77" s="3312"/>
      <c r="DE77" s="3308">
        <v>40</v>
      </c>
      <c r="DF77" s="3309"/>
      <c r="DG77" s="3309"/>
      <c r="DH77" s="902" t="s">
        <v>140</v>
      </c>
      <c r="DI77" s="903" t="s">
        <v>128</v>
      </c>
      <c r="DJ77" s="3310">
        <v>-35.265000000000001</v>
      </c>
      <c r="DK77" s="3310"/>
      <c r="DL77" s="3310"/>
      <c r="DM77" s="3310"/>
      <c r="DN77" s="3310"/>
      <c r="DO77" s="3310"/>
      <c r="DP77" s="3310"/>
      <c r="DQ77" s="3310"/>
      <c r="DR77" s="3310"/>
      <c r="DS77" s="3310"/>
      <c r="DT77" s="3310"/>
      <c r="DU77" s="3310"/>
      <c r="DV77" s="3310"/>
      <c r="DW77" s="3310"/>
      <c r="DX77" s="3311">
        <v>-35.58</v>
      </c>
      <c r="DY77" s="3311"/>
      <c r="DZ77" s="3311"/>
      <c r="EA77" s="3311"/>
      <c r="EB77" s="3311"/>
      <c r="EC77" s="3311"/>
      <c r="ED77" s="3311"/>
      <c r="EE77" s="3311"/>
      <c r="EF77" s="3311"/>
      <c r="EG77" s="3311"/>
      <c r="EH77" s="3311"/>
      <c r="EI77" s="3311"/>
      <c r="EJ77" s="3311"/>
    </row>
    <row r="78" spans="1:140" ht="16.5">
      <c r="A78" s="898"/>
      <c r="B78" s="898"/>
      <c r="C78" s="898"/>
      <c r="D78" s="904"/>
      <c r="E78" s="904"/>
      <c r="F78" s="904"/>
      <c r="G78" s="905"/>
      <c r="H78" s="906"/>
      <c r="I78" s="898"/>
      <c r="J78" s="898"/>
      <c r="K78" s="898"/>
      <c r="L78" s="898"/>
      <c r="M78" s="898"/>
      <c r="N78" s="898"/>
      <c r="O78" s="898"/>
      <c r="P78" s="898"/>
      <c r="Q78" s="898"/>
      <c r="R78" s="898"/>
      <c r="S78" s="898"/>
      <c r="T78" s="898"/>
      <c r="U78" s="898"/>
      <c r="V78" s="898"/>
      <c r="W78" s="898"/>
      <c r="X78" s="898"/>
      <c r="Y78" s="898"/>
      <c r="Z78" s="898"/>
      <c r="AA78" s="898"/>
      <c r="AB78" s="898"/>
      <c r="AC78" s="898"/>
      <c r="AD78" s="898"/>
      <c r="AE78" s="898"/>
      <c r="AF78" s="898"/>
      <c r="AG78" s="898"/>
      <c r="AH78" s="898"/>
      <c r="AI78" s="898"/>
      <c r="AJ78" s="898"/>
      <c r="AK78" s="898"/>
      <c r="AL78" s="898"/>
      <c r="AM78" s="898"/>
      <c r="AN78" s="898"/>
      <c r="AO78" s="898"/>
      <c r="AP78" s="898"/>
      <c r="AQ78" s="898"/>
      <c r="AR78" s="898"/>
      <c r="AS78" s="898"/>
      <c r="AT78" s="898"/>
      <c r="AU78" s="898"/>
      <c r="AV78" s="898"/>
      <c r="AW78" s="898"/>
      <c r="AX78" s="898"/>
      <c r="BB78" s="898"/>
      <c r="BC78" s="898"/>
      <c r="BD78" s="898"/>
      <c r="BE78" s="904"/>
      <c r="BF78" s="904"/>
      <c r="BG78" s="904"/>
      <c r="BH78" s="905"/>
      <c r="BI78" s="906"/>
      <c r="BJ78" s="898"/>
      <c r="BK78" s="898"/>
      <c r="BL78" s="898"/>
      <c r="BM78" s="898"/>
      <c r="BN78" s="898"/>
      <c r="BO78" s="898"/>
      <c r="BP78" s="898"/>
      <c r="BQ78" s="898"/>
      <c r="BR78" s="898"/>
      <c r="BS78" s="898"/>
      <c r="BT78" s="898"/>
      <c r="BU78" s="898"/>
      <c r="BV78" s="898"/>
      <c r="BW78" s="898"/>
      <c r="BX78" s="898"/>
      <c r="BY78" s="898"/>
      <c r="BZ78" s="898"/>
      <c r="CA78" s="898"/>
      <c r="CB78" s="898"/>
      <c r="CC78" s="898"/>
      <c r="CD78" s="898"/>
      <c r="CE78" s="898"/>
      <c r="CF78" s="898"/>
      <c r="CG78" s="898"/>
      <c r="CH78" s="898"/>
      <c r="CI78" s="898"/>
      <c r="CJ78" s="898"/>
      <c r="CK78" s="898"/>
      <c r="CL78" s="898"/>
      <c r="CM78" s="898"/>
      <c r="CN78" s="898"/>
      <c r="CO78" s="898"/>
      <c r="CP78" s="898"/>
      <c r="CQ78" s="898"/>
      <c r="CR78" s="898"/>
      <c r="CS78" s="898"/>
      <c r="CT78" s="898"/>
      <c r="CU78" s="898"/>
      <c r="CV78" s="898"/>
      <c r="CW78" s="898"/>
      <c r="CX78" s="898"/>
      <c r="CY78" s="898"/>
      <c r="DB78" s="898"/>
      <c r="DC78" s="898"/>
      <c r="DD78" s="898"/>
      <c r="DE78" s="904"/>
      <c r="DF78" s="904"/>
      <c r="DG78" s="904"/>
      <c r="DH78" s="905"/>
      <c r="DI78" s="906"/>
      <c r="DJ78" s="898"/>
      <c r="DK78" s="898"/>
      <c r="DL78" s="898"/>
      <c r="DM78" s="898"/>
      <c r="DN78" s="898"/>
      <c r="DO78" s="898"/>
      <c r="DP78" s="898"/>
      <c r="DQ78" s="898"/>
      <c r="DR78" s="898"/>
      <c r="DS78" s="898"/>
      <c r="DT78" s="898"/>
      <c r="DU78" s="898"/>
      <c r="DV78" s="898"/>
      <c r="DW78" s="898"/>
      <c r="DX78" s="898"/>
      <c r="DY78" s="898"/>
      <c r="DZ78" s="898"/>
      <c r="EA78" s="898"/>
      <c r="EB78" s="898"/>
      <c r="EC78" s="898"/>
      <c r="ED78" s="898"/>
      <c r="EE78" s="898"/>
      <c r="EF78" s="898"/>
      <c r="EG78" s="898"/>
      <c r="EH78" s="898"/>
      <c r="EI78" s="898"/>
      <c r="EJ78" s="898"/>
    </row>
    <row r="79" spans="1:140" ht="16.5">
      <c r="A79" s="3294" t="s">
        <v>2370</v>
      </c>
      <c r="B79" s="3295"/>
      <c r="C79" s="3292" t="s">
        <v>2347</v>
      </c>
      <c r="D79" s="3292"/>
      <c r="E79" s="3292"/>
      <c r="F79" s="909" t="s">
        <v>2371</v>
      </c>
      <c r="G79" s="910" t="s">
        <v>2372</v>
      </c>
      <c r="H79" s="911" t="s">
        <v>2373</v>
      </c>
      <c r="I79" s="909" t="s">
        <v>2374</v>
      </c>
      <c r="J79" s="3296">
        <f>J26</f>
        <v>0</v>
      </c>
      <c r="K79" s="3296"/>
      <c r="L79" s="3296"/>
      <c r="M79" s="3296"/>
      <c r="N79" s="909"/>
      <c r="O79" s="909" t="s">
        <v>2375</v>
      </c>
      <c r="P79" s="3295" t="s">
        <v>2376</v>
      </c>
      <c r="Q79" s="3295"/>
      <c r="R79" s="3295"/>
      <c r="S79" s="3290" t="e">
        <f>[27]信息!#REF!</f>
        <v>#REF!</v>
      </c>
      <c r="T79" s="3290"/>
      <c r="U79" s="3290"/>
      <c r="V79" s="909" t="s">
        <v>2377</v>
      </c>
      <c r="W79" s="909"/>
      <c r="X79" s="909" t="s">
        <v>2378</v>
      </c>
      <c r="Y79" s="909"/>
      <c r="Z79" s="909"/>
      <c r="AA79" s="909"/>
      <c r="AB79" s="909"/>
      <c r="AC79" s="909"/>
      <c r="AD79" s="909"/>
      <c r="AE79" s="909"/>
      <c r="AF79" s="909"/>
      <c r="AG79" s="909"/>
      <c r="AH79" s="909"/>
      <c r="AI79" s="909"/>
      <c r="AJ79" s="909"/>
      <c r="AK79" s="909"/>
      <c r="AL79" s="909"/>
      <c r="AM79" s="909"/>
      <c r="AN79" s="909"/>
      <c r="AO79" s="909"/>
      <c r="AP79" s="909"/>
      <c r="AQ79" s="909"/>
      <c r="AR79" s="909"/>
      <c r="AS79" s="909"/>
      <c r="AT79" s="909"/>
      <c r="AU79" s="909"/>
      <c r="AV79" s="909"/>
      <c r="AW79" s="909"/>
      <c r="AX79" s="912"/>
      <c r="BB79" s="3294" t="s">
        <v>2379</v>
      </c>
      <c r="BC79" s="3295"/>
      <c r="BD79" s="3292" t="s">
        <v>2380</v>
      </c>
      <c r="BE79" s="3292"/>
      <c r="BF79" s="3292"/>
      <c r="BG79" s="909" t="s">
        <v>2381</v>
      </c>
      <c r="BH79" s="910" t="s">
        <v>2382</v>
      </c>
      <c r="BI79" s="911" t="s">
        <v>2383</v>
      </c>
      <c r="BJ79" s="909" t="s">
        <v>2384</v>
      </c>
      <c r="BK79" s="3296">
        <f>BK26</f>
        <v>0</v>
      </c>
      <c r="BL79" s="3296"/>
      <c r="BM79" s="3296"/>
      <c r="BN79" s="3296"/>
      <c r="BO79" s="909"/>
      <c r="BP79" s="909" t="s">
        <v>2385</v>
      </c>
      <c r="BQ79" s="3295" t="s">
        <v>2386</v>
      </c>
      <c r="BR79" s="3295"/>
      <c r="BS79" s="3295"/>
      <c r="BT79" s="3290" t="e">
        <f>[27]信息!#REF!</f>
        <v>#REF!</v>
      </c>
      <c r="BU79" s="3290"/>
      <c r="BV79" s="3290"/>
      <c r="BW79" s="909" t="s">
        <v>2387</v>
      </c>
      <c r="BX79" s="909"/>
      <c r="BY79" s="909" t="s">
        <v>2388</v>
      </c>
      <c r="BZ79" s="909"/>
      <c r="CA79" s="909"/>
      <c r="CB79" s="909"/>
      <c r="CC79" s="909"/>
      <c r="CD79" s="909"/>
      <c r="CE79" s="909"/>
      <c r="CF79" s="909"/>
      <c r="CG79" s="909"/>
      <c r="CH79" s="909"/>
      <c r="CI79" s="909"/>
      <c r="CJ79" s="909"/>
      <c r="CK79" s="909"/>
      <c r="CL79" s="909"/>
      <c r="CM79" s="909"/>
      <c r="CN79" s="909"/>
      <c r="CO79" s="909"/>
      <c r="CP79" s="909"/>
      <c r="CQ79" s="909"/>
      <c r="CR79" s="909"/>
      <c r="CS79" s="909"/>
      <c r="CT79" s="909"/>
      <c r="CU79" s="909"/>
      <c r="CV79" s="909"/>
      <c r="CW79" s="909"/>
      <c r="CX79" s="909"/>
      <c r="CY79" s="912"/>
      <c r="DB79" s="3294" t="s">
        <v>2389</v>
      </c>
      <c r="DC79" s="3295"/>
      <c r="DD79" s="3292" t="s">
        <v>2390</v>
      </c>
      <c r="DE79" s="3292"/>
      <c r="DF79" s="3292"/>
      <c r="DG79" s="909" t="s">
        <v>2391</v>
      </c>
      <c r="DH79" s="910" t="s">
        <v>2392</v>
      </c>
      <c r="DI79" s="911" t="s">
        <v>2393</v>
      </c>
      <c r="DJ79" s="909" t="s">
        <v>2394</v>
      </c>
      <c r="DK79" s="3296">
        <f>DK26</f>
        <v>0</v>
      </c>
      <c r="DL79" s="3296"/>
      <c r="DM79" s="3296"/>
      <c r="DN79" s="3296"/>
      <c r="DO79" s="909"/>
      <c r="DP79" s="909" t="s">
        <v>2395</v>
      </c>
      <c r="DQ79" s="3295" t="s">
        <v>2396</v>
      </c>
      <c r="DR79" s="3295"/>
      <c r="DS79" s="3295"/>
      <c r="DT79" s="3290" t="e">
        <f>[27]信息!#REF!</f>
        <v>#REF!</v>
      </c>
      <c r="DU79" s="3290"/>
      <c r="DV79" s="3290"/>
      <c r="DW79" s="909" t="s">
        <v>2397</v>
      </c>
      <c r="DX79" s="909"/>
      <c r="DY79" s="909" t="s">
        <v>2398</v>
      </c>
      <c r="DZ79" s="909"/>
      <c r="EA79" s="909"/>
      <c r="EB79" s="909"/>
      <c r="EC79" s="909"/>
      <c r="ED79" s="909"/>
      <c r="EE79" s="909"/>
      <c r="EF79" s="909"/>
      <c r="EG79" s="909"/>
      <c r="EH79" s="909"/>
      <c r="EI79" s="909"/>
      <c r="EJ79" s="909"/>
    </row>
    <row r="80" spans="1:140">
      <c r="A80" s="3291" t="s">
        <v>2399</v>
      </c>
      <c r="B80" s="3292"/>
      <c r="C80" s="3292"/>
      <c r="D80" s="3292"/>
      <c r="E80" s="3292"/>
      <c r="F80" s="3292"/>
      <c r="G80" s="3292"/>
      <c r="H80" s="3293"/>
      <c r="I80" s="3291" t="s">
        <v>2400</v>
      </c>
      <c r="J80" s="3292"/>
      <c r="K80" s="3292"/>
      <c r="L80" s="3292"/>
      <c r="M80" s="3292"/>
      <c r="N80" s="3292"/>
      <c r="O80" s="3292"/>
      <c r="P80" s="3292"/>
      <c r="Q80" s="3292"/>
      <c r="R80" s="3292"/>
      <c r="S80" s="3292"/>
      <c r="T80" s="3292"/>
      <c r="U80" s="3292"/>
      <c r="V80" s="3293"/>
      <c r="W80" s="3291" t="s">
        <v>2401</v>
      </c>
      <c r="X80" s="3292"/>
      <c r="Y80" s="3292"/>
      <c r="Z80" s="3292"/>
      <c r="AA80" s="3292"/>
      <c r="AB80" s="3292"/>
      <c r="AC80" s="3292"/>
      <c r="AD80" s="3292"/>
      <c r="AE80" s="3292"/>
      <c r="AF80" s="3292"/>
      <c r="AG80" s="3292"/>
      <c r="AH80" s="3292"/>
      <c r="AI80" s="3292"/>
      <c r="AJ80" s="3292"/>
      <c r="AK80" s="3291" t="s">
        <v>2402</v>
      </c>
      <c r="AL80" s="3292"/>
      <c r="AM80" s="3292"/>
      <c r="AN80" s="3292"/>
      <c r="AO80" s="3292"/>
      <c r="AP80" s="3292"/>
      <c r="AQ80" s="3292"/>
      <c r="AR80" s="3292"/>
      <c r="AS80" s="3292"/>
      <c r="AT80" s="3292"/>
      <c r="AU80" s="3292"/>
      <c r="AV80" s="3292"/>
      <c r="AW80" s="3292"/>
      <c r="AX80" s="3293"/>
      <c r="BB80" s="3291" t="s">
        <v>2403</v>
      </c>
      <c r="BC80" s="3292"/>
      <c r="BD80" s="3292"/>
      <c r="BE80" s="3292"/>
      <c r="BF80" s="3292"/>
      <c r="BG80" s="3292"/>
      <c r="BH80" s="3292"/>
      <c r="BI80" s="3293"/>
      <c r="BJ80" s="3291" t="s">
        <v>2400</v>
      </c>
      <c r="BK80" s="3292"/>
      <c r="BL80" s="3292"/>
      <c r="BM80" s="3292"/>
      <c r="BN80" s="3292"/>
      <c r="BO80" s="3292"/>
      <c r="BP80" s="3292"/>
      <c r="BQ80" s="3292"/>
      <c r="BR80" s="3292"/>
      <c r="BS80" s="3292"/>
      <c r="BT80" s="3292"/>
      <c r="BU80" s="3292"/>
      <c r="BV80" s="3292"/>
      <c r="BW80" s="3293"/>
      <c r="BX80" s="3291" t="s">
        <v>2404</v>
      </c>
      <c r="BY80" s="3292"/>
      <c r="BZ80" s="3292"/>
      <c r="CA80" s="3292"/>
      <c r="CB80" s="3292"/>
      <c r="CC80" s="3292"/>
      <c r="CD80" s="3292"/>
      <c r="CE80" s="3292"/>
      <c r="CF80" s="3292"/>
      <c r="CG80" s="3292"/>
      <c r="CH80" s="3292"/>
      <c r="CI80" s="3292"/>
      <c r="CJ80" s="3292"/>
      <c r="CK80" s="3292"/>
      <c r="CL80" s="3291" t="s">
        <v>2405</v>
      </c>
      <c r="CM80" s="3292"/>
      <c r="CN80" s="3292"/>
      <c r="CO80" s="3292"/>
      <c r="CP80" s="3292"/>
      <c r="CQ80" s="3292"/>
      <c r="CR80" s="3292"/>
      <c r="CS80" s="3292"/>
      <c r="CT80" s="3292"/>
      <c r="CU80" s="3292"/>
      <c r="CV80" s="3292"/>
      <c r="CW80" s="3292"/>
      <c r="CX80" s="3292"/>
      <c r="CY80" s="3293"/>
      <c r="DB80" s="3291" t="s">
        <v>2406</v>
      </c>
      <c r="DC80" s="3292"/>
      <c r="DD80" s="3292"/>
      <c r="DE80" s="3292"/>
      <c r="DF80" s="3292"/>
      <c r="DG80" s="3292"/>
      <c r="DH80" s="3292"/>
      <c r="DI80" s="3293"/>
      <c r="DJ80" s="3291" t="s">
        <v>2407</v>
      </c>
      <c r="DK80" s="3292"/>
      <c r="DL80" s="3292"/>
      <c r="DM80" s="3292"/>
      <c r="DN80" s="3292"/>
      <c r="DO80" s="3292"/>
      <c r="DP80" s="3292"/>
      <c r="DQ80" s="3292"/>
      <c r="DR80" s="3292"/>
      <c r="DS80" s="3292"/>
      <c r="DT80" s="3292"/>
      <c r="DU80" s="3292"/>
      <c r="DV80" s="3292"/>
      <c r="DW80" s="3293"/>
      <c r="DX80" s="3291" t="s">
        <v>2404</v>
      </c>
      <c r="DY80" s="3292"/>
      <c r="DZ80" s="3292"/>
      <c r="EA80" s="3292"/>
      <c r="EB80" s="3292"/>
      <c r="EC80" s="3292"/>
      <c r="ED80" s="3292"/>
      <c r="EE80" s="3292"/>
      <c r="EF80" s="3292"/>
      <c r="EG80" s="3292"/>
      <c r="EH80" s="3292"/>
      <c r="EI80" s="3292"/>
      <c r="EJ80" s="3292"/>
    </row>
    <row r="81" spans="1:140">
      <c r="A81" s="3302">
        <v>55</v>
      </c>
      <c r="B81" s="3303"/>
      <c r="C81" s="3303"/>
      <c r="D81" s="3303"/>
      <c r="E81" s="3303"/>
      <c r="F81" s="3303"/>
      <c r="G81" s="3303"/>
      <c r="H81" s="3303"/>
      <c r="I81" s="3297">
        <v>55</v>
      </c>
      <c r="J81" s="3298"/>
      <c r="K81" s="3298"/>
      <c r="L81" s="3298"/>
      <c r="M81" s="3298"/>
      <c r="N81" s="3298"/>
      <c r="O81" s="3298"/>
      <c r="P81" s="3298"/>
      <c r="Q81" s="3298"/>
      <c r="R81" s="3298"/>
      <c r="S81" s="3298"/>
      <c r="T81" s="3298"/>
      <c r="U81" s="3298"/>
      <c r="V81" s="3299"/>
      <c r="W81" s="3300">
        <v>55</v>
      </c>
      <c r="X81" s="3301"/>
      <c r="Y81" s="3301"/>
      <c r="Z81" s="3301"/>
      <c r="AA81" s="3301"/>
      <c r="AB81" s="3301"/>
      <c r="AC81" s="3301"/>
      <c r="AD81" s="3301"/>
      <c r="AE81" s="3301"/>
      <c r="AF81" s="3301"/>
      <c r="AG81" s="3301"/>
      <c r="AH81" s="3301"/>
      <c r="AI81" s="3301"/>
      <c r="AJ81" s="3301"/>
      <c r="AK81" s="3280" t="s">
        <v>2408</v>
      </c>
      <c r="AL81" s="3281"/>
      <c r="AM81" s="3281"/>
      <c r="AN81" s="3281"/>
      <c r="AO81" s="3281"/>
      <c r="AP81" s="3281"/>
      <c r="AQ81" s="3281"/>
      <c r="AR81" s="3281"/>
      <c r="AS81" s="3281"/>
      <c r="AT81" s="3281"/>
      <c r="AU81" s="3281"/>
      <c r="AV81" s="3281"/>
      <c r="AW81" s="3281"/>
      <c r="AX81" s="3282"/>
      <c r="BB81" s="3302">
        <v>55</v>
      </c>
      <c r="BC81" s="3303"/>
      <c r="BD81" s="3303"/>
      <c r="BE81" s="3303"/>
      <c r="BF81" s="3303"/>
      <c r="BG81" s="3303"/>
      <c r="BH81" s="3303"/>
      <c r="BI81" s="3303"/>
      <c r="BJ81" s="3297">
        <v>55</v>
      </c>
      <c r="BK81" s="3298"/>
      <c r="BL81" s="3298"/>
      <c r="BM81" s="3298"/>
      <c r="BN81" s="3298"/>
      <c r="BO81" s="3298"/>
      <c r="BP81" s="3298"/>
      <c r="BQ81" s="3298"/>
      <c r="BR81" s="3298"/>
      <c r="BS81" s="3298"/>
      <c r="BT81" s="3298"/>
      <c r="BU81" s="3298"/>
      <c r="BV81" s="3298"/>
      <c r="BW81" s="3299"/>
      <c r="BX81" s="3300">
        <v>55</v>
      </c>
      <c r="BY81" s="3301"/>
      <c r="BZ81" s="3301"/>
      <c r="CA81" s="3301"/>
      <c r="CB81" s="3301"/>
      <c r="CC81" s="3301"/>
      <c r="CD81" s="3301"/>
      <c r="CE81" s="3301"/>
      <c r="CF81" s="3301"/>
      <c r="CG81" s="3301"/>
      <c r="CH81" s="3301"/>
      <c r="CI81" s="3301"/>
      <c r="CJ81" s="3301"/>
      <c r="CK81" s="3301"/>
      <c r="CL81" s="3280" t="s">
        <v>2408</v>
      </c>
      <c r="CM81" s="3281"/>
      <c r="CN81" s="3281"/>
      <c r="CO81" s="3281"/>
      <c r="CP81" s="3281"/>
      <c r="CQ81" s="3281"/>
      <c r="CR81" s="3281"/>
      <c r="CS81" s="3281"/>
      <c r="CT81" s="3281"/>
      <c r="CU81" s="3281"/>
      <c r="CV81" s="3281"/>
      <c r="CW81" s="3281"/>
      <c r="CX81" s="3281"/>
      <c r="CY81" s="3282"/>
      <c r="DB81" s="3302">
        <v>55</v>
      </c>
      <c r="DC81" s="3303"/>
      <c r="DD81" s="3303"/>
      <c r="DE81" s="3303"/>
      <c r="DF81" s="3303"/>
      <c r="DG81" s="3303"/>
      <c r="DH81" s="3303"/>
      <c r="DI81" s="3303"/>
      <c r="DJ81" s="3297">
        <v>55</v>
      </c>
      <c r="DK81" s="3298"/>
      <c r="DL81" s="3298"/>
      <c r="DM81" s="3298"/>
      <c r="DN81" s="3298"/>
      <c r="DO81" s="3298"/>
      <c r="DP81" s="3298"/>
      <c r="DQ81" s="3298"/>
      <c r="DR81" s="3298"/>
      <c r="DS81" s="3298"/>
      <c r="DT81" s="3298"/>
      <c r="DU81" s="3298"/>
      <c r="DV81" s="3298"/>
      <c r="DW81" s="3299"/>
      <c r="DX81" s="3300">
        <v>55</v>
      </c>
      <c r="DY81" s="3301"/>
      <c r="DZ81" s="3301"/>
      <c r="EA81" s="3301"/>
      <c r="EB81" s="3301"/>
      <c r="EC81" s="3301"/>
      <c r="ED81" s="3301"/>
      <c r="EE81" s="3301"/>
      <c r="EF81" s="3301"/>
      <c r="EG81" s="3301"/>
      <c r="EH81" s="3301"/>
      <c r="EI81" s="3301"/>
      <c r="EJ81" s="3301"/>
    </row>
    <row r="82" spans="1:140">
      <c r="A82" s="3302">
        <v>53</v>
      </c>
      <c r="B82" s="3303"/>
      <c r="C82" s="3303"/>
      <c r="D82" s="3303"/>
      <c r="E82" s="3303"/>
      <c r="F82" s="3303"/>
      <c r="G82" s="3303"/>
      <c r="H82" s="3303"/>
      <c r="I82" s="3297">
        <v>53</v>
      </c>
      <c r="J82" s="3298"/>
      <c r="K82" s="3298"/>
      <c r="L82" s="3298"/>
      <c r="M82" s="3298"/>
      <c r="N82" s="3298"/>
      <c r="O82" s="3298"/>
      <c r="P82" s="3298"/>
      <c r="Q82" s="3298"/>
      <c r="R82" s="3298"/>
      <c r="S82" s="3298"/>
      <c r="T82" s="3298"/>
      <c r="U82" s="3298"/>
      <c r="V82" s="3299"/>
      <c r="W82" s="3300">
        <v>53</v>
      </c>
      <c r="X82" s="3301"/>
      <c r="Y82" s="3301"/>
      <c r="Z82" s="3301"/>
      <c r="AA82" s="3301"/>
      <c r="AB82" s="3301"/>
      <c r="AC82" s="3301"/>
      <c r="AD82" s="3301"/>
      <c r="AE82" s="3301"/>
      <c r="AF82" s="3301"/>
      <c r="AG82" s="3301"/>
      <c r="AH82" s="3301"/>
      <c r="AI82" s="3301"/>
      <c r="AJ82" s="3301"/>
      <c r="AK82" s="3283"/>
      <c r="AL82" s="3284"/>
      <c r="AM82" s="3284"/>
      <c r="AN82" s="3284"/>
      <c r="AO82" s="3284"/>
      <c r="AP82" s="3284"/>
      <c r="AQ82" s="3284"/>
      <c r="AR82" s="3284"/>
      <c r="AS82" s="3284"/>
      <c r="AT82" s="3284"/>
      <c r="AU82" s="3284"/>
      <c r="AV82" s="3284"/>
      <c r="AW82" s="3284"/>
      <c r="AX82" s="3285"/>
      <c r="BB82" s="3302">
        <v>53</v>
      </c>
      <c r="BC82" s="3303"/>
      <c r="BD82" s="3303"/>
      <c r="BE82" s="3303"/>
      <c r="BF82" s="3303"/>
      <c r="BG82" s="3303"/>
      <c r="BH82" s="3303"/>
      <c r="BI82" s="3303"/>
      <c r="BJ82" s="3297">
        <v>53</v>
      </c>
      <c r="BK82" s="3298"/>
      <c r="BL82" s="3298"/>
      <c r="BM82" s="3298"/>
      <c r="BN82" s="3298"/>
      <c r="BO82" s="3298"/>
      <c r="BP82" s="3298"/>
      <c r="BQ82" s="3298"/>
      <c r="BR82" s="3298"/>
      <c r="BS82" s="3298"/>
      <c r="BT82" s="3298"/>
      <c r="BU82" s="3298"/>
      <c r="BV82" s="3298"/>
      <c r="BW82" s="3299"/>
      <c r="BX82" s="3300">
        <v>53</v>
      </c>
      <c r="BY82" s="3301"/>
      <c r="BZ82" s="3301"/>
      <c r="CA82" s="3301"/>
      <c r="CB82" s="3301"/>
      <c r="CC82" s="3301"/>
      <c r="CD82" s="3301"/>
      <c r="CE82" s="3301"/>
      <c r="CF82" s="3301"/>
      <c r="CG82" s="3301"/>
      <c r="CH82" s="3301"/>
      <c r="CI82" s="3301"/>
      <c r="CJ82" s="3301"/>
      <c r="CK82" s="3301"/>
      <c r="CL82" s="3283"/>
      <c r="CM82" s="3284"/>
      <c r="CN82" s="3284"/>
      <c r="CO82" s="3284"/>
      <c r="CP82" s="3284"/>
      <c r="CQ82" s="3284"/>
      <c r="CR82" s="3284"/>
      <c r="CS82" s="3284"/>
      <c r="CT82" s="3284"/>
      <c r="CU82" s="3284"/>
      <c r="CV82" s="3284"/>
      <c r="CW82" s="3284"/>
      <c r="CX82" s="3284"/>
      <c r="CY82" s="3285"/>
      <c r="DB82" s="3302">
        <v>53</v>
      </c>
      <c r="DC82" s="3303"/>
      <c r="DD82" s="3303"/>
      <c r="DE82" s="3303"/>
      <c r="DF82" s="3303"/>
      <c r="DG82" s="3303"/>
      <c r="DH82" s="3303"/>
      <c r="DI82" s="3303"/>
      <c r="DJ82" s="3297">
        <v>53</v>
      </c>
      <c r="DK82" s="3298"/>
      <c r="DL82" s="3298"/>
      <c r="DM82" s="3298"/>
      <c r="DN82" s="3298"/>
      <c r="DO82" s="3298"/>
      <c r="DP82" s="3298"/>
      <c r="DQ82" s="3298"/>
      <c r="DR82" s="3298"/>
      <c r="DS82" s="3298"/>
      <c r="DT82" s="3298"/>
      <c r="DU82" s="3298"/>
      <c r="DV82" s="3298"/>
      <c r="DW82" s="3299"/>
      <c r="DX82" s="3300">
        <v>53</v>
      </c>
      <c r="DY82" s="3301"/>
      <c r="DZ82" s="3301"/>
      <c r="EA82" s="3301"/>
      <c r="EB82" s="3301"/>
      <c r="EC82" s="3301"/>
      <c r="ED82" s="3301"/>
      <c r="EE82" s="3301"/>
      <c r="EF82" s="3301"/>
      <c r="EG82" s="3301"/>
      <c r="EH82" s="3301"/>
      <c r="EI82" s="3301"/>
      <c r="EJ82" s="3301"/>
    </row>
    <row r="83" spans="1:140">
      <c r="A83" s="3302">
        <v>51</v>
      </c>
      <c r="B83" s="3303"/>
      <c r="C83" s="3303"/>
      <c r="D83" s="3303"/>
      <c r="E83" s="3303"/>
      <c r="F83" s="3303"/>
      <c r="G83" s="3303"/>
      <c r="H83" s="3303"/>
      <c r="I83" s="3297">
        <v>51</v>
      </c>
      <c r="J83" s="3298"/>
      <c r="K83" s="3298"/>
      <c r="L83" s="3298"/>
      <c r="M83" s="3298"/>
      <c r="N83" s="3298"/>
      <c r="O83" s="3298"/>
      <c r="P83" s="3298"/>
      <c r="Q83" s="3298"/>
      <c r="R83" s="3298"/>
      <c r="S83" s="3298"/>
      <c r="T83" s="3298"/>
      <c r="U83" s="3298"/>
      <c r="V83" s="3299"/>
      <c r="W83" s="3300">
        <v>51</v>
      </c>
      <c r="X83" s="3301"/>
      <c r="Y83" s="3301"/>
      <c r="Z83" s="3301"/>
      <c r="AA83" s="3301"/>
      <c r="AB83" s="3301"/>
      <c r="AC83" s="3301"/>
      <c r="AD83" s="3301"/>
      <c r="AE83" s="3301"/>
      <c r="AF83" s="3301"/>
      <c r="AG83" s="3301"/>
      <c r="AH83" s="3301"/>
      <c r="AI83" s="3301"/>
      <c r="AJ83" s="3301"/>
      <c r="AK83" s="3283"/>
      <c r="AL83" s="3284"/>
      <c r="AM83" s="3284"/>
      <c r="AN83" s="3284"/>
      <c r="AO83" s="3284"/>
      <c r="AP83" s="3284"/>
      <c r="AQ83" s="3284"/>
      <c r="AR83" s="3284"/>
      <c r="AS83" s="3284"/>
      <c r="AT83" s="3284"/>
      <c r="AU83" s="3284"/>
      <c r="AV83" s="3284"/>
      <c r="AW83" s="3284"/>
      <c r="AX83" s="3285"/>
      <c r="BB83" s="3302">
        <v>51</v>
      </c>
      <c r="BC83" s="3303"/>
      <c r="BD83" s="3303"/>
      <c r="BE83" s="3303"/>
      <c r="BF83" s="3303"/>
      <c r="BG83" s="3303"/>
      <c r="BH83" s="3303"/>
      <c r="BI83" s="3303"/>
      <c r="BJ83" s="3297">
        <v>51</v>
      </c>
      <c r="BK83" s="3298"/>
      <c r="BL83" s="3298"/>
      <c r="BM83" s="3298"/>
      <c r="BN83" s="3298"/>
      <c r="BO83" s="3298"/>
      <c r="BP83" s="3298"/>
      <c r="BQ83" s="3298"/>
      <c r="BR83" s="3298"/>
      <c r="BS83" s="3298"/>
      <c r="BT83" s="3298"/>
      <c r="BU83" s="3298"/>
      <c r="BV83" s="3298"/>
      <c r="BW83" s="3299"/>
      <c r="BX83" s="3300">
        <v>51</v>
      </c>
      <c r="BY83" s="3301"/>
      <c r="BZ83" s="3301"/>
      <c r="CA83" s="3301"/>
      <c r="CB83" s="3301"/>
      <c r="CC83" s="3301"/>
      <c r="CD83" s="3301"/>
      <c r="CE83" s="3301"/>
      <c r="CF83" s="3301"/>
      <c r="CG83" s="3301"/>
      <c r="CH83" s="3301"/>
      <c r="CI83" s="3301"/>
      <c r="CJ83" s="3301"/>
      <c r="CK83" s="3301"/>
      <c r="CL83" s="3283"/>
      <c r="CM83" s="3284"/>
      <c r="CN83" s="3284"/>
      <c r="CO83" s="3284"/>
      <c r="CP83" s="3284"/>
      <c r="CQ83" s="3284"/>
      <c r="CR83" s="3284"/>
      <c r="CS83" s="3284"/>
      <c r="CT83" s="3284"/>
      <c r="CU83" s="3284"/>
      <c r="CV83" s="3284"/>
      <c r="CW83" s="3284"/>
      <c r="CX83" s="3284"/>
      <c r="CY83" s="3285"/>
      <c r="DB83" s="3302">
        <v>51</v>
      </c>
      <c r="DC83" s="3303"/>
      <c r="DD83" s="3303"/>
      <c r="DE83" s="3303"/>
      <c r="DF83" s="3303"/>
      <c r="DG83" s="3303"/>
      <c r="DH83" s="3303"/>
      <c r="DI83" s="3303"/>
      <c r="DJ83" s="3297">
        <v>51</v>
      </c>
      <c r="DK83" s="3298"/>
      <c r="DL83" s="3298"/>
      <c r="DM83" s="3298"/>
      <c r="DN83" s="3298"/>
      <c r="DO83" s="3298"/>
      <c r="DP83" s="3298"/>
      <c r="DQ83" s="3298"/>
      <c r="DR83" s="3298"/>
      <c r="DS83" s="3298"/>
      <c r="DT83" s="3298"/>
      <c r="DU83" s="3298"/>
      <c r="DV83" s="3298"/>
      <c r="DW83" s="3299"/>
      <c r="DX83" s="3300">
        <v>51</v>
      </c>
      <c r="DY83" s="3301"/>
      <c r="DZ83" s="3301"/>
      <c r="EA83" s="3301"/>
      <c r="EB83" s="3301"/>
      <c r="EC83" s="3301"/>
      <c r="ED83" s="3301"/>
      <c r="EE83" s="3301"/>
      <c r="EF83" s="3301"/>
      <c r="EG83" s="3301"/>
      <c r="EH83" s="3301"/>
      <c r="EI83" s="3301"/>
      <c r="EJ83" s="3301"/>
    </row>
    <row r="84" spans="1:140">
      <c r="A84" s="3302">
        <v>50</v>
      </c>
      <c r="B84" s="3303"/>
      <c r="C84" s="3303"/>
      <c r="D84" s="3303"/>
      <c r="E84" s="3303"/>
      <c r="F84" s="3303"/>
      <c r="G84" s="3303"/>
      <c r="H84" s="3303"/>
      <c r="I84" s="3297">
        <v>50</v>
      </c>
      <c r="J84" s="3298"/>
      <c r="K84" s="3298"/>
      <c r="L84" s="3298"/>
      <c r="M84" s="3298"/>
      <c r="N84" s="3298"/>
      <c r="O84" s="3298"/>
      <c r="P84" s="3298"/>
      <c r="Q84" s="3298"/>
      <c r="R84" s="3298"/>
      <c r="S84" s="3298"/>
      <c r="T84" s="3298"/>
      <c r="U84" s="3298"/>
      <c r="V84" s="3299"/>
      <c r="W84" s="3300">
        <v>50</v>
      </c>
      <c r="X84" s="3301"/>
      <c r="Y84" s="3301"/>
      <c r="Z84" s="3301"/>
      <c r="AA84" s="3301"/>
      <c r="AB84" s="3301"/>
      <c r="AC84" s="3301"/>
      <c r="AD84" s="3301"/>
      <c r="AE84" s="3301"/>
      <c r="AF84" s="3301"/>
      <c r="AG84" s="3301"/>
      <c r="AH84" s="3301"/>
      <c r="AI84" s="3301"/>
      <c r="AJ84" s="3301"/>
      <c r="AK84" s="3283"/>
      <c r="AL84" s="3284"/>
      <c r="AM84" s="3284"/>
      <c r="AN84" s="3284"/>
      <c r="AO84" s="3284"/>
      <c r="AP84" s="3284"/>
      <c r="AQ84" s="3284"/>
      <c r="AR84" s="3284"/>
      <c r="AS84" s="3284"/>
      <c r="AT84" s="3284"/>
      <c r="AU84" s="3284"/>
      <c r="AV84" s="3284"/>
      <c r="AW84" s="3284"/>
      <c r="AX84" s="3285"/>
      <c r="BB84" s="3302">
        <v>50</v>
      </c>
      <c r="BC84" s="3303"/>
      <c r="BD84" s="3303"/>
      <c r="BE84" s="3303"/>
      <c r="BF84" s="3303"/>
      <c r="BG84" s="3303"/>
      <c r="BH84" s="3303"/>
      <c r="BI84" s="3303"/>
      <c r="BJ84" s="3297">
        <v>50</v>
      </c>
      <c r="BK84" s="3298"/>
      <c r="BL84" s="3298"/>
      <c r="BM84" s="3298"/>
      <c r="BN84" s="3298"/>
      <c r="BO84" s="3298"/>
      <c r="BP84" s="3298"/>
      <c r="BQ84" s="3298"/>
      <c r="BR84" s="3298"/>
      <c r="BS84" s="3298"/>
      <c r="BT84" s="3298"/>
      <c r="BU84" s="3298"/>
      <c r="BV84" s="3298"/>
      <c r="BW84" s="3299"/>
      <c r="BX84" s="3300">
        <v>50</v>
      </c>
      <c r="BY84" s="3301"/>
      <c r="BZ84" s="3301"/>
      <c r="CA84" s="3301"/>
      <c r="CB84" s="3301"/>
      <c r="CC84" s="3301"/>
      <c r="CD84" s="3301"/>
      <c r="CE84" s="3301"/>
      <c r="CF84" s="3301"/>
      <c r="CG84" s="3301"/>
      <c r="CH84" s="3301"/>
      <c r="CI84" s="3301"/>
      <c r="CJ84" s="3301"/>
      <c r="CK84" s="3301"/>
      <c r="CL84" s="3283"/>
      <c r="CM84" s="3284"/>
      <c r="CN84" s="3284"/>
      <c r="CO84" s="3284"/>
      <c r="CP84" s="3284"/>
      <c r="CQ84" s="3284"/>
      <c r="CR84" s="3284"/>
      <c r="CS84" s="3284"/>
      <c r="CT84" s="3284"/>
      <c r="CU84" s="3284"/>
      <c r="CV84" s="3284"/>
      <c r="CW84" s="3284"/>
      <c r="CX84" s="3284"/>
      <c r="CY84" s="3285"/>
      <c r="DB84" s="3302">
        <v>50</v>
      </c>
      <c r="DC84" s="3303"/>
      <c r="DD84" s="3303"/>
      <c r="DE84" s="3303"/>
      <c r="DF84" s="3303"/>
      <c r="DG84" s="3303"/>
      <c r="DH84" s="3303"/>
      <c r="DI84" s="3303"/>
      <c r="DJ84" s="3297">
        <v>50</v>
      </c>
      <c r="DK84" s="3298"/>
      <c r="DL84" s="3298"/>
      <c r="DM84" s="3298"/>
      <c r="DN84" s="3298"/>
      <c r="DO84" s="3298"/>
      <c r="DP84" s="3298"/>
      <c r="DQ84" s="3298"/>
      <c r="DR84" s="3298"/>
      <c r="DS84" s="3298"/>
      <c r="DT84" s="3298"/>
      <c r="DU84" s="3298"/>
      <c r="DV84" s="3298"/>
      <c r="DW84" s="3299"/>
      <c r="DX84" s="3300">
        <v>50</v>
      </c>
      <c r="DY84" s="3301"/>
      <c r="DZ84" s="3301"/>
      <c r="EA84" s="3301"/>
      <c r="EB84" s="3301"/>
      <c r="EC84" s="3301"/>
      <c r="ED84" s="3301"/>
      <c r="EE84" s="3301"/>
      <c r="EF84" s="3301"/>
      <c r="EG84" s="3301"/>
      <c r="EH84" s="3301"/>
      <c r="EI84" s="3301"/>
      <c r="EJ84" s="3301"/>
    </row>
    <row r="85" spans="1:140">
      <c r="A85" s="3302">
        <v>49</v>
      </c>
      <c r="B85" s="3303"/>
      <c r="C85" s="3303"/>
      <c r="D85" s="3303"/>
      <c r="E85" s="3303"/>
      <c r="F85" s="3303"/>
      <c r="G85" s="3303"/>
      <c r="H85" s="3303"/>
      <c r="I85" s="3297">
        <v>49</v>
      </c>
      <c r="J85" s="3298"/>
      <c r="K85" s="3298"/>
      <c r="L85" s="3298"/>
      <c r="M85" s="3298"/>
      <c r="N85" s="3298"/>
      <c r="O85" s="3298"/>
      <c r="P85" s="3298"/>
      <c r="Q85" s="3298"/>
      <c r="R85" s="3298"/>
      <c r="S85" s="3298"/>
      <c r="T85" s="3298"/>
      <c r="U85" s="3298"/>
      <c r="V85" s="3299"/>
      <c r="W85" s="3300">
        <v>49</v>
      </c>
      <c r="X85" s="3301"/>
      <c r="Y85" s="3301"/>
      <c r="Z85" s="3301"/>
      <c r="AA85" s="3301"/>
      <c r="AB85" s="3301"/>
      <c r="AC85" s="3301"/>
      <c r="AD85" s="3301"/>
      <c r="AE85" s="3301"/>
      <c r="AF85" s="3301"/>
      <c r="AG85" s="3301"/>
      <c r="AH85" s="3301"/>
      <c r="AI85" s="3301"/>
      <c r="AJ85" s="3301"/>
      <c r="AK85" s="3283"/>
      <c r="AL85" s="3284"/>
      <c r="AM85" s="3284"/>
      <c r="AN85" s="3284"/>
      <c r="AO85" s="3284"/>
      <c r="AP85" s="3284"/>
      <c r="AQ85" s="3284"/>
      <c r="AR85" s="3284"/>
      <c r="AS85" s="3284"/>
      <c r="AT85" s="3284"/>
      <c r="AU85" s="3284"/>
      <c r="AV85" s="3284"/>
      <c r="AW85" s="3284"/>
      <c r="AX85" s="3285"/>
      <c r="BB85" s="3302">
        <v>49</v>
      </c>
      <c r="BC85" s="3303"/>
      <c r="BD85" s="3303"/>
      <c r="BE85" s="3303"/>
      <c r="BF85" s="3303"/>
      <c r="BG85" s="3303"/>
      <c r="BH85" s="3303"/>
      <c r="BI85" s="3303"/>
      <c r="BJ85" s="3297">
        <v>49</v>
      </c>
      <c r="BK85" s="3298"/>
      <c r="BL85" s="3298"/>
      <c r="BM85" s="3298"/>
      <c r="BN85" s="3298"/>
      <c r="BO85" s="3298"/>
      <c r="BP85" s="3298"/>
      <c r="BQ85" s="3298"/>
      <c r="BR85" s="3298"/>
      <c r="BS85" s="3298"/>
      <c r="BT85" s="3298"/>
      <c r="BU85" s="3298"/>
      <c r="BV85" s="3298"/>
      <c r="BW85" s="3299"/>
      <c r="BX85" s="3300">
        <v>49</v>
      </c>
      <c r="BY85" s="3301"/>
      <c r="BZ85" s="3301"/>
      <c r="CA85" s="3301"/>
      <c r="CB85" s="3301"/>
      <c r="CC85" s="3301"/>
      <c r="CD85" s="3301"/>
      <c r="CE85" s="3301"/>
      <c r="CF85" s="3301"/>
      <c r="CG85" s="3301"/>
      <c r="CH85" s="3301"/>
      <c r="CI85" s="3301"/>
      <c r="CJ85" s="3301"/>
      <c r="CK85" s="3301"/>
      <c r="CL85" s="3283"/>
      <c r="CM85" s="3284"/>
      <c r="CN85" s="3284"/>
      <c r="CO85" s="3284"/>
      <c r="CP85" s="3284"/>
      <c r="CQ85" s="3284"/>
      <c r="CR85" s="3284"/>
      <c r="CS85" s="3284"/>
      <c r="CT85" s="3284"/>
      <c r="CU85" s="3284"/>
      <c r="CV85" s="3284"/>
      <c r="CW85" s="3284"/>
      <c r="CX85" s="3284"/>
      <c r="CY85" s="3285"/>
      <c r="DB85" s="3302">
        <v>49</v>
      </c>
      <c r="DC85" s="3303"/>
      <c r="DD85" s="3303"/>
      <c r="DE85" s="3303"/>
      <c r="DF85" s="3303"/>
      <c r="DG85" s="3303"/>
      <c r="DH85" s="3303"/>
      <c r="DI85" s="3303"/>
      <c r="DJ85" s="3297">
        <v>49</v>
      </c>
      <c r="DK85" s="3298"/>
      <c r="DL85" s="3298"/>
      <c r="DM85" s="3298"/>
      <c r="DN85" s="3298"/>
      <c r="DO85" s="3298"/>
      <c r="DP85" s="3298"/>
      <c r="DQ85" s="3298"/>
      <c r="DR85" s="3298"/>
      <c r="DS85" s="3298"/>
      <c r="DT85" s="3298"/>
      <c r="DU85" s="3298"/>
      <c r="DV85" s="3298"/>
      <c r="DW85" s="3299"/>
      <c r="DX85" s="3300">
        <v>49</v>
      </c>
      <c r="DY85" s="3301"/>
      <c r="DZ85" s="3301"/>
      <c r="EA85" s="3301"/>
      <c r="EB85" s="3301"/>
      <c r="EC85" s="3301"/>
      <c r="ED85" s="3301"/>
      <c r="EE85" s="3301"/>
      <c r="EF85" s="3301"/>
      <c r="EG85" s="3301"/>
      <c r="EH85" s="3301"/>
      <c r="EI85" s="3301"/>
      <c r="EJ85" s="3301"/>
    </row>
    <row r="86" spans="1:140">
      <c r="A86" s="3302">
        <v>47</v>
      </c>
      <c r="B86" s="3303"/>
      <c r="C86" s="3303"/>
      <c r="D86" s="3303"/>
      <c r="E86" s="3303"/>
      <c r="F86" s="3303"/>
      <c r="G86" s="3303"/>
      <c r="H86" s="3303"/>
      <c r="I86" s="3297">
        <v>47</v>
      </c>
      <c r="J86" s="3298"/>
      <c r="K86" s="3298"/>
      <c r="L86" s="3298"/>
      <c r="M86" s="3298"/>
      <c r="N86" s="3298"/>
      <c r="O86" s="3298"/>
      <c r="P86" s="3298"/>
      <c r="Q86" s="3298"/>
      <c r="R86" s="3298"/>
      <c r="S86" s="3298"/>
      <c r="T86" s="3298"/>
      <c r="U86" s="3298"/>
      <c r="V86" s="3299"/>
      <c r="W86" s="3300">
        <v>47</v>
      </c>
      <c r="X86" s="3301"/>
      <c r="Y86" s="3301"/>
      <c r="Z86" s="3301"/>
      <c r="AA86" s="3301"/>
      <c r="AB86" s="3301"/>
      <c r="AC86" s="3301"/>
      <c r="AD86" s="3301"/>
      <c r="AE86" s="3301"/>
      <c r="AF86" s="3301"/>
      <c r="AG86" s="3301"/>
      <c r="AH86" s="3301"/>
      <c r="AI86" s="3301"/>
      <c r="AJ86" s="3301"/>
      <c r="AK86" s="3283"/>
      <c r="AL86" s="3284"/>
      <c r="AM86" s="3284"/>
      <c r="AN86" s="3284"/>
      <c r="AO86" s="3284"/>
      <c r="AP86" s="3284"/>
      <c r="AQ86" s="3284"/>
      <c r="AR86" s="3284"/>
      <c r="AS86" s="3284"/>
      <c r="AT86" s="3284"/>
      <c r="AU86" s="3284"/>
      <c r="AV86" s="3284"/>
      <c r="AW86" s="3284"/>
      <c r="AX86" s="3285"/>
      <c r="BB86" s="3302">
        <v>47</v>
      </c>
      <c r="BC86" s="3303"/>
      <c r="BD86" s="3303"/>
      <c r="BE86" s="3303"/>
      <c r="BF86" s="3303"/>
      <c r="BG86" s="3303"/>
      <c r="BH86" s="3303"/>
      <c r="BI86" s="3303"/>
      <c r="BJ86" s="3297">
        <v>47</v>
      </c>
      <c r="BK86" s="3298"/>
      <c r="BL86" s="3298"/>
      <c r="BM86" s="3298"/>
      <c r="BN86" s="3298"/>
      <c r="BO86" s="3298"/>
      <c r="BP86" s="3298"/>
      <c r="BQ86" s="3298"/>
      <c r="BR86" s="3298"/>
      <c r="BS86" s="3298"/>
      <c r="BT86" s="3298"/>
      <c r="BU86" s="3298"/>
      <c r="BV86" s="3298"/>
      <c r="BW86" s="3299"/>
      <c r="BX86" s="3300">
        <v>47</v>
      </c>
      <c r="BY86" s="3301"/>
      <c r="BZ86" s="3301"/>
      <c r="CA86" s="3301"/>
      <c r="CB86" s="3301"/>
      <c r="CC86" s="3301"/>
      <c r="CD86" s="3301"/>
      <c r="CE86" s="3301"/>
      <c r="CF86" s="3301"/>
      <c r="CG86" s="3301"/>
      <c r="CH86" s="3301"/>
      <c r="CI86" s="3301"/>
      <c r="CJ86" s="3301"/>
      <c r="CK86" s="3301"/>
      <c r="CL86" s="3283"/>
      <c r="CM86" s="3284"/>
      <c r="CN86" s="3284"/>
      <c r="CO86" s="3284"/>
      <c r="CP86" s="3284"/>
      <c r="CQ86" s="3284"/>
      <c r="CR86" s="3284"/>
      <c r="CS86" s="3284"/>
      <c r="CT86" s="3284"/>
      <c r="CU86" s="3284"/>
      <c r="CV86" s="3284"/>
      <c r="CW86" s="3284"/>
      <c r="CX86" s="3284"/>
      <c r="CY86" s="3285"/>
      <c r="DB86" s="3302">
        <v>47</v>
      </c>
      <c r="DC86" s="3303"/>
      <c r="DD86" s="3303"/>
      <c r="DE86" s="3303"/>
      <c r="DF86" s="3303"/>
      <c r="DG86" s="3303"/>
      <c r="DH86" s="3303"/>
      <c r="DI86" s="3303"/>
      <c r="DJ86" s="3297">
        <v>47</v>
      </c>
      <c r="DK86" s="3298"/>
      <c r="DL86" s="3298"/>
      <c r="DM86" s="3298"/>
      <c r="DN86" s="3298"/>
      <c r="DO86" s="3298"/>
      <c r="DP86" s="3298"/>
      <c r="DQ86" s="3298"/>
      <c r="DR86" s="3298"/>
      <c r="DS86" s="3298"/>
      <c r="DT86" s="3298"/>
      <c r="DU86" s="3298"/>
      <c r="DV86" s="3298"/>
      <c r="DW86" s="3299"/>
      <c r="DX86" s="3300">
        <v>47</v>
      </c>
      <c r="DY86" s="3301"/>
      <c r="DZ86" s="3301"/>
      <c r="EA86" s="3301"/>
      <c r="EB86" s="3301"/>
      <c r="EC86" s="3301"/>
      <c r="ED86" s="3301"/>
      <c r="EE86" s="3301"/>
      <c r="EF86" s="3301"/>
      <c r="EG86" s="3301"/>
      <c r="EH86" s="3301"/>
      <c r="EI86" s="3301"/>
      <c r="EJ86" s="3301"/>
    </row>
    <row r="87" spans="1:140">
      <c r="A87" s="3302">
        <v>45</v>
      </c>
      <c r="B87" s="3303"/>
      <c r="C87" s="3303"/>
      <c r="D87" s="3303"/>
      <c r="E87" s="3303"/>
      <c r="F87" s="3303"/>
      <c r="G87" s="3303"/>
      <c r="H87" s="3303"/>
      <c r="I87" s="3297">
        <v>45</v>
      </c>
      <c r="J87" s="3298"/>
      <c r="K87" s="3298"/>
      <c r="L87" s="3298"/>
      <c r="M87" s="3298"/>
      <c r="N87" s="3298"/>
      <c r="O87" s="3298"/>
      <c r="P87" s="3298"/>
      <c r="Q87" s="3298"/>
      <c r="R87" s="3298"/>
      <c r="S87" s="3298"/>
      <c r="T87" s="3298"/>
      <c r="U87" s="3298"/>
      <c r="V87" s="3299"/>
      <c r="W87" s="3300">
        <v>45</v>
      </c>
      <c r="X87" s="3301"/>
      <c r="Y87" s="3301"/>
      <c r="Z87" s="3301"/>
      <c r="AA87" s="3301"/>
      <c r="AB87" s="3301"/>
      <c r="AC87" s="3301"/>
      <c r="AD87" s="3301"/>
      <c r="AE87" s="3301"/>
      <c r="AF87" s="3301"/>
      <c r="AG87" s="3301"/>
      <c r="AH87" s="3301"/>
      <c r="AI87" s="3301"/>
      <c r="AJ87" s="3301"/>
      <c r="AK87" s="3286"/>
      <c r="AL87" s="3287"/>
      <c r="AM87" s="3287"/>
      <c r="AN87" s="3287"/>
      <c r="AO87" s="3287"/>
      <c r="AP87" s="3287"/>
      <c r="AQ87" s="3287"/>
      <c r="AR87" s="3287"/>
      <c r="AS87" s="3287"/>
      <c r="AT87" s="3287"/>
      <c r="AU87" s="3287"/>
      <c r="AV87" s="3287"/>
      <c r="AW87" s="3287"/>
      <c r="AX87" s="3288"/>
      <c r="BB87" s="3302">
        <v>45</v>
      </c>
      <c r="BC87" s="3303"/>
      <c r="BD87" s="3303"/>
      <c r="BE87" s="3303"/>
      <c r="BF87" s="3303"/>
      <c r="BG87" s="3303"/>
      <c r="BH87" s="3303"/>
      <c r="BI87" s="3303"/>
      <c r="BJ87" s="3297">
        <v>45</v>
      </c>
      <c r="BK87" s="3298"/>
      <c r="BL87" s="3298"/>
      <c r="BM87" s="3298"/>
      <c r="BN87" s="3298"/>
      <c r="BO87" s="3298"/>
      <c r="BP87" s="3298"/>
      <c r="BQ87" s="3298"/>
      <c r="BR87" s="3298"/>
      <c r="BS87" s="3298"/>
      <c r="BT87" s="3298"/>
      <c r="BU87" s="3298"/>
      <c r="BV87" s="3298"/>
      <c r="BW87" s="3299"/>
      <c r="BX87" s="3300">
        <v>45</v>
      </c>
      <c r="BY87" s="3301"/>
      <c r="BZ87" s="3301"/>
      <c r="CA87" s="3301"/>
      <c r="CB87" s="3301"/>
      <c r="CC87" s="3301"/>
      <c r="CD87" s="3301"/>
      <c r="CE87" s="3301"/>
      <c r="CF87" s="3301"/>
      <c r="CG87" s="3301"/>
      <c r="CH87" s="3301"/>
      <c r="CI87" s="3301"/>
      <c r="CJ87" s="3301"/>
      <c r="CK87" s="3301"/>
      <c r="CL87" s="3286"/>
      <c r="CM87" s="3287"/>
      <c r="CN87" s="3287"/>
      <c r="CO87" s="3287"/>
      <c r="CP87" s="3287"/>
      <c r="CQ87" s="3287"/>
      <c r="CR87" s="3287"/>
      <c r="CS87" s="3287"/>
      <c r="CT87" s="3287"/>
      <c r="CU87" s="3287"/>
      <c r="CV87" s="3287"/>
      <c r="CW87" s="3287"/>
      <c r="CX87" s="3287"/>
      <c r="CY87" s="3288"/>
      <c r="DB87" s="3302">
        <v>45</v>
      </c>
      <c r="DC87" s="3303"/>
      <c r="DD87" s="3303"/>
      <c r="DE87" s="3303"/>
      <c r="DF87" s="3303"/>
      <c r="DG87" s="3303"/>
      <c r="DH87" s="3303"/>
      <c r="DI87" s="3303"/>
      <c r="DJ87" s="3297">
        <v>45</v>
      </c>
      <c r="DK87" s="3298"/>
      <c r="DL87" s="3298"/>
      <c r="DM87" s="3298"/>
      <c r="DN87" s="3298"/>
      <c r="DO87" s="3298"/>
      <c r="DP87" s="3298"/>
      <c r="DQ87" s="3298"/>
      <c r="DR87" s="3298"/>
      <c r="DS87" s="3298"/>
      <c r="DT87" s="3298"/>
      <c r="DU87" s="3298"/>
      <c r="DV87" s="3298"/>
      <c r="DW87" s="3299"/>
      <c r="DX87" s="3300">
        <v>45</v>
      </c>
      <c r="DY87" s="3301"/>
      <c r="DZ87" s="3301"/>
      <c r="EA87" s="3301"/>
      <c r="EB87" s="3301"/>
      <c r="EC87" s="3301"/>
      <c r="ED87" s="3301"/>
      <c r="EE87" s="3301"/>
      <c r="EF87" s="3301"/>
      <c r="EG87" s="3301"/>
      <c r="EH87" s="3301"/>
      <c r="EI87" s="3301"/>
      <c r="EJ87" s="3301"/>
    </row>
    <row r="88" spans="1:140">
      <c r="A88" s="914"/>
      <c r="B88" s="914"/>
      <c r="C88" s="914"/>
      <c r="D88" s="914"/>
      <c r="E88" s="914"/>
      <c r="F88" s="914"/>
      <c r="G88" s="914"/>
      <c r="H88" s="914"/>
      <c r="I88" s="914"/>
      <c r="J88" s="914"/>
      <c r="K88" s="914"/>
      <c r="L88" s="914"/>
      <c r="M88" s="914"/>
      <c r="N88" s="914"/>
      <c r="O88" s="914"/>
      <c r="P88" s="914"/>
      <c r="Q88" s="914"/>
      <c r="R88" s="914"/>
      <c r="S88" s="914"/>
      <c r="T88" s="914"/>
      <c r="U88" s="914"/>
      <c r="V88" s="914"/>
      <c r="W88" s="914"/>
      <c r="X88" s="914"/>
      <c r="Y88" s="914"/>
      <c r="Z88" s="914"/>
      <c r="AA88" s="914"/>
      <c r="AB88" s="914"/>
      <c r="AC88" s="914"/>
      <c r="AD88" s="914"/>
      <c r="AE88" s="914"/>
      <c r="AF88" s="914"/>
      <c r="AG88" s="914"/>
      <c r="AH88" s="914"/>
      <c r="AI88" s="914"/>
      <c r="AJ88" s="914"/>
      <c r="AK88" s="914"/>
      <c r="AL88" s="914"/>
      <c r="AM88" s="914"/>
      <c r="AN88" s="914"/>
      <c r="AO88" s="914"/>
      <c r="AP88" s="914"/>
      <c r="AQ88" s="914"/>
      <c r="AR88" s="914"/>
      <c r="AS88" s="914"/>
      <c r="AT88" s="914"/>
      <c r="AU88" s="914"/>
      <c r="AV88" s="914"/>
      <c r="AW88" s="914"/>
      <c r="AX88" s="914"/>
      <c r="BB88" s="914"/>
      <c r="BC88" s="914"/>
      <c r="BD88" s="914"/>
      <c r="BE88" s="914"/>
      <c r="BF88" s="914"/>
      <c r="BG88" s="914"/>
      <c r="BH88" s="914"/>
      <c r="BI88" s="914"/>
      <c r="BJ88" s="914"/>
      <c r="BK88" s="914"/>
      <c r="BL88" s="914"/>
      <c r="BM88" s="914"/>
      <c r="BN88" s="914"/>
      <c r="BO88" s="914"/>
      <c r="BP88" s="914"/>
      <c r="BQ88" s="914"/>
      <c r="BR88" s="914"/>
      <c r="BS88" s="914"/>
      <c r="BT88" s="914"/>
      <c r="BU88" s="914"/>
      <c r="BV88" s="914"/>
      <c r="BW88" s="914"/>
      <c r="BX88" s="914"/>
      <c r="BY88" s="914"/>
      <c r="BZ88" s="914"/>
      <c r="CA88" s="914"/>
      <c r="CB88" s="914"/>
      <c r="CC88" s="914"/>
      <c r="CD88" s="914"/>
      <c r="CE88" s="914"/>
      <c r="CF88" s="914"/>
      <c r="CG88" s="914"/>
      <c r="CH88" s="914"/>
      <c r="CI88" s="914"/>
      <c r="CJ88" s="914"/>
      <c r="CK88" s="914"/>
      <c r="CL88" s="914"/>
      <c r="CM88" s="914"/>
      <c r="CN88" s="914"/>
      <c r="CO88" s="914"/>
      <c r="CP88" s="914"/>
      <c r="CQ88" s="914"/>
      <c r="CR88" s="914"/>
      <c r="CS88" s="914"/>
      <c r="CT88" s="914"/>
      <c r="CU88" s="914"/>
      <c r="CV88" s="914"/>
      <c r="CW88" s="914"/>
      <c r="CX88" s="914"/>
      <c r="CY88" s="914"/>
      <c r="DB88" s="914"/>
      <c r="DC88" s="914"/>
      <c r="DD88" s="914"/>
      <c r="DE88" s="914"/>
      <c r="DF88" s="914"/>
      <c r="DG88" s="914"/>
      <c r="DH88" s="914"/>
      <c r="DI88" s="914"/>
      <c r="DJ88" s="914"/>
      <c r="DK88" s="914"/>
      <c r="DL88" s="914"/>
      <c r="DM88" s="914"/>
      <c r="DN88" s="914"/>
      <c r="DO88" s="914"/>
      <c r="DP88" s="914"/>
      <c r="DQ88" s="914"/>
      <c r="DR88" s="914"/>
      <c r="DS88" s="914"/>
      <c r="DT88" s="914"/>
      <c r="DU88" s="914"/>
      <c r="DV88" s="914"/>
      <c r="DW88" s="914"/>
      <c r="DX88" s="914"/>
      <c r="DY88" s="914"/>
      <c r="DZ88" s="914"/>
      <c r="EA88" s="914"/>
      <c r="EB88" s="914"/>
      <c r="EC88" s="914"/>
      <c r="ED88" s="914"/>
      <c r="EE88" s="914"/>
      <c r="EF88" s="914"/>
      <c r="EG88" s="914"/>
      <c r="EH88" s="914"/>
      <c r="EI88" s="914"/>
      <c r="EJ88" s="914"/>
    </row>
    <row r="89" spans="1:140" ht="16.5">
      <c r="A89" s="3294" t="s">
        <v>2409</v>
      </c>
      <c r="B89" s="3295"/>
      <c r="C89" s="3292" t="s">
        <v>2410</v>
      </c>
      <c r="D89" s="3292"/>
      <c r="E89" s="3292"/>
      <c r="F89" s="3292"/>
      <c r="G89" s="3292"/>
      <c r="H89" s="909" t="s">
        <v>2411</v>
      </c>
      <c r="I89" s="910" t="s">
        <v>2412</v>
      </c>
      <c r="J89" s="911" t="s">
        <v>2413</v>
      </c>
      <c r="K89" s="909" t="s">
        <v>2414</v>
      </c>
      <c r="L89" s="3296">
        <f>J26</f>
        <v>0</v>
      </c>
      <c r="M89" s="3296"/>
      <c r="N89" s="3296"/>
      <c r="O89" s="3296"/>
      <c r="P89" s="3296"/>
      <c r="Q89" s="909" t="s">
        <v>2415</v>
      </c>
      <c r="R89" s="910" t="s">
        <v>2416</v>
      </c>
      <c r="S89" s="911" t="s">
        <v>2413</v>
      </c>
      <c r="T89" s="909" t="s">
        <v>2414</v>
      </c>
      <c r="U89" s="3289">
        <f>J36</f>
        <v>0</v>
      </c>
      <c r="V89" s="3289"/>
      <c r="W89" s="3289"/>
      <c r="X89" s="3289"/>
      <c r="Y89" s="909" t="s">
        <v>2415</v>
      </c>
      <c r="Z89" s="908" t="s">
        <v>2417</v>
      </c>
      <c r="AA89" s="908"/>
      <c r="AB89" s="908"/>
      <c r="AC89" s="3290" t="e">
        <f>[27]信息!#REF!</f>
        <v>#REF!</v>
      </c>
      <c r="AD89" s="3290"/>
      <c r="AE89" s="3290"/>
      <c r="AF89" s="909" t="s">
        <v>2418</v>
      </c>
      <c r="AG89" s="909"/>
      <c r="AH89" s="909" t="s">
        <v>2419</v>
      </c>
      <c r="AI89" s="909"/>
      <c r="AJ89" s="909"/>
      <c r="AK89" s="909"/>
      <c r="AL89" s="909"/>
      <c r="AM89" s="909"/>
      <c r="AN89" s="909"/>
      <c r="AO89" s="909"/>
      <c r="AP89" s="909"/>
      <c r="AQ89" s="909"/>
      <c r="AR89" s="909"/>
      <c r="AS89" s="909"/>
      <c r="AT89" s="909"/>
      <c r="AU89" s="909"/>
      <c r="AV89" s="909"/>
      <c r="AW89" s="909"/>
      <c r="AX89" s="912"/>
      <c r="BB89" s="3294" t="s">
        <v>2409</v>
      </c>
      <c r="BC89" s="3295"/>
      <c r="BD89" s="3292" t="s">
        <v>2410</v>
      </c>
      <c r="BE89" s="3292"/>
      <c r="BF89" s="3292"/>
      <c r="BG89" s="3292"/>
      <c r="BH89" s="3292"/>
      <c r="BI89" s="909" t="s">
        <v>2411</v>
      </c>
      <c r="BJ89" s="910" t="s">
        <v>2412</v>
      </c>
      <c r="BK89" s="911" t="s">
        <v>2413</v>
      </c>
      <c r="BL89" s="909" t="s">
        <v>2414</v>
      </c>
      <c r="BM89" s="3296">
        <f>BK26</f>
        <v>0</v>
      </c>
      <c r="BN89" s="3296"/>
      <c r="BO89" s="3296"/>
      <c r="BP89" s="3296"/>
      <c r="BQ89" s="3296"/>
      <c r="BR89" s="909" t="s">
        <v>2415</v>
      </c>
      <c r="BS89" s="910" t="s">
        <v>2416</v>
      </c>
      <c r="BT89" s="911" t="s">
        <v>2413</v>
      </c>
      <c r="BU89" s="909" t="s">
        <v>2414</v>
      </c>
      <c r="BV89" s="3289">
        <f>BK36</f>
        <v>0</v>
      </c>
      <c r="BW89" s="3289"/>
      <c r="BX89" s="3289"/>
      <c r="BY89" s="3289"/>
      <c r="BZ89" s="909" t="s">
        <v>2415</v>
      </c>
      <c r="CA89" s="908" t="s">
        <v>2417</v>
      </c>
      <c r="CB89" s="908"/>
      <c r="CC89" s="908"/>
      <c r="CD89" s="3290" t="e">
        <f>[27]信息!#REF!</f>
        <v>#REF!</v>
      </c>
      <c r="CE89" s="3290"/>
      <c r="CF89" s="3290"/>
      <c r="CG89" s="909" t="s">
        <v>2418</v>
      </c>
      <c r="CH89" s="909"/>
      <c r="CI89" s="909" t="s">
        <v>2419</v>
      </c>
      <c r="CJ89" s="909"/>
      <c r="CK89" s="909"/>
      <c r="CL89" s="909"/>
      <c r="CM89" s="909"/>
      <c r="CN89" s="909"/>
      <c r="CO89" s="909"/>
      <c r="CP89" s="909"/>
      <c r="CQ89" s="909"/>
      <c r="CR89" s="909"/>
      <c r="CS89" s="909"/>
      <c r="CT89" s="909"/>
      <c r="CU89" s="909"/>
      <c r="CV89" s="909"/>
      <c r="CW89" s="909"/>
      <c r="CX89" s="909"/>
      <c r="CY89" s="912"/>
      <c r="DB89" s="3294" t="s">
        <v>2409</v>
      </c>
      <c r="DC89" s="3295"/>
      <c r="DD89" s="3292" t="s">
        <v>2410</v>
      </c>
      <c r="DE89" s="3292"/>
      <c r="DF89" s="3292"/>
      <c r="DG89" s="3292"/>
      <c r="DH89" s="3292"/>
      <c r="DI89" s="909" t="s">
        <v>2411</v>
      </c>
      <c r="DJ89" s="910" t="s">
        <v>2412</v>
      </c>
      <c r="DK89" s="911" t="s">
        <v>2413</v>
      </c>
      <c r="DL89" s="909" t="s">
        <v>2414</v>
      </c>
      <c r="DM89" s="3296">
        <f>DK26</f>
        <v>0</v>
      </c>
      <c r="DN89" s="3296"/>
      <c r="DO89" s="3296"/>
      <c r="DP89" s="3296"/>
      <c r="DQ89" s="3296"/>
      <c r="DR89" s="909" t="s">
        <v>2415</v>
      </c>
      <c r="DS89" s="910" t="s">
        <v>2416</v>
      </c>
      <c r="DT89" s="911" t="s">
        <v>2413</v>
      </c>
      <c r="DU89" s="909" t="s">
        <v>2414</v>
      </c>
      <c r="DV89" s="3289">
        <f>DK36</f>
        <v>0</v>
      </c>
      <c r="DW89" s="3289"/>
      <c r="DX89" s="3289"/>
      <c r="DY89" s="3289"/>
      <c r="DZ89" s="909" t="s">
        <v>2415</v>
      </c>
      <c r="EA89" s="908" t="s">
        <v>2417</v>
      </c>
      <c r="EB89" s="908"/>
      <c r="EC89" s="908"/>
      <c r="ED89" s="3290" t="e">
        <f>[27]信息!#REF!</f>
        <v>#REF!</v>
      </c>
      <c r="EE89" s="3290"/>
      <c r="EF89" s="3290"/>
      <c r="EG89" s="909" t="s">
        <v>2418</v>
      </c>
      <c r="EH89" s="909"/>
      <c r="EI89" s="909" t="s">
        <v>2419</v>
      </c>
      <c r="EJ89" s="909"/>
    </row>
    <row r="90" spans="1:140">
      <c r="A90" s="3291" t="s">
        <v>2420</v>
      </c>
      <c r="B90" s="3292"/>
      <c r="C90" s="3292"/>
      <c r="D90" s="3292"/>
      <c r="E90" s="3292"/>
      <c r="F90" s="3292"/>
      <c r="G90" s="3292"/>
      <c r="H90" s="3293"/>
      <c r="I90" s="3291" t="s">
        <v>1949</v>
      </c>
      <c r="J90" s="3292"/>
      <c r="K90" s="3292"/>
      <c r="L90" s="3292"/>
      <c r="M90" s="3292"/>
      <c r="N90" s="3292"/>
      <c r="O90" s="3292"/>
      <c r="P90" s="3292"/>
      <c r="Q90" s="3292"/>
      <c r="R90" s="3292"/>
      <c r="S90" s="3292"/>
      <c r="T90" s="3292"/>
      <c r="U90" s="3292"/>
      <c r="V90" s="3293"/>
      <c r="W90" s="3291" t="s">
        <v>1948</v>
      </c>
      <c r="X90" s="3292"/>
      <c r="Y90" s="3292"/>
      <c r="Z90" s="3292"/>
      <c r="AA90" s="3292"/>
      <c r="AB90" s="3292"/>
      <c r="AC90" s="3292"/>
      <c r="AD90" s="3292"/>
      <c r="AE90" s="3292"/>
      <c r="AF90" s="3292"/>
      <c r="AG90" s="3292"/>
      <c r="AH90" s="3292"/>
      <c r="AI90" s="3292"/>
      <c r="AJ90" s="3292"/>
      <c r="AK90" s="3291" t="s">
        <v>2421</v>
      </c>
      <c r="AL90" s="3292"/>
      <c r="AM90" s="3292"/>
      <c r="AN90" s="3292"/>
      <c r="AO90" s="3292"/>
      <c r="AP90" s="3292"/>
      <c r="AQ90" s="3292"/>
      <c r="AR90" s="3292"/>
      <c r="AS90" s="3292"/>
      <c r="AT90" s="3292"/>
      <c r="AU90" s="3292"/>
      <c r="AV90" s="3292"/>
      <c r="AW90" s="3292"/>
      <c r="AX90" s="3293"/>
      <c r="BB90" s="3291" t="s">
        <v>2420</v>
      </c>
      <c r="BC90" s="3292"/>
      <c r="BD90" s="3292"/>
      <c r="BE90" s="3292"/>
      <c r="BF90" s="3292"/>
      <c r="BG90" s="3292"/>
      <c r="BH90" s="3292"/>
      <c r="BI90" s="3293"/>
      <c r="BJ90" s="3291" t="s">
        <v>1949</v>
      </c>
      <c r="BK90" s="3292"/>
      <c r="BL90" s="3292"/>
      <c r="BM90" s="3292"/>
      <c r="BN90" s="3292"/>
      <c r="BO90" s="3292"/>
      <c r="BP90" s="3292"/>
      <c r="BQ90" s="3292"/>
      <c r="BR90" s="3292"/>
      <c r="BS90" s="3292"/>
      <c r="BT90" s="3292"/>
      <c r="BU90" s="3292"/>
      <c r="BV90" s="3292"/>
      <c r="BW90" s="3293"/>
      <c r="BX90" s="3291" t="s">
        <v>1948</v>
      </c>
      <c r="BY90" s="3292"/>
      <c r="BZ90" s="3292"/>
      <c r="CA90" s="3292"/>
      <c r="CB90" s="3292"/>
      <c r="CC90" s="3292"/>
      <c r="CD90" s="3292"/>
      <c r="CE90" s="3292"/>
      <c r="CF90" s="3292"/>
      <c r="CG90" s="3292"/>
      <c r="CH90" s="3292"/>
      <c r="CI90" s="3292"/>
      <c r="CJ90" s="3292"/>
      <c r="CK90" s="3292"/>
      <c r="CL90" s="3291" t="s">
        <v>2421</v>
      </c>
      <c r="CM90" s="3292"/>
      <c r="CN90" s="3292"/>
      <c r="CO90" s="3292"/>
      <c r="CP90" s="3292"/>
      <c r="CQ90" s="3292"/>
      <c r="CR90" s="3292"/>
      <c r="CS90" s="3292"/>
      <c r="CT90" s="3292"/>
      <c r="CU90" s="3292"/>
      <c r="CV90" s="3292"/>
      <c r="CW90" s="3292"/>
      <c r="CX90" s="3292"/>
      <c r="CY90" s="3293"/>
      <c r="DB90" s="3291" t="s">
        <v>2420</v>
      </c>
      <c r="DC90" s="3292"/>
      <c r="DD90" s="3292"/>
      <c r="DE90" s="3292"/>
      <c r="DF90" s="3292"/>
      <c r="DG90" s="3292"/>
      <c r="DH90" s="3292"/>
      <c r="DI90" s="3293"/>
      <c r="DJ90" s="3291" t="s">
        <v>1949</v>
      </c>
      <c r="DK90" s="3292"/>
      <c r="DL90" s="3292"/>
      <c r="DM90" s="3292"/>
      <c r="DN90" s="3292"/>
      <c r="DO90" s="3292"/>
      <c r="DP90" s="3292"/>
      <c r="DQ90" s="3292"/>
      <c r="DR90" s="3292"/>
      <c r="DS90" s="3292"/>
      <c r="DT90" s="3292"/>
      <c r="DU90" s="3292"/>
      <c r="DV90" s="3292"/>
      <c r="DW90" s="3293"/>
      <c r="DX90" s="3291" t="s">
        <v>1948</v>
      </c>
      <c r="DY90" s="3292"/>
      <c r="DZ90" s="3292"/>
      <c r="EA90" s="3292"/>
      <c r="EB90" s="3292"/>
      <c r="EC90" s="3292"/>
      <c r="ED90" s="3292"/>
      <c r="EE90" s="3292"/>
      <c r="EF90" s="3292"/>
      <c r="EG90" s="3292"/>
      <c r="EH90" s="3292"/>
      <c r="EI90" s="3292"/>
      <c r="EJ90" s="3292"/>
    </row>
    <row r="91" spans="1:140">
      <c r="A91" s="3276">
        <v>0.5</v>
      </c>
      <c r="B91" s="3277"/>
      <c r="C91" s="3277"/>
      <c r="D91" s="3277"/>
      <c r="E91" s="3277"/>
      <c r="F91" s="915" t="s">
        <v>2422</v>
      </c>
      <c r="G91" s="916"/>
      <c r="H91" s="917"/>
      <c r="I91" s="3278">
        <v>0.49939</v>
      </c>
      <c r="J91" s="3279"/>
      <c r="K91" s="3279"/>
      <c r="L91" s="3279"/>
      <c r="M91" s="3279"/>
      <c r="N91" s="3279"/>
      <c r="O91" s="3279"/>
      <c r="P91" s="3279"/>
      <c r="Q91" s="3279"/>
      <c r="R91" s="918" t="s">
        <v>2422</v>
      </c>
      <c r="S91" s="918"/>
      <c r="T91" s="918"/>
      <c r="U91" s="918"/>
      <c r="V91" s="919"/>
      <c r="W91" s="3274">
        <v>0.501</v>
      </c>
      <c r="X91" s="3275"/>
      <c r="Y91" s="3275"/>
      <c r="Z91" s="3275"/>
      <c r="AA91" s="3275"/>
      <c r="AB91" s="3275"/>
      <c r="AC91" s="3275"/>
      <c r="AD91" s="3275"/>
      <c r="AE91" s="3275"/>
      <c r="AF91" s="918" t="s">
        <v>2422</v>
      </c>
      <c r="AG91" s="918"/>
      <c r="AH91" s="918"/>
      <c r="AI91" s="918"/>
      <c r="AJ91" s="920"/>
      <c r="AK91" s="3280" t="s">
        <v>2423</v>
      </c>
      <c r="AL91" s="3281"/>
      <c r="AM91" s="3281"/>
      <c r="AN91" s="3281"/>
      <c r="AO91" s="3281"/>
      <c r="AP91" s="3281"/>
      <c r="AQ91" s="3281"/>
      <c r="AR91" s="3281"/>
      <c r="AS91" s="3281"/>
      <c r="AT91" s="3281"/>
      <c r="AU91" s="3281"/>
      <c r="AV91" s="3281"/>
      <c r="AW91" s="3281"/>
      <c r="AX91" s="3282"/>
      <c r="BB91" s="3276">
        <v>0.5</v>
      </c>
      <c r="BC91" s="3277"/>
      <c r="BD91" s="3277"/>
      <c r="BE91" s="3277"/>
      <c r="BF91" s="3277"/>
      <c r="BG91" s="915" t="s">
        <v>2422</v>
      </c>
      <c r="BH91" s="916"/>
      <c r="BI91" s="917"/>
      <c r="BJ91" s="3278">
        <v>0.49939</v>
      </c>
      <c r="BK91" s="3279"/>
      <c r="BL91" s="3279"/>
      <c r="BM91" s="3279"/>
      <c r="BN91" s="3279"/>
      <c r="BO91" s="3279"/>
      <c r="BP91" s="3279"/>
      <c r="BQ91" s="3279"/>
      <c r="BR91" s="3279"/>
      <c r="BS91" s="918" t="s">
        <v>2422</v>
      </c>
      <c r="BT91" s="918"/>
      <c r="BU91" s="918"/>
      <c r="BV91" s="918"/>
      <c r="BW91" s="919"/>
      <c r="BX91" s="3274">
        <v>0.501</v>
      </c>
      <c r="BY91" s="3275"/>
      <c r="BZ91" s="3275"/>
      <c r="CA91" s="3275"/>
      <c r="CB91" s="3275"/>
      <c r="CC91" s="3275"/>
      <c r="CD91" s="3275"/>
      <c r="CE91" s="3275"/>
      <c r="CF91" s="3275"/>
      <c r="CG91" s="918" t="s">
        <v>2422</v>
      </c>
      <c r="CH91" s="918"/>
      <c r="CI91" s="918"/>
      <c r="CJ91" s="918"/>
      <c r="CK91" s="920"/>
      <c r="CL91" s="3280" t="s">
        <v>2423</v>
      </c>
      <c r="CM91" s="3281"/>
      <c r="CN91" s="3281"/>
      <c r="CO91" s="3281"/>
      <c r="CP91" s="3281"/>
      <c r="CQ91" s="3281"/>
      <c r="CR91" s="3281"/>
      <c r="CS91" s="3281"/>
      <c r="CT91" s="3281"/>
      <c r="CU91" s="3281"/>
      <c r="CV91" s="3281"/>
      <c r="CW91" s="3281"/>
      <c r="CX91" s="3281"/>
      <c r="CY91" s="3282"/>
      <c r="DB91" s="3276">
        <v>0.5</v>
      </c>
      <c r="DC91" s="3277"/>
      <c r="DD91" s="3277"/>
      <c r="DE91" s="3277"/>
      <c r="DF91" s="3277"/>
      <c r="DG91" s="915" t="s">
        <v>2422</v>
      </c>
      <c r="DH91" s="916"/>
      <c r="DI91" s="917"/>
      <c r="DJ91" s="3278">
        <v>0.49939</v>
      </c>
      <c r="DK91" s="3279"/>
      <c r="DL91" s="3279"/>
      <c r="DM91" s="3279"/>
      <c r="DN91" s="3279"/>
      <c r="DO91" s="3279"/>
      <c r="DP91" s="3279"/>
      <c r="DQ91" s="3279"/>
      <c r="DR91" s="3279"/>
      <c r="DS91" s="918" t="s">
        <v>2422</v>
      </c>
      <c r="DT91" s="918"/>
      <c r="DU91" s="918"/>
      <c r="DV91" s="918"/>
      <c r="DW91" s="919"/>
      <c r="DX91" s="3274">
        <v>0.501</v>
      </c>
      <c r="DY91" s="3275"/>
      <c r="DZ91" s="3275"/>
      <c r="EA91" s="3275"/>
      <c r="EB91" s="3275"/>
      <c r="EC91" s="3275"/>
      <c r="ED91" s="3275"/>
      <c r="EE91" s="3275"/>
      <c r="EF91" s="3275"/>
      <c r="EG91" s="918" t="s">
        <v>2422</v>
      </c>
      <c r="EH91" s="918"/>
      <c r="EI91" s="918"/>
      <c r="EJ91" s="918"/>
    </row>
    <row r="92" spans="1:140">
      <c r="A92" s="3276">
        <v>0.86599999999999999</v>
      </c>
      <c r="B92" s="3277"/>
      <c r="C92" s="3277"/>
      <c r="D92" s="3277"/>
      <c r="E92" s="3277"/>
      <c r="F92" s="921" t="s">
        <v>2422</v>
      </c>
      <c r="G92" s="922"/>
      <c r="H92" s="923"/>
      <c r="I92" s="3278">
        <v>0.86577000000000004</v>
      </c>
      <c r="J92" s="3279"/>
      <c r="K92" s="3279"/>
      <c r="L92" s="3279"/>
      <c r="M92" s="3279"/>
      <c r="N92" s="3279"/>
      <c r="O92" s="3279"/>
      <c r="P92" s="3279"/>
      <c r="Q92" s="3279"/>
      <c r="R92" s="918" t="s">
        <v>2422</v>
      </c>
      <c r="S92" s="918"/>
      <c r="T92" s="918"/>
      <c r="U92" s="918"/>
      <c r="V92" s="919"/>
      <c r="W92" s="3274">
        <v>0.86680000000000001</v>
      </c>
      <c r="X92" s="3275"/>
      <c r="Y92" s="3275"/>
      <c r="Z92" s="3275"/>
      <c r="AA92" s="3275"/>
      <c r="AB92" s="3275"/>
      <c r="AC92" s="3275"/>
      <c r="AD92" s="3275"/>
      <c r="AE92" s="3275"/>
      <c r="AF92" s="918" t="s">
        <v>2422</v>
      </c>
      <c r="AG92" s="918"/>
      <c r="AH92" s="918"/>
      <c r="AI92" s="918"/>
      <c r="AJ92" s="920"/>
      <c r="AK92" s="3283"/>
      <c r="AL92" s="3284"/>
      <c r="AM92" s="3284"/>
      <c r="AN92" s="3284"/>
      <c r="AO92" s="3284"/>
      <c r="AP92" s="3284"/>
      <c r="AQ92" s="3284"/>
      <c r="AR92" s="3284"/>
      <c r="AS92" s="3284"/>
      <c r="AT92" s="3284"/>
      <c r="AU92" s="3284"/>
      <c r="AV92" s="3284"/>
      <c r="AW92" s="3284"/>
      <c r="AX92" s="3285"/>
      <c r="BB92" s="3276">
        <v>0.86599999999999999</v>
      </c>
      <c r="BC92" s="3277"/>
      <c r="BD92" s="3277"/>
      <c r="BE92" s="3277"/>
      <c r="BF92" s="3277"/>
      <c r="BG92" s="921" t="s">
        <v>2422</v>
      </c>
      <c r="BH92" s="922"/>
      <c r="BI92" s="923"/>
      <c r="BJ92" s="3278">
        <v>0.86577000000000004</v>
      </c>
      <c r="BK92" s="3279"/>
      <c r="BL92" s="3279"/>
      <c r="BM92" s="3279"/>
      <c r="BN92" s="3279"/>
      <c r="BO92" s="3279"/>
      <c r="BP92" s="3279"/>
      <c r="BQ92" s="3279"/>
      <c r="BR92" s="3279"/>
      <c r="BS92" s="918" t="s">
        <v>2422</v>
      </c>
      <c r="BT92" s="918"/>
      <c r="BU92" s="918"/>
      <c r="BV92" s="918"/>
      <c r="BW92" s="919"/>
      <c r="BX92" s="3274">
        <v>0.86680000000000001</v>
      </c>
      <c r="BY92" s="3275"/>
      <c r="BZ92" s="3275"/>
      <c r="CA92" s="3275"/>
      <c r="CB92" s="3275"/>
      <c r="CC92" s="3275"/>
      <c r="CD92" s="3275"/>
      <c r="CE92" s="3275"/>
      <c r="CF92" s="3275"/>
      <c r="CG92" s="918" t="s">
        <v>2422</v>
      </c>
      <c r="CH92" s="918"/>
      <c r="CI92" s="918"/>
      <c r="CJ92" s="918"/>
      <c r="CK92" s="920"/>
      <c r="CL92" s="3283"/>
      <c r="CM92" s="3284"/>
      <c r="CN92" s="3284"/>
      <c r="CO92" s="3284"/>
      <c r="CP92" s="3284"/>
      <c r="CQ92" s="3284"/>
      <c r="CR92" s="3284"/>
      <c r="CS92" s="3284"/>
      <c r="CT92" s="3284"/>
      <c r="CU92" s="3284"/>
      <c r="CV92" s="3284"/>
      <c r="CW92" s="3284"/>
      <c r="CX92" s="3284"/>
      <c r="CY92" s="3285"/>
      <c r="DB92" s="3276">
        <v>0.86599999999999999</v>
      </c>
      <c r="DC92" s="3277"/>
      <c r="DD92" s="3277"/>
      <c r="DE92" s="3277"/>
      <c r="DF92" s="3277"/>
      <c r="DG92" s="921" t="s">
        <v>2422</v>
      </c>
      <c r="DH92" s="922"/>
      <c r="DI92" s="923"/>
      <c r="DJ92" s="3278">
        <v>0.86577000000000004</v>
      </c>
      <c r="DK92" s="3279"/>
      <c r="DL92" s="3279"/>
      <c r="DM92" s="3279"/>
      <c r="DN92" s="3279"/>
      <c r="DO92" s="3279"/>
      <c r="DP92" s="3279"/>
      <c r="DQ92" s="3279"/>
      <c r="DR92" s="3279"/>
      <c r="DS92" s="918" t="s">
        <v>2422</v>
      </c>
      <c r="DT92" s="918"/>
      <c r="DU92" s="918"/>
      <c r="DV92" s="918"/>
      <c r="DW92" s="919"/>
      <c r="DX92" s="3274">
        <v>0.86680000000000001</v>
      </c>
      <c r="DY92" s="3275"/>
      <c r="DZ92" s="3275"/>
      <c r="EA92" s="3275"/>
      <c r="EB92" s="3275"/>
      <c r="EC92" s="3275"/>
      <c r="ED92" s="3275"/>
      <c r="EE92" s="3275"/>
      <c r="EF92" s="3275"/>
      <c r="EG92" s="918" t="s">
        <v>2422</v>
      </c>
      <c r="EH92" s="918"/>
      <c r="EI92" s="918"/>
      <c r="EJ92" s="918"/>
    </row>
    <row r="93" spans="1:140">
      <c r="A93" s="3276">
        <v>1</v>
      </c>
      <c r="B93" s="3277"/>
      <c r="C93" s="3277"/>
      <c r="D93" s="3277"/>
      <c r="E93" s="3277"/>
      <c r="F93" s="921"/>
      <c r="G93" s="922"/>
      <c r="H93" s="923"/>
      <c r="I93" s="3278">
        <v>0.99950000000000006</v>
      </c>
      <c r="J93" s="3279"/>
      <c r="K93" s="3279"/>
      <c r="L93" s="3279"/>
      <c r="M93" s="3279"/>
      <c r="N93" s="3279"/>
      <c r="O93" s="3279"/>
      <c r="P93" s="3279"/>
      <c r="Q93" s="3279"/>
      <c r="R93" s="918"/>
      <c r="S93" s="918"/>
      <c r="T93" s="918"/>
      <c r="U93" s="918"/>
      <c r="V93" s="919"/>
      <c r="W93" s="3274">
        <v>1</v>
      </c>
      <c r="X93" s="3275"/>
      <c r="Y93" s="3275"/>
      <c r="Z93" s="3275"/>
      <c r="AA93" s="3275"/>
      <c r="AB93" s="3275"/>
      <c r="AC93" s="3275"/>
      <c r="AD93" s="3275"/>
      <c r="AE93" s="3275"/>
      <c r="AF93" s="918"/>
      <c r="AG93" s="918"/>
      <c r="AH93" s="918"/>
      <c r="AI93" s="918"/>
      <c r="AJ93" s="920"/>
      <c r="AK93" s="3283"/>
      <c r="AL93" s="3284"/>
      <c r="AM93" s="3284"/>
      <c r="AN93" s="3284"/>
      <c r="AO93" s="3284"/>
      <c r="AP93" s="3284"/>
      <c r="AQ93" s="3284"/>
      <c r="AR93" s="3284"/>
      <c r="AS93" s="3284"/>
      <c r="AT93" s="3284"/>
      <c r="AU93" s="3284"/>
      <c r="AV93" s="3284"/>
      <c r="AW93" s="3284"/>
      <c r="AX93" s="3285"/>
      <c r="BB93" s="3276">
        <v>1</v>
      </c>
      <c r="BC93" s="3277"/>
      <c r="BD93" s="3277"/>
      <c r="BE93" s="3277"/>
      <c r="BF93" s="3277"/>
      <c r="BG93" s="921"/>
      <c r="BH93" s="922"/>
      <c r="BI93" s="923"/>
      <c r="BJ93" s="3278">
        <v>0.99950000000000006</v>
      </c>
      <c r="BK93" s="3279"/>
      <c r="BL93" s="3279"/>
      <c r="BM93" s="3279"/>
      <c r="BN93" s="3279"/>
      <c r="BO93" s="3279"/>
      <c r="BP93" s="3279"/>
      <c r="BQ93" s="3279"/>
      <c r="BR93" s="3279"/>
      <c r="BS93" s="918"/>
      <c r="BT93" s="918"/>
      <c r="BU93" s="918"/>
      <c r="BV93" s="918"/>
      <c r="BW93" s="919"/>
      <c r="BX93" s="3274">
        <v>1</v>
      </c>
      <c r="BY93" s="3275"/>
      <c r="BZ93" s="3275"/>
      <c r="CA93" s="3275"/>
      <c r="CB93" s="3275"/>
      <c r="CC93" s="3275"/>
      <c r="CD93" s="3275"/>
      <c r="CE93" s="3275"/>
      <c r="CF93" s="3275"/>
      <c r="CG93" s="918"/>
      <c r="CH93" s="918"/>
      <c r="CI93" s="918"/>
      <c r="CJ93" s="918"/>
      <c r="CK93" s="920"/>
      <c r="CL93" s="3283"/>
      <c r="CM93" s="3284"/>
      <c r="CN93" s="3284"/>
      <c r="CO93" s="3284"/>
      <c r="CP93" s="3284"/>
      <c r="CQ93" s="3284"/>
      <c r="CR93" s="3284"/>
      <c r="CS93" s="3284"/>
      <c r="CT93" s="3284"/>
      <c r="CU93" s="3284"/>
      <c r="CV93" s="3284"/>
      <c r="CW93" s="3284"/>
      <c r="CX93" s="3284"/>
      <c r="CY93" s="3285"/>
      <c r="DB93" s="3276">
        <v>1</v>
      </c>
      <c r="DC93" s="3277"/>
      <c r="DD93" s="3277"/>
      <c r="DE93" s="3277"/>
      <c r="DF93" s="3277"/>
      <c r="DG93" s="921"/>
      <c r="DH93" s="922"/>
      <c r="DI93" s="923"/>
      <c r="DJ93" s="3278">
        <v>0.99950000000000006</v>
      </c>
      <c r="DK93" s="3279"/>
      <c r="DL93" s="3279"/>
      <c r="DM93" s="3279"/>
      <c r="DN93" s="3279"/>
      <c r="DO93" s="3279"/>
      <c r="DP93" s="3279"/>
      <c r="DQ93" s="3279"/>
      <c r="DR93" s="3279"/>
      <c r="DS93" s="918"/>
      <c r="DT93" s="918"/>
      <c r="DU93" s="918"/>
      <c r="DV93" s="918"/>
      <c r="DW93" s="919"/>
      <c r="DX93" s="3274">
        <v>1</v>
      </c>
      <c r="DY93" s="3275"/>
      <c r="DZ93" s="3275"/>
      <c r="EA93" s="3275"/>
      <c r="EB93" s="3275"/>
      <c r="EC93" s="3275"/>
      <c r="ED93" s="3275"/>
      <c r="EE93" s="3275"/>
      <c r="EF93" s="3275"/>
      <c r="EG93" s="918"/>
      <c r="EH93" s="918"/>
      <c r="EI93" s="918"/>
      <c r="EJ93" s="918"/>
    </row>
    <row r="94" spans="1:140">
      <c r="A94" s="3276">
        <v>0.86599999999999999</v>
      </c>
      <c r="B94" s="3277"/>
      <c r="C94" s="3277"/>
      <c r="D94" s="3277"/>
      <c r="E94" s="3277"/>
      <c r="F94" s="921" t="s">
        <v>2424</v>
      </c>
      <c r="G94" s="922"/>
      <c r="H94" s="923"/>
      <c r="I94" s="3278">
        <v>0.86563999999999997</v>
      </c>
      <c r="J94" s="3279"/>
      <c r="K94" s="3279"/>
      <c r="L94" s="3279"/>
      <c r="M94" s="3279"/>
      <c r="N94" s="3279"/>
      <c r="O94" s="3279"/>
      <c r="P94" s="3279"/>
      <c r="Q94" s="3279"/>
      <c r="R94" s="918" t="s">
        <v>2424</v>
      </c>
      <c r="S94" s="918"/>
      <c r="T94" s="918"/>
      <c r="U94" s="918"/>
      <c r="V94" s="919"/>
      <c r="W94" s="3274">
        <v>0.86570000000000003</v>
      </c>
      <c r="X94" s="3275"/>
      <c r="Y94" s="3275"/>
      <c r="Z94" s="3275"/>
      <c r="AA94" s="3275"/>
      <c r="AB94" s="3275"/>
      <c r="AC94" s="3275"/>
      <c r="AD94" s="3275"/>
      <c r="AE94" s="3275"/>
      <c r="AF94" s="918" t="s">
        <v>2424</v>
      </c>
      <c r="AG94" s="918"/>
      <c r="AH94" s="918"/>
      <c r="AI94" s="918"/>
      <c r="AJ94" s="920"/>
      <c r="AK94" s="3283"/>
      <c r="AL94" s="3284"/>
      <c r="AM94" s="3284"/>
      <c r="AN94" s="3284"/>
      <c r="AO94" s="3284"/>
      <c r="AP94" s="3284"/>
      <c r="AQ94" s="3284"/>
      <c r="AR94" s="3284"/>
      <c r="AS94" s="3284"/>
      <c r="AT94" s="3284"/>
      <c r="AU94" s="3284"/>
      <c r="AV94" s="3284"/>
      <c r="AW94" s="3284"/>
      <c r="AX94" s="3285"/>
      <c r="BB94" s="3276">
        <v>0.86599999999999999</v>
      </c>
      <c r="BC94" s="3277"/>
      <c r="BD94" s="3277"/>
      <c r="BE94" s="3277"/>
      <c r="BF94" s="3277"/>
      <c r="BG94" s="921" t="s">
        <v>2424</v>
      </c>
      <c r="BH94" s="922"/>
      <c r="BI94" s="923"/>
      <c r="BJ94" s="3278">
        <v>0.86563999999999997</v>
      </c>
      <c r="BK94" s="3279"/>
      <c r="BL94" s="3279"/>
      <c r="BM94" s="3279"/>
      <c r="BN94" s="3279"/>
      <c r="BO94" s="3279"/>
      <c r="BP94" s="3279"/>
      <c r="BQ94" s="3279"/>
      <c r="BR94" s="3279"/>
      <c r="BS94" s="918" t="s">
        <v>2424</v>
      </c>
      <c r="BT94" s="918"/>
      <c r="BU94" s="918"/>
      <c r="BV94" s="918"/>
      <c r="BW94" s="919"/>
      <c r="BX94" s="3274">
        <v>0.86570000000000003</v>
      </c>
      <c r="BY94" s="3275"/>
      <c r="BZ94" s="3275"/>
      <c r="CA94" s="3275"/>
      <c r="CB94" s="3275"/>
      <c r="CC94" s="3275"/>
      <c r="CD94" s="3275"/>
      <c r="CE94" s="3275"/>
      <c r="CF94" s="3275"/>
      <c r="CG94" s="918" t="s">
        <v>2424</v>
      </c>
      <c r="CH94" s="918"/>
      <c r="CI94" s="918"/>
      <c r="CJ94" s="918"/>
      <c r="CK94" s="920"/>
      <c r="CL94" s="3283"/>
      <c r="CM94" s="3284"/>
      <c r="CN94" s="3284"/>
      <c r="CO94" s="3284"/>
      <c r="CP94" s="3284"/>
      <c r="CQ94" s="3284"/>
      <c r="CR94" s="3284"/>
      <c r="CS94" s="3284"/>
      <c r="CT94" s="3284"/>
      <c r="CU94" s="3284"/>
      <c r="CV94" s="3284"/>
      <c r="CW94" s="3284"/>
      <c r="CX94" s="3284"/>
      <c r="CY94" s="3285"/>
      <c r="DB94" s="3276">
        <v>0.86599999999999999</v>
      </c>
      <c r="DC94" s="3277"/>
      <c r="DD94" s="3277"/>
      <c r="DE94" s="3277"/>
      <c r="DF94" s="3277"/>
      <c r="DG94" s="921" t="s">
        <v>2424</v>
      </c>
      <c r="DH94" s="922"/>
      <c r="DI94" s="923"/>
      <c r="DJ94" s="3278">
        <v>0.86563999999999997</v>
      </c>
      <c r="DK94" s="3279"/>
      <c r="DL94" s="3279"/>
      <c r="DM94" s="3279"/>
      <c r="DN94" s="3279"/>
      <c r="DO94" s="3279"/>
      <c r="DP94" s="3279"/>
      <c r="DQ94" s="3279"/>
      <c r="DR94" s="3279"/>
      <c r="DS94" s="918" t="s">
        <v>2424</v>
      </c>
      <c r="DT94" s="918"/>
      <c r="DU94" s="918"/>
      <c r="DV94" s="918"/>
      <c r="DW94" s="919"/>
      <c r="DX94" s="3274">
        <v>0.86570000000000003</v>
      </c>
      <c r="DY94" s="3275"/>
      <c r="DZ94" s="3275"/>
      <c r="EA94" s="3275"/>
      <c r="EB94" s="3275"/>
      <c r="EC94" s="3275"/>
      <c r="ED94" s="3275"/>
      <c r="EE94" s="3275"/>
      <c r="EF94" s="3275"/>
      <c r="EG94" s="918" t="s">
        <v>2424</v>
      </c>
      <c r="EH94" s="918"/>
      <c r="EI94" s="918"/>
      <c r="EJ94" s="918"/>
    </row>
    <row r="95" spans="1:140">
      <c r="A95" s="3276">
        <v>0.5</v>
      </c>
      <c r="B95" s="3277"/>
      <c r="C95" s="3277"/>
      <c r="D95" s="3277"/>
      <c r="E95" s="3277"/>
      <c r="F95" s="921" t="s">
        <v>2424</v>
      </c>
      <c r="G95" s="922"/>
      <c r="H95" s="923"/>
      <c r="I95" s="3278">
        <v>0.49964999999999998</v>
      </c>
      <c r="J95" s="3279"/>
      <c r="K95" s="3279"/>
      <c r="L95" s="3279"/>
      <c r="M95" s="3279"/>
      <c r="N95" s="3279"/>
      <c r="O95" s="3279"/>
      <c r="P95" s="3279"/>
      <c r="Q95" s="3279"/>
      <c r="R95" s="918" t="s">
        <v>2424</v>
      </c>
      <c r="S95" s="918"/>
      <c r="T95" s="918"/>
      <c r="U95" s="918"/>
      <c r="V95" s="919"/>
      <c r="W95" s="3274">
        <v>0.499</v>
      </c>
      <c r="X95" s="3275"/>
      <c r="Y95" s="3275"/>
      <c r="Z95" s="3275"/>
      <c r="AA95" s="3275"/>
      <c r="AB95" s="3275"/>
      <c r="AC95" s="3275"/>
      <c r="AD95" s="3275"/>
      <c r="AE95" s="3275"/>
      <c r="AF95" s="918" t="s">
        <v>2424</v>
      </c>
      <c r="AG95" s="918"/>
      <c r="AH95" s="918"/>
      <c r="AI95" s="918"/>
      <c r="AJ95" s="920"/>
      <c r="AK95" s="3286"/>
      <c r="AL95" s="3287"/>
      <c r="AM95" s="3287"/>
      <c r="AN95" s="3287"/>
      <c r="AO95" s="3287"/>
      <c r="AP95" s="3287"/>
      <c r="AQ95" s="3287"/>
      <c r="AR95" s="3287"/>
      <c r="AS95" s="3287"/>
      <c r="AT95" s="3287"/>
      <c r="AU95" s="3287"/>
      <c r="AV95" s="3287"/>
      <c r="AW95" s="3287"/>
      <c r="AX95" s="3288"/>
      <c r="BB95" s="3276">
        <v>0.5</v>
      </c>
      <c r="BC95" s="3277"/>
      <c r="BD95" s="3277"/>
      <c r="BE95" s="3277"/>
      <c r="BF95" s="3277"/>
      <c r="BG95" s="921" t="s">
        <v>2424</v>
      </c>
      <c r="BH95" s="922"/>
      <c r="BI95" s="923"/>
      <c r="BJ95" s="3278">
        <v>0.49964999999999998</v>
      </c>
      <c r="BK95" s="3279"/>
      <c r="BL95" s="3279"/>
      <c r="BM95" s="3279"/>
      <c r="BN95" s="3279"/>
      <c r="BO95" s="3279"/>
      <c r="BP95" s="3279"/>
      <c r="BQ95" s="3279"/>
      <c r="BR95" s="3279"/>
      <c r="BS95" s="918" t="s">
        <v>2424</v>
      </c>
      <c r="BT95" s="918"/>
      <c r="BU95" s="918"/>
      <c r="BV95" s="918"/>
      <c r="BW95" s="919"/>
      <c r="BX95" s="3274">
        <v>0.499</v>
      </c>
      <c r="BY95" s="3275"/>
      <c r="BZ95" s="3275"/>
      <c r="CA95" s="3275"/>
      <c r="CB95" s="3275"/>
      <c r="CC95" s="3275"/>
      <c r="CD95" s="3275"/>
      <c r="CE95" s="3275"/>
      <c r="CF95" s="3275"/>
      <c r="CG95" s="918" t="s">
        <v>2424</v>
      </c>
      <c r="CH95" s="918"/>
      <c r="CI95" s="918"/>
      <c r="CJ95" s="918"/>
      <c r="CK95" s="920"/>
      <c r="CL95" s="3286"/>
      <c r="CM95" s="3287"/>
      <c r="CN95" s="3287"/>
      <c r="CO95" s="3287"/>
      <c r="CP95" s="3287"/>
      <c r="CQ95" s="3287"/>
      <c r="CR95" s="3287"/>
      <c r="CS95" s="3287"/>
      <c r="CT95" s="3287"/>
      <c r="CU95" s="3287"/>
      <c r="CV95" s="3287"/>
      <c r="CW95" s="3287"/>
      <c r="CX95" s="3287"/>
      <c r="CY95" s="3288"/>
      <c r="DB95" s="3276">
        <v>0.5</v>
      </c>
      <c r="DC95" s="3277"/>
      <c r="DD95" s="3277"/>
      <c r="DE95" s="3277"/>
      <c r="DF95" s="3277"/>
      <c r="DG95" s="921" t="s">
        <v>2424</v>
      </c>
      <c r="DH95" s="922"/>
      <c r="DI95" s="923"/>
      <c r="DJ95" s="3278">
        <v>0.49964999999999998</v>
      </c>
      <c r="DK95" s="3279"/>
      <c r="DL95" s="3279"/>
      <c r="DM95" s="3279"/>
      <c r="DN95" s="3279"/>
      <c r="DO95" s="3279"/>
      <c r="DP95" s="3279"/>
      <c r="DQ95" s="3279"/>
      <c r="DR95" s="3279"/>
      <c r="DS95" s="918" t="s">
        <v>2424</v>
      </c>
      <c r="DT95" s="918"/>
      <c r="DU95" s="918"/>
      <c r="DV95" s="918"/>
      <c r="DW95" s="919"/>
      <c r="DX95" s="3274">
        <v>0.499</v>
      </c>
      <c r="DY95" s="3275"/>
      <c r="DZ95" s="3275"/>
      <c r="EA95" s="3275"/>
      <c r="EB95" s="3275"/>
      <c r="EC95" s="3275"/>
      <c r="ED95" s="3275"/>
      <c r="EE95" s="3275"/>
      <c r="EF95" s="3275"/>
      <c r="EG95" s="918" t="s">
        <v>2424</v>
      </c>
      <c r="EH95" s="918"/>
      <c r="EI95" s="918"/>
      <c r="EJ95" s="918"/>
    </row>
    <row r="96" spans="1:140">
      <c r="A96" s="924"/>
      <c r="B96" s="924"/>
      <c r="C96" s="924"/>
      <c r="D96" s="924"/>
      <c r="E96" s="924"/>
      <c r="F96" s="925"/>
      <c r="G96" s="925"/>
      <c r="H96" s="925"/>
      <c r="I96" s="926"/>
      <c r="J96" s="926"/>
      <c r="K96" s="926"/>
      <c r="L96" s="926"/>
      <c r="M96" s="926"/>
      <c r="N96" s="926"/>
      <c r="O96" s="926"/>
      <c r="P96" s="926"/>
      <c r="Q96" s="926"/>
      <c r="R96" s="927"/>
      <c r="S96" s="927"/>
      <c r="T96" s="927"/>
      <c r="U96" s="927"/>
      <c r="V96" s="927"/>
      <c r="W96" s="928"/>
      <c r="X96" s="928"/>
      <c r="Y96" s="928"/>
      <c r="Z96" s="928"/>
      <c r="AA96" s="928"/>
      <c r="AB96" s="928"/>
      <c r="AC96" s="928"/>
      <c r="AD96" s="928"/>
      <c r="AE96" s="928"/>
      <c r="AF96" s="927"/>
      <c r="AG96" s="927"/>
      <c r="AH96" s="927"/>
      <c r="AI96" s="927"/>
      <c r="AJ96" s="929"/>
      <c r="AK96" s="913"/>
      <c r="AL96" s="913"/>
      <c r="AM96" s="913"/>
      <c r="AN96" s="913"/>
      <c r="AO96" s="913"/>
      <c r="AP96" s="913"/>
      <c r="AQ96" s="913"/>
      <c r="AR96" s="913"/>
      <c r="AS96" s="913"/>
      <c r="AT96" s="913"/>
      <c r="AU96" s="913"/>
      <c r="AV96" s="913"/>
      <c r="AW96" s="913"/>
      <c r="AX96" s="913"/>
      <c r="BB96" s="924"/>
      <c r="BC96" s="924"/>
      <c r="BD96" s="924"/>
      <c r="BE96" s="924"/>
      <c r="BF96" s="924"/>
      <c r="BG96" s="925"/>
      <c r="BH96" s="925"/>
      <c r="BI96" s="925"/>
      <c r="BJ96" s="926"/>
      <c r="BK96" s="926"/>
      <c r="BL96" s="926"/>
      <c r="BM96" s="926"/>
      <c r="BN96" s="926"/>
      <c r="BO96" s="926"/>
      <c r="BP96" s="926"/>
      <c r="BQ96" s="926"/>
      <c r="BR96" s="926"/>
      <c r="BS96" s="927"/>
      <c r="BT96" s="927"/>
      <c r="BU96" s="927"/>
      <c r="BV96" s="927"/>
      <c r="BW96" s="927"/>
      <c r="BX96" s="928"/>
      <c r="BY96" s="928"/>
      <c r="BZ96" s="928"/>
      <c r="CA96" s="928"/>
      <c r="CB96" s="928"/>
      <c r="CC96" s="928"/>
      <c r="CD96" s="928"/>
      <c r="CE96" s="928"/>
      <c r="CF96" s="928"/>
      <c r="CG96" s="927"/>
      <c r="CH96" s="927"/>
      <c r="CI96" s="927"/>
      <c r="CJ96" s="927"/>
      <c r="CK96" s="929"/>
      <c r="CL96" s="913"/>
      <c r="CM96" s="913"/>
      <c r="CN96" s="913"/>
      <c r="CO96" s="913"/>
      <c r="CP96" s="913"/>
      <c r="CQ96" s="913"/>
      <c r="CR96" s="913"/>
      <c r="CS96" s="913"/>
      <c r="CT96" s="913"/>
      <c r="CU96" s="913"/>
      <c r="CV96" s="913"/>
      <c r="CW96" s="913"/>
      <c r="CX96" s="913"/>
      <c r="CY96" s="913"/>
      <c r="DB96" s="924"/>
      <c r="DC96" s="924"/>
      <c r="DD96" s="924"/>
      <c r="DE96" s="924"/>
      <c r="DF96" s="924"/>
      <c r="DG96" s="925"/>
      <c r="DH96" s="925"/>
      <c r="DI96" s="925"/>
      <c r="DJ96" s="926"/>
      <c r="DK96" s="926"/>
      <c r="DL96" s="926"/>
      <c r="DM96" s="926"/>
      <c r="DN96" s="926"/>
      <c r="DO96" s="926"/>
      <c r="DP96" s="926"/>
      <c r="DQ96" s="926"/>
      <c r="DR96" s="926"/>
      <c r="DS96" s="927"/>
      <c r="DT96" s="927"/>
      <c r="DU96" s="927"/>
      <c r="DV96" s="927"/>
      <c r="DW96" s="927"/>
      <c r="DX96" s="928"/>
      <c r="DY96" s="928"/>
      <c r="DZ96" s="928"/>
      <c r="EA96" s="928"/>
      <c r="EB96" s="928"/>
      <c r="EC96" s="928"/>
      <c r="ED96" s="928"/>
      <c r="EE96" s="928"/>
      <c r="EF96" s="928"/>
      <c r="EG96" s="927"/>
      <c r="EH96" s="927"/>
      <c r="EI96" s="927"/>
      <c r="EJ96" s="927"/>
    </row>
    <row r="97" spans="1:50">
      <c r="A97" s="914"/>
      <c r="B97" s="914"/>
      <c r="C97" s="914"/>
      <c r="D97" s="914"/>
      <c r="E97" s="914"/>
      <c r="F97" s="914"/>
      <c r="G97" s="914"/>
      <c r="H97" s="914"/>
      <c r="I97" s="914"/>
      <c r="J97" s="914"/>
      <c r="K97" s="914"/>
      <c r="L97" s="914"/>
      <c r="M97" s="914"/>
      <c r="N97" s="914"/>
      <c r="O97" s="914"/>
      <c r="P97" s="914"/>
      <c r="Q97" s="914"/>
      <c r="R97" s="914"/>
      <c r="S97" s="914"/>
      <c r="T97" s="914"/>
      <c r="U97" s="914"/>
      <c r="V97" s="914"/>
      <c r="W97" s="914"/>
      <c r="X97" s="914"/>
      <c r="Y97" s="914"/>
      <c r="Z97" s="914"/>
      <c r="AA97" s="914"/>
      <c r="AB97" s="914"/>
      <c r="AC97" s="914"/>
      <c r="AD97" s="914"/>
      <c r="AE97" s="914"/>
      <c r="AF97" s="914"/>
      <c r="AG97" s="914"/>
      <c r="AH97" s="914"/>
      <c r="AI97" s="914"/>
      <c r="AJ97" s="914"/>
      <c r="AK97" s="914"/>
      <c r="AL97" s="914"/>
      <c r="AM97" s="914"/>
      <c r="AN97" s="914"/>
      <c r="AO97" s="914"/>
      <c r="AP97" s="914"/>
      <c r="AQ97" s="914"/>
      <c r="AR97" s="914"/>
      <c r="AS97" s="914"/>
      <c r="AT97" s="914"/>
      <c r="AU97" s="914"/>
      <c r="AV97" s="914"/>
      <c r="AW97" s="914"/>
      <c r="AX97" s="914"/>
    </row>
    <row r="98" spans="1:50" ht="18.75" hidden="1">
      <c r="A98" s="252"/>
      <c r="B98" s="252"/>
      <c r="C98" s="930" t="s">
        <v>2425</v>
      </c>
      <c r="D98" s="930"/>
      <c r="E98" s="252"/>
      <c r="F98" s="252"/>
      <c r="G98" s="252"/>
      <c r="H98" s="252"/>
      <c r="I98" s="252"/>
      <c r="J98" s="252"/>
      <c r="K98" s="252"/>
      <c r="L98" s="252"/>
      <c r="M98" s="252"/>
      <c r="N98" s="252"/>
      <c r="O98" s="252"/>
      <c r="P98" s="252"/>
      <c r="Q98" s="252"/>
      <c r="R98" s="252"/>
      <c r="S98" s="252"/>
      <c r="T98" s="252"/>
      <c r="U98" s="252"/>
      <c r="V98" s="252"/>
      <c r="W98" s="252"/>
      <c r="X98" s="252"/>
      <c r="Y98" s="252"/>
      <c r="Z98" s="252"/>
      <c r="AA98" s="252"/>
      <c r="AB98" s="252"/>
      <c r="AC98" s="252"/>
      <c r="AD98" s="252"/>
      <c r="AE98" s="252"/>
      <c r="AF98" s="252"/>
      <c r="AG98" s="252"/>
      <c r="AH98" s="252"/>
      <c r="AI98" s="252"/>
      <c r="AJ98" s="252"/>
      <c r="AK98" s="252"/>
      <c r="AL98" s="252"/>
      <c r="AM98" s="252"/>
      <c r="AN98" s="252"/>
      <c r="AO98" s="252"/>
      <c r="AP98" s="252"/>
      <c r="AQ98" s="252"/>
      <c r="AR98" s="252"/>
      <c r="AS98" s="252"/>
      <c r="AT98" s="252"/>
      <c r="AU98" s="252"/>
      <c r="AV98" s="252"/>
      <c r="AW98" s="252"/>
      <c r="AX98" s="252"/>
    </row>
    <row r="99" spans="1:50" ht="16.5" hidden="1">
      <c r="A99" s="3294" t="s">
        <v>2426</v>
      </c>
      <c r="B99" s="3295"/>
      <c r="C99" s="3292" t="s">
        <v>2427</v>
      </c>
      <c r="D99" s="3292"/>
      <c r="E99" s="3292"/>
      <c r="F99" s="909" t="s">
        <v>2371</v>
      </c>
      <c r="G99" s="910" t="s">
        <v>2372</v>
      </c>
      <c r="H99" s="911" t="s">
        <v>2373</v>
      </c>
      <c r="I99" s="909" t="s">
        <v>2374</v>
      </c>
      <c r="J99" s="3296">
        <v>57.7</v>
      </c>
      <c r="K99" s="3296"/>
      <c r="L99" s="3296"/>
      <c r="M99" s="3296"/>
      <c r="N99" s="909"/>
      <c r="O99" s="909" t="s">
        <v>2385</v>
      </c>
      <c r="P99" s="3295" t="s">
        <v>2386</v>
      </c>
      <c r="Q99" s="3295"/>
      <c r="R99" s="3295"/>
      <c r="S99" s="3290" t="e">
        <f>[27]信息!#REF!</f>
        <v>#REF!</v>
      </c>
      <c r="T99" s="3290"/>
      <c r="U99" s="3290"/>
      <c r="V99" s="909" t="s">
        <v>2428</v>
      </c>
      <c r="W99" s="909"/>
      <c r="X99" s="909" t="s">
        <v>2429</v>
      </c>
      <c r="Y99" s="909"/>
      <c r="Z99" s="909"/>
      <c r="AA99" s="909"/>
      <c r="AB99" s="909"/>
      <c r="AC99" s="909"/>
      <c r="AD99" s="909"/>
      <c r="AE99" s="909"/>
      <c r="AF99" s="909"/>
      <c r="AG99" s="909"/>
      <c r="AH99" s="909"/>
      <c r="AI99" s="909"/>
      <c r="AJ99" s="909"/>
      <c r="AK99" s="909"/>
      <c r="AL99" s="909"/>
      <c r="AM99" s="909"/>
      <c r="AN99" s="909"/>
      <c r="AO99" s="909"/>
      <c r="AP99" s="909"/>
      <c r="AQ99" s="909"/>
      <c r="AR99" s="909"/>
      <c r="AS99" s="909"/>
      <c r="AT99" s="909"/>
      <c r="AU99" s="909"/>
      <c r="AV99" s="909"/>
      <c r="AW99" s="909"/>
      <c r="AX99" s="912"/>
    </row>
    <row r="100" spans="1:50" hidden="1">
      <c r="A100" s="3376" t="s">
        <v>2430</v>
      </c>
      <c r="B100" s="3377"/>
      <c r="C100" s="3377"/>
      <c r="D100" s="3377"/>
      <c r="E100" s="3378"/>
      <c r="F100" s="3291" t="s">
        <v>2431</v>
      </c>
      <c r="G100" s="3292"/>
      <c r="H100" s="3292"/>
      <c r="I100" s="3292"/>
      <c r="J100" s="3292"/>
      <c r="K100" s="3292"/>
      <c r="L100" s="3292"/>
      <c r="M100" s="3292"/>
      <c r="N100" s="3292"/>
      <c r="O100" s="3292"/>
      <c r="P100" s="3292"/>
      <c r="Q100" s="3292"/>
      <c r="R100" s="3292"/>
      <c r="S100" s="3292"/>
      <c r="T100" s="3293"/>
      <c r="U100" s="3291" t="s">
        <v>2432</v>
      </c>
      <c r="V100" s="3292"/>
      <c r="W100" s="3292"/>
      <c r="X100" s="3292"/>
      <c r="Y100" s="3292"/>
      <c r="Z100" s="3292"/>
      <c r="AA100" s="3292"/>
      <c r="AB100" s="3292"/>
      <c r="AC100" s="3292"/>
      <c r="AD100" s="3292"/>
      <c r="AE100" s="3292"/>
      <c r="AF100" s="3292"/>
      <c r="AG100" s="3292"/>
      <c r="AH100" s="3292"/>
      <c r="AI100" s="3293"/>
      <c r="AJ100" s="3291" t="s">
        <v>2433</v>
      </c>
      <c r="AK100" s="3292"/>
      <c r="AL100" s="3292"/>
      <c r="AM100" s="3292"/>
      <c r="AN100" s="3292"/>
      <c r="AO100" s="3292"/>
      <c r="AP100" s="3292"/>
      <c r="AQ100" s="3292"/>
      <c r="AR100" s="3292"/>
      <c r="AS100" s="3292"/>
      <c r="AT100" s="3292"/>
      <c r="AU100" s="3292"/>
      <c r="AV100" s="3292"/>
      <c r="AW100" s="3292"/>
      <c r="AX100" s="3293"/>
    </row>
    <row r="101" spans="1:50" hidden="1">
      <c r="A101" s="3379"/>
      <c r="B101" s="3380"/>
      <c r="C101" s="3380"/>
      <c r="D101" s="3380"/>
      <c r="E101" s="3381"/>
      <c r="F101" s="3291" t="s">
        <v>2434</v>
      </c>
      <c r="G101" s="3292"/>
      <c r="H101" s="3292"/>
      <c r="I101" s="3292"/>
      <c r="J101" s="3293"/>
      <c r="K101" s="3291" t="s">
        <v>2435</v>
      </c>
      <c r="L101" s="3292"/>
      <c r="M101" s="3292"/>
      <c r="N101" s="3292"/>
      <c r="O101" s="3293"/>
      <c r="P101" s="3291" t="s">
        <v>2436</v>
      </c>
      <c r="Q101" s="3292"/>
      <c r="R101" s="3292"/>
      <c r="S101" s="3292"/>
      <c r="T101" s="3293"/>
      <c r="U101" s="3291" t="s">
        <v>2434</v>
      </c>
      <c r="V101" s="3292"/>
      <c r="W101" s="3292"/>
      <c r="X101" s="3292"/>
      <c r="Y101" s="3293"/>
      <c r="Z101" s="3291" t="s">
        <v>2435</v>
      </c>
      <c r="AA101" s="3292"/>
      <c r="AB101" s="3292"/>
      <c r="AC101" s="3292"/>
      <c r="AD101" s="3293"/>
      <c r="AE101" s="3291" t="s">
        <v>2436</v>
      </c>
      <c r="AF101" s="3292"/>
      <c r="AG101" s="3292"/>
      <c r="AH101" s="3292"/>
      <c r="AI101" s="3293"/>
      <c r="AJ101" s="3291" t="s">
        <v>2434</v>
      </c>
      <c r="AK101" s="3292"/>
      <c r="AL101" s="3292"/>
      <c r="AM101" s="3292"/>
      <c r="AN101" s="3293"/>
      <c r="AO101" s="3291" t="s">
        <v>2435</v>
      </c>
      <c r="AP101" s="3292"/>
      <c r="AQ101" s="3292"/>
      <c r="AR101" s="3292"/>
      <c r="AS101" s="3293"/>
      <c r="AT101" s="3291" t="s">
        <v>2436</v>
      </c>
      <c r="AU101" s="3292"/>
      <c r="AV101" s="3292"/>
      <c r="AW101" s="3292"/>
      <c r="AX101" s="3293"/>
    </row>
    <row r="102" spans="1:50" ht="16.5" hidden="1">
      <c r="A102" s="3371">
        <v>120</v>
      </c>
      <c r="B102" s="3372"/>
      <c r="C102" s="3372"/>
      <c r="D102" s="931" t="s">
        <v>2382</v>
      </c>
      <c r="E102" s="932" t="s">
        <v>2383</v>
      </c>
      <c r="F102" s="3373">
        <f t="shared" ref="F102:F107" si="0">$J$36*A102*0.01</f>
        <v>0</v>
      </c>
      <c r="G102" s="3374"/>
      <c r="H102" s="3374"/>
      <c r="I102" s="3374"/>
      <c r="J102" s="3375"/>
      <c r="K102" s="3373">
        <f t="shared" ref="K102:K107" si="1">$J$36*A102*0.01</f>
        <v>0</v>
      </c>
      <c r="L102" s="3374"/>
      <c r="M102" s="3374"/>
      <c r="N102" s="3374"/>
      <c r="O102" s="3375"/>
      <c r="P102" s="3373">
        <f t="shared" ref="P102:P107" si="2">$J$36*A102*0.01</f>
        <v>0</v>
      </c>
      <c r="Q102" s="3374"/>
      <c r="R102" s="3374"/>
      <c r="S102" s="3374"/>
      <c r="T102" s="3375"/>
      <c r="U102" s="3368">
        <v>69.209999999999994</v>
      </c>
      <c r="V102" s="3369"/>
      <c r="W102" s="3369"/>
      <c r="X102" s="3369"/>
      <c r="Y102" s="3370"/>
      <c r="Z102" s="3368">
        <v>69.2</v>
      </c>
      <c r="AA102" s="3369"/>
      <c r="AB102" s="3369"/>
      <c r="AC102" s="3369"/>
      <c r="AD102" s="3370"/>
      <c r="AE102" s="3368">
        <v>69.14</v>
      </c>
      <c r="AF102" s="3369"/>
      <c r="AG102" s="3369"/>
      <c r="AH102" s="3369"/>
      <c r="AI102" s="3370"/>
      <c r="AJ102" s="3368" t="e">
        <f t="shared" ref="AJ102:AJ107" si="3">ROUND((U102-F102)/$J$36*100*$BB$38,1)/$BB$38</f>
        <v>#DIV/0!</v>
      </c>
      <c r="AK102" s="3369"/>
      <c r="AL102" s="3369"/>
      <c r="AM102" s="3369"/>
      <c r="AN102" s="3370"/>
      <c r="AO102" s="3368" t="e">
        <f t="shared" ref="AO102:AO107" si="4">ROUND((K102-Z102)/$J$36*100*$BB$38,1)/$BB$38</f>
        <v>#DIV/0!</v>
      </c>
      <c r="AP102" s="3369"/>
      <c r="AQ102" s="3369"/>
      <c r="AR102" s="3369"/>
      <c r="AS102" s="3370"/>
      <c r="AT102" s="3368" t="e">
        <f t="shared" ref="AT102:AT107" si="5">ROUND((P102-AE102)/$J$36*100*$BB$38,1)/$BB$38</f>
        <v>#DIV/0!</v>
      </c>
      <c r="AU102" s="3369"/>
      <c r="AV102" s="3369"/>
      <c r="AW102" s="3369"/>
      <c r="AX102" s="3370"/>
    </row>
    <row r="103" spans="1:50" ht="16.5" hidden="1">
      <c r="A103" s="3371">
        <v>100</v>
      </c>
      <c r="B103" s="3372"/>
      <c r="C103" s="3372"/>
      <c r="D103" s="931" t="s">
        <v>2382</v>
      </c>
      <c r="E103" s="932" t="s">
        <v>2383</v>
      </c>
      <c r="F103" s="3373">
        <f t="shared" si="0"/>
        <v>0</v>
      </c>
      <c r="G103" s="3374"/>
      <c r="H103" s="3374"/>
      <c r="I103" s="3374"/>
      <c r="J103" s="3375"/>
      <c r="K103" s="3373">
        <f t="shared" si="1"/>
        <v>0</v>
      </c>
      <c r="L103" s="3374"/>
      <c r="M103" s="3374"/>
      <c r="N103" s="3374"/>
      <c r="O103" s="3375"/>
      <c r="P103" s="3373">
        <f t="shared" si="2"/>
        <v>0</v>
      </c>
      <c r="Q103" s="3374"/>
      <c r="R103" s="3374"/>
      <c r="S103" s="3374"/>
      <c r="T103" s="3375"/>
      <c r="U103" s="3368">
        <v>57.67</v>
      </c>
      <c r="V103" s="3369"/>
      <c r="W103" s="3369"/>
      <c r="X103" s="3369"/>
      <c r="Y103" s="3370"/>
      <c r="Z103" s="3368">
        <v>57.66</v>
      </c>
      <c r="AA103" s="3369"/>
      <c r="AB103" s="3369"/>
      <c r="AC103" s="3369"/>
      <c r="AD103" s="3370"/>
      <c r="AE103" s="3368">
        <v>57.61</v>
      </c>
      <c r="AF103" s="3369"/>
      <c r="AG103" s="3369"/>
      <c r="AH103" s="3369"/>
      <c r="AI103" s="3370"/>
      <c r="AJ103" s="3368" t="e">
        <f t="shared" si="3"/>
        <v>#DIV/0!</v>
      </c>
      <c r="AK103" s="3369"/>
      <c r="AL103" s="3369"/>
      <c r="AM103" s="3369"/>
      <c r="AN103" s="3370"/>
      <c r="AO103" s="3368" t="e">
        <f t="shared" si="4"/>
        <v>#DIV/0!</v>
      </c>
      <c r="AP103" s="3369"/>
      <c r="AQ103" s="3369"/>
      <c r="AR103" s="3369"/>
      <c r="AS103" s="3370"/>
      <c r="AT103" s="3368" t="e">
        <f t="shared" si="5"/>
        <v>#DIV/0!</v>
      </c>
      <c r="AU103" s="3369"/>
      <c r="AV103" s="3369"/>
      <c r="AW103" s="3369"/>
      <c r="AX103" s="3370"/>
    </row>
    <row r="104" spans="1:50" ht="16.5" hidden="1">
      <c r="A104" s="3371">
        <v>80</v>
      </c>
      <c r="B104" s="3372"/>
      <c r="C104" s="3372"/>
      <c r="D104" s="931" t="s">
        <v>2382</v>
      </c>
      <c r="E104" s="932" t="s">
        <v>2383</v>
      </c>
      <c r="F104" s="3373">
        <f t="shared" si="0"/>
        <v>0</v>
      </c>
      <c r="G104" s="3374"/>
      <c r="H104" s="3374"/>
      <c r="I104" s="3374"/>
      <c r="J104" s="3375"/>
      <c r="K104" s="3373">
        <f t="shared" si="1"/>
        <v>0</v>
      </c>
      <c r="L104" s="3374"/>
      <c r="M104" s="3374"/>
      <c r="N104" s="3374"/>
      <c r="O104" s="3375"/>
      <c r="P104" s="3373">
        <f t="shared" si="2"/>
        <v>0</v>
      </c>
      <c r="Q104" s="3374"/>
      <c r="R104" s="3374"/>
      <c r="S104" s="3374"/>
      <c r="T104" s="3375"/>
      <c r="U104" s="3368">
        <v>46.14</v>
      </c>
      <c r="V104" s="3369"/>
      <c r="W104" s="3369"/>
      <c r="X104" s="3369"/>
      <c r="Y104" s="3370"/>
      <c r="Z104" s="3368">
        <v>46.14</v>
      </c>
      <c r="AA104" s="3369"/>
      <c r="AB104" s="3369"/>
      <c r="AC104" s="3369"/>
      <c r="AD104" s="3370"/>
      <c r="AE104" s="3368">
        <v>46.09</v>
      </c>
      <c r="AF104" s="3369"/>
      <c r="AG104" s="3369"/>
      <c r="AH104" s="3369"/>
      <c r="AI104" s="3370"/>
      <c r="AJ104" s="3368" t="e">
        <f t="shared" si="3"/>
        <v>#DIV/0!</v>
      </c>
      <c r="AK104" s="3369"/>
      <c r="AL104" s="3369"/>
      <c r="AM104" s="3369"/>
      <c r="AN104" s="3370"/>
      <c r="AO104" s="3368" t="e">
        <f t="shared" si="4"/>
        <v>#DIV/0!</v>
      </c>
      <c r="AP104" s="3369"/>
      <c r="AQ104" s="3369"/>
      <c r="AR104" s="3369"/>
      <c r="AS104" s="3370"/>
      <c r="AT104" s="3368" t="e">
        <f t="shared" si="5"/>
        <v>#DIV/0!</v>
      </c>
      <c r="AU104" s="3369"/>
      <c r="AV104" s="3369"/>
      <c r="AW104" s="3369"/>
      <c r="AX104" s="3370"/>
    </row>
    <row r="105" spans="1:50" ht="16.5" hidden="1">
      <c r="A105" s="3371">
        <v>60</v>
      </c>
      <c r="B105" s="3372"/>
      <c r="C105" s="3372"/>
      <c r="D105" s="931" t="s">
        <v>2382</v>
      </c>
      <c r="E105" s="932" t="s">
        <v>2383</v>
      </c>
      <c r="F105" s="3373">
        <f t="shared" si="0"/>
        <v>0</v>
      </c>
      <c r="G105" s="3374"/>
      <c r="H105" s="3374"/>
      <c r="I105" s="3374"/>
      <c r="J105" s="3375"/>
      <c r="K105" s="3373">
        <f t="shared" si="1"/>
        <v>0</v>
      </c>
      <c r="L105" s="3374"/>
      <c r="M105" s="3374"/>
      <c r="N105" s="3374"/>
      <c r="O105" s="3375"/>
      <c r="P105" s="3373">
        <f t="shared" si="2"/>
        <v>0</v>
      </c>
      <c r="Q105" s="3374"/>
      <c r="R105" s="3374"/>
      <c r="S105" s="3374"/>
      <c r="T105" s="3375"/>
      <c r="U105" s="3368">
        <v>3</v>
      </c>
      <c r="V105" s="3369"/>
      <c r="W105" s="3369"/>
      <c r="X105" s="3369"/>
      <c r="Y105" s="3370"/>
      <c r="Z105" s="3368">
        <v>34.58</v>
      </c>
      <c r="AA105" s="3369"/>
      <c r="AB105" s="3369"/>
      <c r="AC105" s="3369"/>
      <c r="AD105" s="3370"/>
      <c r="AE105" s="3368">
        <v>34.58</v>
      </c>
      <c r="AF105" s="3369"/>
      <c r="AG105" s="3369"/>
      <c r="AH105" s="3369"/>
      <c r="AI105" s="3370"/>
      <c r="AJ105" s="3368" t="e">
        <f t="shared" si="3"/>
        <v>#DIV/0!</v>
      </c>
      <c r="AK105" s="3369"/>
      <c r="AL105" s="3369"/>
      <c r="AM105" s="3369"/>
      <c r="AN105" s="3370"/>
      <c r="AO105" s="3368" t="e">
        <f t="shared" si="4"/>
        <v>#DIV/0!</v>
      </c>
      <c r="AP105" s="3369"/>
      <c r="AQ105" s="3369"/>
      <c r="AR105" s="3369"/>
      <c r="AS105" s="3370"/>
      <c r="AT105" s="3368" t="e">
        <f t="shared" si="5"/>
        <v>#DIV/0!</v>
      </c>
      <c r="AU105" s="3369"/>
      <c r="AV105" s="3369"/>
      <c r="AW105" s="3369"/>
      <c r="AX105" s="3370"/>
    </row>
    <row r="106" spans="1:50" ht="16.5" hidden="1">
      <c r="A106" s="3371">
        <v>40</v>
      </c>
      <c r="B106" s="3372"/>
      <c r="C106" s="3372"/>
      <c r="D106" s="931" t="s">
        <v>2382</v>
      </c>
      <c r="E106" s="932" t="s">
        <v>2383</v>
      </c>
      <c r="F106" s="3373">
        <f t="shared" si="0"/>
        <v>0</v>
      </c>
      <c r="G106" s="3374"/>
      <c r="H106" s="3374"/>
      <c r="I106" s="3374"/>
      <c r="J106" s="3375"/>
      <c r="K106" s="3373">
        <f t="shared" si="1"/>
        <v>0</v>
      </c>
      <c r="L106" s="3374"/>
      <c r="M106" s="3374"/>
      <c r="N106" s="3374"/>
      <c r="O106" s="3375"/>
      <c r="P106" s="3373">
        <f t="shared" si="2"/>
        <v>0</v>
      </c>
      <c r="Q106" s="3374"/>
      <c r="R106" s="3374"/>
      <c r="S106" s="3374"/>
      <c r="T106" s="3375"/>
      <c r="U106" s="3368">
        <v>23.07</v>
      </c>
      <c r="V106" s="3369"/>
      <c r="W106" s="3369"/>
      <c r="X106" s="3369"/>
      <c r="Y106" s="3370"/>
      <c r="Z106" s="3368">
        <v>23.07</v>
      </c>
      <c r="AA106" s="3369"/>
      <c r="AB106" s="3369"/>
      <c r="AC106" s="3369"/>
      <c r="AD106" s="3370"/>
      <c r="AE106" s="3368">
        <v>23</v>
      </c>
      <c r="AF106" s="3369"/>
      <c r="AG106" s="3369"/>
      <c r="AH106" s="3369"/>
      <c r="AI106" s="3370"/>
      <c r="AJ106" s="3368" t="e">
        <f t="shared" si="3"/>
        <v>#DIV/0!</v>
      </c>
      <c r="AK106" s="3369"/>
      <c r="AL106" s="3369"/>
      <c r="AM106" s="3369"/>
      <c r="AN106" s="3370"/>
      <c r="AO106" s="3368" t="e">
        <f t="shared" si="4"/>
        <v>#DIV/0!</v>
      </c>
      <c r="AP106" s="3369"/>
      <c r="AQ106" s="3369"/>
      <c r="AR106" s="3369"/>
      <c r="AS106" s="3370"/>
      <c r="AT106" s="3368" t="e">
        <f t="shared" si="5"/>
        <v>#DIV/0!</v>
      </c>
      <c r="AU106" s="3369"/>
      <c r="AV106" s="3369"/>
      <c r="AW106" s="3369"/>
      <c r="AX106" s="3370"/>
    </row>
    <row r="107" spans="1:50" ht="16.5" hidden="1">
      <c r="A107" s="3371">
        <v>0</v>
      </c>
      <c r="B107" s="3372"/>
      <c r="C107" s="3372"/>
      <c r="D107" s="931" t="s">
        <v>2382</v>
      </c>
      <c r="E107" s="932" t="s">
        <v>2383</v>
      </c>
      <c r="F107" s="3373">
        <f t="shared" si="0"/>
        <v>0</v>
      </c>
      <c r="G107" s="3374"/>
      <c r="H107" s="3374"/>
      <c r="I107" s="3374"/>
      <c r="J107" s="3375"/>
      <c r="K107" s="3373">
        <f t="shared" si="1"/>
        <v>0</v>
      </c>
      <c r="L107" s="3374"/>
      <c r="M107" s="3374"/>
      <c r="N107" s="3374"/>
      <c r="O107" s="3375"/>
      <c r="P107" s="3373">
        <f t="shared" si="2"/>
        <v>0</v>
      </c>
      <c r="Q107" s="3374"/>
      <c r="R107" s="3374"/>
      <c r="S107" s="3374"/>
      <c r="T107" s="3375"/>
      <c r="U107" s="3368">
        <v>0</v>
      </c>
      <c r="V107" s="3369"/>
      <c r="W107" s="3369"/>
      <c r="X107" s="3369"/>
      <c r="Y107" s="3370"/>
      <c r="Z107" s="3368">
        <v>0</v>
      </c>
      <c r="AA107" s="3369"/>
      <c r="AB107" s="3369"/>
      <c r="AC107" s="3369"/>
      <c r="AD107" s="3370"/>
      <c r="AE107" s="3368">
        <v>0</v>
      </c>
      <c r="AF107" s="3369"/>
      <c r="AG107" s="3369"/>
      <c r="AH107" s="3369"/>
      <c r="AI107" s="3370"/>
      <c r="AJ107" s="3368" t="e">
        <f t="shared" si="3"/>
        <v>#DIV/0!</v>
      </c>
      <c r="AK107" s="3369"/>
      <c r="AL107" s="3369"/>
      <c r="AM107" s="3369"/>
      <c r="AN107" s="3370"/>
      <c r="AO107" s="3368" t="e">
        <f t="shared" si="4"/>
        <v>#DIV/0!</v>
      </c>
      <c r="AP107" s="3369"/>
      <c r="AQ107" s="3369"/>
      <c r="AR107" s="3369"/>
      <c r="AS107" s="3370"/>
      <c r="AT107" s="3368" t="e">
        <f t="shared" si="5"/>
        <v>#DIV/0!</v>
      </c>
      <c r="AU107" s="3369"/>
      <c r="AV107" s="3369"/>
      <c r="AW107" s="3369"/>
      <c r="AX107" s="3370"/>
    </row>
    <row r="108" spans="1:50" hidden="1"/>
    <row r="111" spans="1:50">
      <c r="C111" s="702" t="s">
        <v>2437</v>
      </c>
    </row>
  </sheetData>
  <mergeCells count="912">
    <mergeCell ref="A3:C3"/>
    <mergeCell ref="F24:Z24"/>
    <mergeCell ref="A27:B27"/>
    <mergeCell ref="C27:E27"/>
    <mergeCell ref="J27:M27"/>
    <mergeCell ref="P27:R27"/>
    <mergeCell ref="S27:U27"/>
    <mergeCell ref="D16:D19"/>
    <mergeCell ref="AJ39:AX46"/>
    <mergeCell ref="A28:E29"/>
    <mergeCell ref="F28:T28"/>
    <mergeCell ref="U28:AI28"/>
    <mergeCell ref="AE30:AI30"/>
    <mergeCell ref="AJ28:AX28"/>
    <mergeCell ref="F29:J29"/>
    <mergeCell ref="K29:O29"/>
    <mergeCell ref="P29:T29"/>
    <mergeCell ref="U29:Y29"/>
    <mergeCell ref="Z29:AD29"/>
    <mergeCell ref="AE29:AI29"/>
    <mergeCell ref="AJ29:AX35"/>
    <mergeCell ref="K30:O30"/>
    <mergeCell ref="P30:T30"/>
    <mergeCell ref="AE31:AI31"/>
    <mergeCell ref="AK51:AX62"/>
    <mergeCell ref="AK66:AX77"/>
    <mergeCell ref="AK81:AX87"/>
    <mergeCell ref="AK91:AX95"/>
    <mergeCell ref="AJ38:AX38"/>
    <mergeCell ref="W73:AJ73"/>
    <mergeCell ref="W77:AJ77"/>
    <mergeCell ref="W80:AJ80"/>
    <mergeCell ref="Z40:AD40"/>
    <mergeCell ref="AE40:AI40"/>
    <mergeCell ref="AE42:AI42"/>
    <mergeCell ref="AE44:AI44"/>
    <mergeCell ref="AE46:AI46"/>
    <mergeCell ref="AK80:AX80"/>
    <mergeCell ref="AK90:AX90"/>
    <mergeCell ref="A30:C30"/>
    <mergeCell ref="F30:J30"/>
    <mergeCell ref="Z33:AD33"/>
    <mergeCell ref="AE33:AI33"/>
    <mergeCell ref="A32:C32"/>
    <mergeCell ref="F32:J32"/>
    <mergeCell ref="K32:O32"/>
    <mergeCell ref="P32:T32"/>
    <mergeCell ref="U32:Y32"/>
    <mergeCell ref="A31:C31"/>
    <mergeCell ref="F31:J31"/>
    <mergeCell ref="K31:O31"/>
    <mergeCell ref="P31:T31"/>
    <mergeCell ref="U31:Y31"/>
    <mergeCell ref="Z31:AD31"/>
    <mergeCell ref="U30:Y30"/>
    <mergeCell ref="Z30:AD30"/>
    <mergeCell ref="A33:C33"/>
    <mergeCell ref="F33:J33"/>
    <mergeCell ref="K33:O33"/>
    <mergeCell ref="P33:T33"/>
    <mergeCell ref="U33:Y33"/>
    <mergeCell ref="AE34:AI34"/>
    <mergeCell ref="Z32:AD32"/>
    <mergeCell ref="K34:O34"/>
    <mergeCell ref="P34:T34"/>
    <mergeCell ref="U34:Y34"/>
    <mergeCell ref="Z34:AD34"/>
    <mergeCell ref="AE32:AI32"/>
    <mergeCell ref="AE35:AI35"/>
    <mergeCell ref="A34:C34"/>
    <mergeCell ref="F34:J34"/>
    <mergeCell ref="Z35:AD35"/>
    <mergeCell ref="A37:B37"/>
    <mergeCell ref="C37:E37"/>
    <mergeCell ref="J37:M37"/>
    <mergeCell ref="P37:R37"/>
    <mergeCell ref="S37:U37"/>
    <mergeCell ref="A35:C35"/>
    <mergeCell ref="F35:J35"/>
    <mergeCell ref="K35:O35"/>
    <mergeCell ref="P35:T35"/>
    <mergeCell ref="U35:Y35"/>
    <mergeCell ref="A41:C41"/>
    <mergeCell ref="F41:J41"/>
    <mergeCell ref="K41:O41"/>
    <mergeCell ref="P41:T41"/>
    <mergeCell ref="U41:Y41"/>
    <mergeCell ref="Z41:AD41"/>
    <mergeCell ref="AE41:AI41"/>
    <mergeCell ref="P39:T39"/>
    <mergeCell ref="U39:Y39"/>
    <mergeCell ref="Z39:AD39"/>
    <mergeCell ref="AE39:AI39"/>
    <mergeCell ref="A38:E39"/>
    <mergeCell ref="F38:T38"/>
    <mergeCell ref="U38:AI38"/>
    <mergeCell ref="F39:J39"/>
    <mergeCell ref="K39:O39"/>
    <mergeCell ref="A40:C40"/>
    <mergeCell ref="F40:J40"/>
    <mergeCell ref="K40:O40"/>
    <mergeCell ref="P40:T40"/>
    <mergeCell ref="U40:Y40"/>
    <mergeCell ref="A43:C43"/>
    <mergeCell ref="F43:J43"/>
    <mergeCell ref="K43:O43"/>
    <mergeCell ref="P43:T43"/>
    <mergeCell ref="U43:Y43"/>
    <mergeCell ref="Z43:AD43"/>
    <mergeCell ref="AE43:AI43"/>
    <mergeCell ref="A42:C42"/>
    <mergeCell ref="F42:J42"/>
    <mergeCell ref="K42:O42"/>
    <mergeCell ref="P42:T42"/>
    <mergeCell ref="U42:Y42"/>
    <mergeCell ref="Z42:AD42"/>
    <mergeCell ref="A45:C45"/>
    <mergeCell ref="F45:J45"/>
    <mergeCell ref="K45:O45"/>
    <mergeCell ref="P45:T45"/>
    <mergeCell ref="U45:Y45"/>
    <mergeCell ref="Z45:AD45"/>
    <mergeCell ref="AE45:AI45"/>
    <mergeCell ref="A44:C44"/>
    <mergeCell ref="F44:J44"/>
    <mergeCell ref="K44:O44"/>
    <mergeCell ref="P44:T44"/>
    <mergeCell ref="U44:Y44"/>
    <mergeCell ref="Z44:AD44"/>
    <mergeCell ref="A49:B49"/>
    <mergeCell ref="C49:G49"/>
    <mergeCell ref="L49:O49"/>
    <mergeCell ref="T49:W49"/>
    <mergeCell ref="Y49:AA49"/>
    <mergeCell ref="AB49:AD49"/>
    <mergeCell ref="A46:C46"/>
    <mergeCell ref="F46:J46"/>
    <mergeCell ref="K46:O46"/>
    <mergeCell ref="P46:T46"/>
    <mergeCell ref="U46:Y46"/>
    <mergeCell ref="Z46:AD46"/>
    <mergeCell ref="A50:B50"/>
    <mergeCell ref="D50:H50"/>
    <mergeCell ref="I50:V50"/>
    <mergeCell ref="W50:AJ50"/>
    <mergeCell ref="AK50:AX50"/>
    <mergeCell ref="A51:C58"/>
    <mergeCell ref="D51:F51"/>
    <mergeCell ref="I51:V51"/>
    <mergeCell ref="W51:AJ51"/>
    <mergeCell ref="D52:F52"/>
    <mergeCell ref="D55:F55"/>
    <mergeCell ref="I55:V55"/>
    <mergeCell ref="W55:AJ55"/>
    <mergeCell ref="D56:F56"/>
    <mergeCell ref="I56:V56"/>
    <mergeCell ref="W56:AJ56"/>
    <mergeCell ref="I52:V52"/>
    <mergeCell ref="W52:AJ52"/>
    <mergeCell ref="D53:F53"/>
    <mergeCell ref="I53:V53"/>
    <mergeCell ref="W53:AJ53"/>
    <mergeCell ref="D54:F54"/>
    <mergeCell ref="I54:V54"/>
    <mergeCell ref="W54:AJ54"/>
    <mergeCell ref="A59:C60"/>
    <mergeCell ref="D59:F59"/>
    <mergeCell ref="I59:V59"/>
    <mergeCell ref="W59:AJ59"/>
    <mergeCell ref="D60:F60"/>
    <mergeCell ref="I60:V60"/>
    <mergeCell ref="W60:AJ60"/>
    <mergeCell ref="D57:F57"/>
    <mergeCell ref="I57:V57"/>
    <mergeCell ref="W57:AJ57"/>
    <mergeCell ref="D58:F58"/>
    <mergeCell ref="I58:V58"/>
    <mergeCell ref="W58:AJ58"/>
    <mergeCell ref="A64:B64"/>
    <mergeCell ref="C64:G64"/>
    <mergeCell ref="L64:O64"/>
    <mergeCell ref="T64:W64"/>
    <mergeCell ref="Y64:AA64"/>
    <mergeCell ref="AB64:AD64"/>
    <mergeCell ref="A61:C62"/>
    <mergeCell ref="D61:F61"/>
    <mergeCell ref="I61:V61"/>
    <mergeCell ref="W61:AJ61"/>
    <mergeCell ref="D62:F62"/>
    <mergeCell ref="I62:V62"/>
    <mergeCell ref="W62:AJ62"/>
    <mergeCell ref="A65:B65"/>
    <mergeCell ref="D65:H65"/>
    <mergeCell ref="I65:V65"/>
    <mergeCell ref="W65:AJ65"/>
    <mergeCell ref="AK65:AX65"/>
    <mergeCell ref="A66:C73"/>
    <mergeCell ref="D66:F66"/>
    <mergeCell ref="I66:V66"/>
    <mergeCell ref="W66:AJ66"/>
    <mergeCell ref="D67:F67"/>
    <mergeCell ref="D70:F70"/>
    <mergeCell ref="I70:V70"/>
    <mergeCell ref="W70:AJ70"/>
    <mergeCell ref="D71:F71"/>
    <mergeCell ref="I71:V71"/>
    <mergeCell ref="W71:AJ71"/>
    <mergeCell ref="I67:V67"/>
    <mergeCell ref="W67:AJ67"/>
    <mergeCell ref="D68:F68"/>
    <mergeCell ref="I68:V68"/>
    <mergeCell ref="W68:AJ68"/>
    <mergeCell ref="D69:F69"/>
    <mergeCell ref="I69:V69"/>
    <mergeCell ref="W69:AJ69"/>
    <mergeCell ref="D72:F72"/>
    <mergeCell ref="I72:V72"/>
    <mergeCell ref="W72:AJ72"/>
    <mergeCell ref="A74:C75"/>
    <mergeCell ref="D74:F74"/>
    <mergeCell ref="I74:V74"/>
    <mergeCell ref="W74:AJ74"/>
    <mergeCell ref="D75:F75"/>
    <mergeCell ref="D73:F73"/>
    <mergeCell ref="I73:V73"/>
    <mergeCell ref="A79:B79"/>
    <mergeCell ref="C79:E79"/>
    <mergeCell ref="J79:M79"/>
    <mergeCell ref="P79:R79"/>
    <mergeCell ref="S79:U79"/>
    <mergeCell ref="A80:H80"/>
    <mergeCell ref="I80:V80"/>
    <mergeCell ref="I75:V75"/>
    <mergeCell ref="W75:AJ75"/>
    <mergeCell ref="A76:C77"/>
    <mergeCell ref="D76:F76"/>
    <mergeCell ref="I76:V76"/>
    <mergeCell ref="W76:AJ76"/>
    <mergeCell ref="D77:F77"/>
    <mergeCell ref="I77:V77"/>
    <mergeCell ref="A83:H83"/>
    <mergeCell ref="I83:V83"/>
    <mergeCell ref="W83:AJ83"/>
    <mergeCell ref="A84:H84"/>
    <mergeCell ref="I84:V84"/>
    <mergeCell ref="W84:AJ84"/>
    <mergeCell ref="A81:H81"/>
    <mergeCell ref="I81:V81"/>
    <mergeCell ref="W81:AJ81"/>
    <mergeCell ref="A82:H82"/>
    <mergeCell ref="I82:V82"/>
    <mergeCell ref="W82:AJ82"/>
    <mergeCell ref="A87:H87"/>
    <mergeCell ref="I87:V87"/>
    <mergeCell ref="W87:AJ87"/>
    <mergeCell ref="A89:B89"/>
    <mergeCell ref="C89:G89"/>
    <mergeCell ref="L89:P89"/>
    <mergeCell ref="U89:X89"/>
    <mergeCell ref="AC89:AE89"/>
    <mergeCell ref="A85:H85"/>
    <mergeCell ref="I85:V85"/>
    <mergeCell ref="W85:AJ85"/>
    <mergeCell ref="A86:H86"/>
    <mergeCell ref="I86:V86"/>
    <mergeCell ref="W86:AJ86"/>
    <mergeCell ref="A92:E92"/>
    <mergeCell ref="I92:Q92"/>
    <mergeCell ref="W92:AE92"/>
    <mergeCell ref="A93:E93"/>
    <mergeCell ref="I93:Q93"/>
    <mergeCell ref="W93:AE93"/>
    <mergeCell ref="A90:H90"/>
    <mergeCell ref="I90:V90"/>
    <mergeCell ref="W90:AJ90"/>
    <mergeCell ref="A91:E91"/>
    <mergeCell ref="I91:Q91"/>
    <mergeCell ref="W91:AE91"/>
    <mergeCell ref="A102:C102"/>
    <mergeCell ref="F102:J102"/>
    <mergeCell ref="K102:O102"/>
    <mergeCell ref="P102:T102"/>
    <mergeCell ref="U102:Y102"/>
    <mergeCell ref="Z102:AD102"/>
    <mergeCell ref="A100:E101"/>
    <mergeCell ref="AJ102:AN102"/>
    <mergeCell ref="AO102:AS102"/>
    <mergeCell ref="AJ100:AX100"/>
    <mergeCell ref="AE102:AI102"/>
    <mergeCell ref="AJ101:AN101"/>
    <mergeCell ref="A94:E94"/>
    <mergeCell ref="I94:Q94"/>
    <mergeCell ref="W94:AE94"/>
    <mergeCell ref="AE101:AI101"/>
    <mergeCell ref="A95:E95"/>
    <mergeCell ref="I95:Q95"/>
    <mergeCell ref="W95:AE95"/>
    <mergeCell ref="A99:B99"/>
    <mergeCell ref="C99:E99"/>
    <mergeCell ref="J99:M99"/>
    <mergeCell ref="P99:R99"/>
    <mergeCell ref="S99:U99"/>
    <mergeCell ref="F101:J101"/>
    <mergeCell ref="K101:O101"/>
    <mergeCell ref="P101:T101"/>
    <mergeCell ref="U101:Y101"/>
    <mergeCell ref="Z101:AD101"/>
    <mergeCell ref="F100:T100"/>
    <mergeCell ref="U100:AI100"/>
    <mergeCell ref="AE104:AI104"/>
    <mergeCell ref="AJ104:AN104"/>
    <mergeCell ref="AO104:AS104"/>
    <mergeCell ref="AO101:AS101"/>
    <mergeCell ref="AT101:AX101"/>
    <mergeCell ref="AT102:AX102"/>
    <mergeCell ref="P105:T105"/>
    <mergeCell ref="U105:Y105"/>
    <mergeCell ref="Z105:AD105"/>
    <mergeCell ref="AE105:AI105"/>
    <mergeCell ref="AJ105:AN105"/>
    <mergeCell ref="AO105:AS105"/>
    <mergeCell ref="AT103:AX103"/>
    <mergeCell ref="AT104:AX104"/>
    <mergeCell ref="AJ103:AN103"/>
    <mergeCell ref="AO103:AS103"/>
    <mergeCell ref="A103:C103"/>
    <mergeCell ref="F103:J103"/>
    <mergeCell ref="K103:O103"/>
    <mergeCell ref="P103:T103"/>
    <mergeCell ref="U103:Y103"/>
    <mergeCell ref="Z103:AD103"/>
    <mergeCell ref="AE103:AI103"/>
    <mergeCell ref="AT105:AX105"/>
    <mergeCell ref="A106:C106"/>
    <mergeCell ref="F106:J106"/>
    <mergeCell ref="K106:O106"/>
    <mergeCell ref="P106:T106"/>
    <mergeCell ref="U106:Y106"/>
    <mergeCell ref="Z106:AD106"/>
    <mergeCell ref="AE106:AI106"/>
    <mergeCell ref="A105:C105"/>
    <mergeCell ref="F105:J105"/>
    <mergeCell ref="K105:O105"/>
    <mergeCell ref="A104:C104"/>
    <mergeCell ref="F104:J104"/>
    <mergeCell ref="K104:O104"/>
    <mergeCell ref="P104:T104"/>
    <mergeCell ref="U104:Y104"/>
    <mergeCell ref="Z104:AD104"/>
    <mergeCell ref="AJ107:AN107"/>
    <mergeCell ref="AO107:AS107"/>
    <mergeCell ref="AT107:AX107"/>
    <mergeCell ref="AJ106:AN106"/>
    <mergeCell ref="AO106:AS106"/>
    <mergeCell ref="AT106:AX106"/>
    <mergeCell ref="A107:C107"/>
    <mergeCell ref="F107:J107"/>
    <mergeCell ref="K107:O107"/>
    <mergeCell ref="P107:T107"/>
    <mergeCell ref="U107:Y107"/>
    <mergeCell ref="Z107:AD107"/>
    <mergeCell ref="AE107:AI107"/>
    <mergeCell ref="DD27:DF27"/>
    <mergeCell ref="DK27:DN27"/>
    <mergeCell ref="DQ27:DS27"/>
    <mergeCell ref="DT27:DV27"/>
    <mergeCell ref="BB28:BF29"/>
    <mergeCell ref="BG28:BU28"/>
    <mergeCell ref="BV28:CJ28"/>
    <mergeCell ref="CK28:CY28"/>
    <mergeCell ref="DB28:DF29"/>
    <mergeCell ref="DG28:DU28"/>
    <mergeCell ref="BB27:BC27"/>
    <mergeCell ref="BD27:BF27"/>
    <mergeCell ref="BK27:BN27"/>
    <mergeCell ref="BQ27:BS27"/>
    <mergeCell ref="BT27:BV27"/>
    <mergeCell ref="DB27:DC27"/>
    <mergeCell ref="DV28:EJ28"/>
    <mergeCell ref="BG29:BK29"/>
    <mergeCell ref="BL29:BP29"/>
    <mergeCell ref="BQ29:BU29"/>
    <mergeCell ref="BV29:BZ29"/>
    <mergeCell ref="CA29:CE29"/>
    <mergeCell ref="CF29:CJ29"/>
    <mergeCell ref="CK29:CY35"/>
    <mergeCell ref="DG29:DK29"/>
    <mergeCell ref="DL29:DP29"/>
    <mergeCell ref="DQ29:DU29"/>
    <mergeCell ref="DV29:DZ29"/>
    <mergeCell ref="EA29:EE29"/>
    <mergeCell ref="EF29:EJ29"/>
    <mergeCell ref="BB30:BD30"/>
    <mergeCell ref="BG30:BK30"/>
    <mergeCell ref="BL30:BP30"/>
    <mergeCell ref="BQ30:BU30"/>
    <mergeCell ref="BV30:BZ30"/>
    <mergeCell ref="CA30:CE30"/>
    <mergeCell ref="DG31:DK31"/>
    <mergeCell ref="DL31:DP31"/>
    <mergeCell ref="DQ31:DU31"/>
    <mergeCell ref="DV31:DZ31"/>
    <mergeCell ref="EA31:EE31"/>
    <mergeCell ref="EF31:EJ31"/>
    <mergeCell ref="EA30:EE30"/>
    <mergeCell ref="EF30:EJ30"/>
    <mergeCell ref="BB31:BD31"/>
    <mergeCell ref="BG31:BK31"/>
    <mergeCell ref="BL31:BP31"/>
    <mergeCell ref="BQ31:BU31"/>
    <mergeCell ref="BV31:BZ31"/>
    <mergeCell ref="CA31:CE31"/>
    <mergeCell ref="CF31:CJ31"/>
    <mergeCell ref="DB31:DD31"/>
    <mergeCell ref="CF30:CJ30"/>
    <mergeCell ref="DB30:DD30"/>
    <mergeCell ref="DG30:DK30"/>
    <mergeCell ref="DL30:DP30"/>
    <mergeCell ref="DQ30:DU30"/>
    <mergeCell ref="DV30:DZ30"/>
    <mergeCell ref="EF33:EJ33"/>
    <mergeCell ref="EA32:EE32"/>
    <mergeCell ref="EF32:EJ32"/>
    <mergeCell ref="BB33:BD33"/>
    <mergeCell ref="BG33:BK33"/>
    <mergeCell ref="BL33:BP33"/>
    <mergeCell ref="BQ33:BU33"/>
    <mergeCell ref="BV33:BZ33"/>
    <mergeCell ref="CA33:CE33"/>
    <mergeCell ref="CF33:CJ33"/>
    <mergeCell ref="DB33:DD33"/>
    <mergeCell ref="CF32:CJ32"/>
    <mergeCell ref="DB32:DD32"/>
    <mergeCell ref="DG32:DK32"/>
    <mergeCell ref="DL32:DP32"/>
    <mergeCell ref="DQ32:DU32"/>
    <mergeCell ref="DV32:DZ32"/>
    <mergeCell ref="BB32:BD32"/>
    <mergeCell ref="BG32:BK32"/>
    <mergeCell ref="BL32:BP32"/>
    <mergeCell ref="BQ32:BU32"/>
    <mergeCell ref="BV32:BZ32"/>
    <mergeCell ref="CA32:CE32"/>
    <mergeCell ref="BL34:BP34"/>
    <mergeCell ref="BQ34:BU34"/>
    <mergeCell ref="BV34:BZ34"/>
    <mergeCell ref="CA34:CE34"/>
    <mergeCell ref="DG33:DK33"/>
    <mergeCell ref="DL33:DP33"/>
    <mergeCell ref="DQ33:DU33"/>
    <mergeCell ref="DV33:DZ33"/>
    <mergeCell ref="EA33:EE33"/>
    <mergeCell ref="DG35:DK35"/>
    <mergeCell ref="DL35:DP35"/>
    <mergeCell ref="DQ35:DU35"/>
    <mergeCell ref="DV35:DZ35"/>
    <mergeCell ref="EA35:EE35"/>
    <mergeCell ref="EF35:EJ35"/>
    <mergeCell ref="EA34:EE34"/>
    <mergeCell ref="EF34:EJ34"/>
    <mergeCell ref="BB35:BD35"/>
    <mergeCell ref="BG35:BK35"/>
    <mergeCell ref="BL35:BP35"/>
    <mergeCell ref="BQ35:BU35"/>
    <mergeCell ref="BV35:BZ35"/>
    <mergeCell ref="CA35:CE35"/>
    <mergeCell ref="CF35:CJ35"/>
    <mergeCell ref="DB35:DD35"/>
    <mergeCell ref="CF34:CJ34"/>
    <mergeCell ref="DB34:DD34"/>
    <mergeCell ref="DG34:DK34"/>
    <mergeCell ref="DL34:DP34"/>
    <mergeCell ref="DQ34:DU34"/>
    <mergeCell ref="DV34:DZ34"/>
    <mergeCell ref="BB34:BD34"/>
    <mergeCell ref="BG34:BK34"/>
    <mergeCell ref="DD37:DF37"/>
    <mergeCell ref="DK37:DN37"/>
    <mergeCell ref="DQ37:DS37"/>
    <mergeCell ref="DT37:DV37"/>
    <mergeCell ref="BB38:BF39"/>
    <mergeCell ref="BG38:BU38"/>
    <mergeCell ref="BV38:CJ38"/>
    <mergeCell ref="CK38:CY38"/>
    <mergeCell ref="DB38:DF39"/>
    <mergeCell ref="DG38:DU38"/>
    <mergeCell ref="BB37:BC37"/>
    <mergeCell ref="BD37:BF37"/>
    <mergeCell ref="BK37:BN37"/>
    <mergeCell ref="BQ37:BS37"/>
    <mergeCell ref="BT37:BV37"/>
    <mergeCell ref="DB37:DC37"/>
    <mergeCell ref="DV38:EJ38"/>
    <mergeCell ref="BG39:BK39"/>
    <mergeCell ref="BL39:BP39"/>
    <mergeCell ref="BQ39:BU39"/>
    <mergeCell ref="BV39:BZ39"/>
    <mergeCell ref="CA39:CE39"/>
    <mergeCell ref="CF39:CJ39"/>
    <mergeCell ref="CK39:CY46"/>
    <mergeCell ref="DG39:DK39"/>
    <mergeCell ref="DL39:DP39"/>
    <mergeCell ref="DQ39:DU39"/>
    <mergeCell ref="DV39:DZ39"/>
    <mergeCell ref="EA39:EE39"/>
    <mergeCell ref="EF39:EJ39"/>
    <mergeCell ref="BB40:BD40"/>
    <mergeCell ref="BG40:BK40"/>
    <mergeCell ref="BL40:BP40"/>
    <mergeCell ref="BQ40:BU40"/>
    <mergeCell ref="BV40:BZ40"/>
    <mergeCell ref="CA40:CE40"/>
    <mergeCell ref="DG41:DK41"/>
    <mergeCell ref="DL41:DP41"/>
    <mergeCell ref="DQ41:DU41"/>
    <mergeCell ref="DV41:DZ41"/>
    <mergeCell ref="EA41:EE41"/>
    <mergeCell ref="EF41:EJ41"/>
    <mergeCell ref="EA40:EE40"/>
    <mergeCell ref="EF40:EJ40"/>
    <mergeCell ref="BB41:BD41"/>
    <mergeCell ref="BG41:BK41"/>
    <mergeCell ref="BL41:BP41"/>
    <mergeCell ref="BQ41:BU41"/>
    <mergeCell ref="BV41:BZ41"/>
    <mergeCell ref="CA41:CE41"/>
    <mergeCell ref="CF41:CJ41"/>
    <mergeCell ref="DB41:DD41"/>
    <mergeCell ref="CF40:CJ40"/>
    <mergeCell ref="DB40:DD40"/>
    <mergeCell ref="DG40:DK40"/>
    <mergeCell ref="DL40:DP40"/>
    <mergeCell ref="DQ40:DU40"/>
    <mergeCell ref="DV40:DZ40"/>
    <mergeCell ref="EF43:EJ43"/>
    <mergeCell ref="EA42:EE42"/>
    <mergeCell ref="EF42:EJ42"/>
    <mergeCell ref="BB43:BD43"/>
    <mergeCell ref="BG43:BK43"/>
    <mergeCell ref="BL43:BP43"/>
    <mergeCell ref="BQ43:BU43"/>
    <mergeCell ref="BV43:BZ43"/>
    <mergeCell ref="CA43:CE43"/>
    <mergeCell ref="CF43:CJ43"/>
    <mergeCell ref="DB43:DD43"/>
    <mergeCell ref="CF42:CJ42"/>
    <mergeCell ref="DB42:DD42"/>
    <mergeCell ref="DG42:DK42"/>
    <mergeCell ref="DL42:DP42"/>
    <mergeCell ref="DQ42:DU42"/>
    <mergeCell ref="DV42:DZ42"/>
    <mergeCell ref="BB42:BD42"/>
    <mergeCell ref="BG42:BK42"/>
    <mergeCell ref="BL42:BP42"/>
    <mergeCell ref="BQ42:BU42"/>
    <mergeCell ref="BV42:BZ42"/>
    <mergeCell ref="CA42:CE42"/>
    <mergeCell ref="BL44:BP44"/>
    <mergeCell ref="BQ44:BU44"/>
    <mergeCell ref="BV44:BZ44"/>
    <mergeCell ref="CA44:CE44"/>
    <mergeCell ref="DG43:DK43"/>
    <mergeCell ref="DL43:DP43"/>
    <mergeCell ref="DQ43:DU43"/>
    <mergeCell ref="DV43:DZ43"/>
    <mergeCell ref="EA43:EE43"/>
    <mergeCell ref="DG45:DK45"/>
    <mergeCell ref="DL45:DP45"/>
    <mergeCell ref="DQ45:DU45"/>
    <mergeCell ref="DV45:DZ45"/>
    <mergeCell ref="EA45:EE45"/>
    <mergeCell ref="EF45:EJ45"/>
    <mergeCell ref="EA44:EE44"/>
    <mergeCell ref="EF44:EJ44"/>
    <mergeCell ref="BB45:BD45"/>
    <mergeCell ref="BG45:BK45"/>
    <mergeCell ref="BL45:BP45"/>
    <mergeCell ref="BQ45:BU45"/>
    <mergeCell ref="BV45:BZ45"/>
    <mergeCell ref="CA45:CE45"/>
    <mergeCell ref="CF45:CJ45"/>
    <mergeCell ref="DB45:DD45"/>
    <mergeCell ref="CF44:CJ44"/>
    <mergeCell ref="DB44:DD44"/>
    <mergeCell ref="DG44:DK44"/>
    <mergeCell ref="DL44:DP44"/>
    <mergeCell ref="DQ44:DU44"/>
    <mergeCell ref="DV44:DZ44"/>
    <mergeCell ref="BB44:BD44"/>
    <mergeCell ref="BG44:BK44"/>
    <mergeCell ref="EF46:EJ46"/>
    <mergeCell ref="BB49:BC49"/>
    <mergeCell ref="BD49:BH49"/>
    <mergeCell ref="BM49:BP49"/>
    <mergeCell ref="BU49:BX49"/>
    <mergeCell ref="BZ49:CB49"/>
    <mergeCell ref="CC49:CE49"/>
    <mergeCell ref="DB49:DC49"/>
    <mergeCell ref="DD49:DH49"/>
    <mergeCell ref="CF46:CJ46"/>
    <mergeCell ref="DB46:DD46"/>
    <mergeCell ref="DG46:DK46"/>
    <mergeCell ref="DL46:DP46"/>
    <mergeCell ref="DQ46:DU46"/>
    <mergeCell ref="DV46:DZ46"/>
    <mergeCell ref="BB46:BD46"/>
    <mergeCell ref="BG46:BK46"/>
    <mergeCell ref="BL46:BP46"/>
    <mergeCell ref="BQ46:BU46"/>
    <mergeCell ref="BV46:BZ46"/>
    <mergeCell ref="CA46:CE46"/>
    <mergeCell ref="DZ49:EB49"/>
    <mergeCell ref="EC49:EE49"/>
    <mergeCell ref="BB50:BC50"/>
    <mergeCell ref="BE50:BI50"/>
    <mergeCell ref="BJ50:BW50"/>
    <mergeCell ref="BX50:CK50"/>
    <mergeCell ref="CL50:CY50"/>
    <mergeCell ref="DB50:DC50"/>
    <mergeCell ref="EA46:EE46"/>
    <mergeCell ref="BB51:BD58"/>
    <mergeCell ref="BE51:BG51"/>
    <mergeCell ref="BJ51:BW51"/>
    <mergeCell ref="BX51:CK51"/>
    <mergeCell ref="CL51:CY62"/>
    <mergeCell ref="DB51:DD58"/>
    <mergeCell ref="DE51:DG51"/>
    <mergeCell ref="DM49:DP49"/>
    <mergeCell ref="DU49:DX49"/>
    <mergeCell ref="DJ51:DW51"/>
    <mergeCell ref="DX51:EJ51"/>
    <mergeCell ref="BE52:BG52"/>
    <mergeCell ref="BJ52:BW52"/>
    <mergeCell ref="BX52:CK52"/>
    <mergeCell ref="DE52:DG52"/>
    <mergeCell ref="DJ52:DW52"/>
    <mergeCell ref="DX52:EJ52"/>
    <mergeCell ref="DE50:DI50"/>
    <mergeCell ref="DJ50:DW50"/>
    <mergeCell ref="DX50:EJ50"/>
    <mergeCell ref="BE54:BG54"/>
    <mergeCell ref="BJ54:BW54"/>
    <mergeCell ref="BX54:CK54"/>
    <mergeCell ref="DE54:DG54"/>
    <mergeCell ref="DJ54:DW54"/>
    <mergeCell ref="DX54:EJ54"/>
    <mergeCell ref="BE53:BG53"/>
    <mergeCell ref="BJ53:BW53"/>
    <mergeCell ref="BX53:CK53"/>
    <mergeCell ref="DE53:DG53"/>
    <mergeCell ref="DJ53:DW53"/>
    <mergeCell ref="DX53:EJ53"/>
    <mergeCell ref="BE56:BG56"/>
    <mergeCell ref="BJ56:BW56"/>
    <mergeCell ref="BX56:CK56"/>
    <mergeCell ref="DE56:DG56"/>
    <mergeCell ref="DJ56:DW56"/>
    <mergeCell ref="DX56:EJ56"/>
    <mergeCell ref="BE55:BG55"/>
    <mergeCell ref="BJ55:BW55"/>
    <mergeCell ref="BX55:CK55"/>
    <mergeCell ref="DE55:DG55"/>
    <mergeCell ref="DJ55:DW55"/>
    <mergeCell ref="DX55:EJ55"/>
    <mergeCell ref="BE58:BG58"/>
    <mergeCell ref="BJ58:BW58"/>
    <mergeCell ref="BX58:CK58"/>
    <mergeCell ref="DE58:DG58"/>
    <mergeCell ref="DJ58:DW58"/>
    <mergeCell ref="DX58:EJ58"/>
    <mergeCell ref="BE57:BG57"/>
    <mergeCell ref="BJ57:BW57"/>
    <mergeCell ref="BX57:CK57"/>
    <mergeCell ref="DE57:DG57"/>
    <mergeCell ref="DJ57:DW57"/>
    <mergeCell ref="DX57:EJ57"/>
    <mergeCell ref="DJ59:DW59"/>
    <mergeCell ref="DX59:EJ59"/>
    <mergeCell ref="BE60:BG60"/>
    <mergeCell ref="BJ60:BW60"/>
    <mergeCell ref="BX60:CK60"/>
    <mergeCell ref="DE60:DG60"/>
    <mergeCell ref="DJ60:DW60"/>
    <mergeCell ref="DX60:EJ60"/>
    <mergeCell ref="BB59:BD60"/>
    <mergeCell ref="BE59:BG59"/>
    <mergeCell ref="BJ59:BW59"/>
    <mergeCell ref="BX59:CK59"/>
    <mergeCell ref="DB59:DD60"/>
    <mergeCell ref="DE59:DG59"/>
    <mergeCell ref="DJ61:DW61"/>
    <mergeCell ref="DX61:EJ61"/>
    <mergeCell ref="BE62:BG62"/>
    <mergeCell ref="BJ62:BW62"/>
    <mergeCell ref="BX62:CK62"/>
    <mergeCell ref="DE62:DG62"/>
    <mergeCell ref="DJ62:DW62"/>
    <mergeCell ref="DX62:EJ62"/>
    <mergeCell ref="BB61:BD62"/>
    <mergeCell ref="BE61:BG61"/>
    <mergeCell ref="BJ61:BW61"/>
    <mergeCell ref="BX61:CK61"/>
    <mergeCell ref="DB61:DD62"/>
    <mergeCell ref="DE61:DG61"/>
    <mergeCell ref="DB64:DC64"/>
    <mergeCell ref="DD64:DH64"/>
    <mergeCell ref="DM64:DP64"/>
    <mergeCell ref="DU64:DX64"/>
    <mergeCell ref="DZ64:EB64"/>
    <mergeCell ref="EC64:EE64"/>
    <mergeCell ref="BB64:BC64"/>
    <mergeCell ref="BD64:BH64"/>
    <mergeCell ref="BM64:BP64"/>
    <mergeCell ref="BU64:BX64"/>
    <mergeCell ref="BZ64:CB64"/>
    <mergeCell ref="CC64:CE64"/>
    <mergeCell ref="BB66:BD73"/>
    <mergeCell ref="BE66:BG66"/>
    <mergeCell ref="BJ66:BW66"/>
    <mergeCell ref="BX66:CK66"/>
    <mergeCell ref="CL66:CY77"/>
    <mergeCell ref="DB66:DD73"/>
    <mergeCell ref="DE66:DG66"/>
    <mergeCell ref="BB65:BC65"/>
    <mergeCell ref="BE65:BI65"/>
    <mergeCell ref="BJ65:BW65"/>
    <mergeCell ref="BX65:CK65"/>
    <mergeCell ref="CL65:CY65"/>
    <mergeCell ref="DB65:DC65"/>
    <mergeCell ref="BE69:BG69"/>
    <mergeCell ref="BJ69:BW69"/>
    <mergeCell ref="BX69:CK69"/>
    <mergeCell ref="DE69:DG69"/>
    <mergeCell ref="BE73:BG73"/>
    <mergeCell ref="BJ73:BW73"/>
    <mergeCell ref="BX73:CK73"/>
    <mergeCell ref="DE73:DG73"/>
    <mergeCell ref="BE75:BG75"/>
    <mergeCell ref="BJ75:BW75"/>
    <mergeCell ref="BX75:CK75"/>
    <mergeCell ref="DJ66:DW66"/>
    <mergeCell ref="DX66:EJ66"/>
    <mergeCell ref="BE67:BG67"/>
    <mergeCell ref="BJ67:BW67"/>
    <mergeCell ref="BX67:CK67"/>
    <mergeCell ref="DE67:DG67"/>
    <mergeCell ref="DJ67:DW67"/>
    <mergeCell ref="DX67:EJ67"/>
    <mergeCell ref="DE65:DI65"/>
    <mergeCell ref="DJ65:DW65"/>
    <mergeCell ref="DX65:EJ65"/>
    <mergeCell ref="DJ69:DW69"/>
    <mergeCell ref="DX69:EJ69"/>
    <mergeCell ref="BE68:BG68"/>
    <mergeCell ref="BJ68:BW68"/>
    <mergeCell ref="BX68:CK68"/>
    <mergeCell ref="DE68:DG68"/>
    <mergeCell ref="DJ68:DW68"/>
    <mergeCell ref="DX68:EJ68"/>
    <mergeCell ref="BE71:BG71"/>
    <mergeCell ref="BJ71:BW71"/>
    <mergeCell ref="BX71:CK71"/>
    <mergeCell ref="DE71:DG71"/>
    <mergeCell ref="DJ71:DW71"/>
    <mergeCell ref="DX71:EJ71"/>
    <mergeCell ref="BE70:BG70"/>
    <mergeCell ref="BJ70:BW70"/>
    <mergeCell ref="BX70:CK70"/>
    <mergeCell ref="DE70:DG70"/>
    <mergeCell ref="DJ70:DW70"/>
    <mergeCell ref="DX70:EJ70"/>
    <mergeCell ref="DJ73:DW73"/>
    <mergeCell ref="DX73:EJ73"/>
    <mergeCell ref="BE72:BG72"/>
    <mergeCell ref="BJ72:BW72"/>
    <mergeCell ref="BX72:CK72"/>
    <mergeCell ref="DE72:DG72"/>
    <mergeCell ref="DJ72:DW72"/>
    <mergeCell ref="DX72:EJ72"/>
    <mergeCell ref="DJ74:DW74"/>
    <mergeCell ref="DX74:EJ74"/>
    <mergeCell ref="DE75:DG75"/>
    <mergeCell ref="DJ75:DW75"/>
    <mergeCell ref="DX75:EJ75"/>
    <mergeCell ref="BB74:BD75"/>
    <mergeCell ref="BE74:BG74"/>
    <mergeCell ref="BJ74:BW74"/>
    <mergeCell ref="BX74:CK74"/>
    <mergeCell ref="DB74:DD75"/>
    <mergeCell ref="DE74:DG74"/>
    <mergeCell ref="DJ76:DW76"/>
    <mergeCell ref="DX76:EJ76"/>
    <mergeCell ref="BE77:BG77"/>
    <mergeCell ref="BJ77:BW77"/>
    <mergeCell ref="BX77:CK77"/>
    <mergeCell ref="DE77:DG77"/>
    <mergeCell ref="DJ77:DW77"/>
    <mergeCell ref="DX77:EJ77"/>
    <mergeCell ref="BB76:BD77"/>
    <mergeCell ref="BE76:BG76"/>
    <mergeCell ref="BJ76:BW76"/>
    <mergeCell ref="BX76:CK76"/>
    <mergeCell ref="DB76:DD77"/>
    <mergeCell ref="DE76:DG76"/>
    <mergeCell ref="DD79:DF79"/>
    <mergeCell ref="DK79:DN79"/>
    <mergeCell ref="DQ79:DS79"/>
    <mergeCell ref="DT79:DV79"/>
    <mergeCell ref="BB80:BI80"/>
    <mergeCell ref="BJ80:BW80"/>
    <mergeCell ref="BX80:CK80"/>
    <mergeCell ref="CL80:CY80"/>
    <mergeCell ref="DB80:DI80"/>
    <mergeCell ref="DJ80:DW80"/>
    <mergeCell ref="BB79:BC79"/>
    <mergeCell ref="BD79:BF79"/>
    <mergeCell ref="BK79:BN79"/>
    <mergeCell ref="BQ79:BS79"/>
    <mergeCell ref="BT79:BV79"/>
    <mergeCell ref="DB79:DC79"/>
    <mergeCell ref="DX80:EJ80"/>
    <mergeCell ref="BB81:BI81"/>
    <mergeCell ref="BJ81:BW81"/>
    <mergeCell ref="BX81:CK81"/>
    <mergeCell ref="CL81:CY87"/>
    <mergeCell ref="DB81:DI81"/>
    <mergeCell ref="DJ81:DW81"/>
    <mergeCell ref="DX81:EJ81"/>
    <mergeCell ref="BB82:BI82"/>
    <mergeCell ref="BJ82:BW82"/>
    <mergeCell ref="BX82:CK82"/>
    <mergeCell ref="DB82:DI82"/>
    <mergeCell ref="DJ82:DW82"/>
    <mergeCell ref="DX82:EJ82"/>
    <mergeCell ref="BB83:BI83"/>
    <mergeCell ref="BJ83:BW83"/>
    <mergeCell ref="BX83:CK83"/>
    <mergeCell ref="DB83:DI83"/>
    <mergeCell ref="DJ83:DW83"/>
    <mergeCell ref="DX83:EJ83"/>
    <mergeCell ref="BB85:BI85"/>
    <mergeCell ref="BJ85:BW85"/>
    <mergeCell ref="BX85:CK85"/>
    <mergeCell ref="DB85:DI85"/>
    <mergeCell ref="DJ85:DW85"/>
    <mergeCell ref="DX85:EJ85"/>
    <mergeCell ref="BB84:BI84"/>
    <mergeCell ref="BJ84:BW84"/>
    <mergeCell ref="BX84:CK84"/>
    <mergeCell ref="DB84:DI84"/>
    <mergeCell ref="DJ84:DW84"/>
    <mergeCell ref="DX84:EJ84"/>
    <mergeCell ref="BB87:BI87"/>
    <mergeCell ref="BJ87:BW87"/>
    <mergeCell ref="BX87:CK87"/>
    <mergeCell ref="DB87:DI87"/>
    <mergeCell ref="DJ87:DW87"/>
    <mergeCell ref="DX87:EJ87"/>
    <mergeCell ref="BB86:BI86"/>
    <mergeCell ref="BJ86:BW86"/>
    <mergeCell ref="BX86:CK86"/>
    <mergeCell ref="DB86:DI86"/>
    <mergeCell ref="DJ86:DW86"/>
    <mergeCell ref="DX86:EJ86"/>
    <mergeCell ref="BX94:CF94"/>
    <mergeCell ref="DB94:DF94"/>
    <mergeCell ref="DJ94:DR94"/>
    <mergeCell ref="DX94:EF94"/>
    <mergeCell ref="BB95:BF95"/>
    <mergeCell ref="BJ95:BR95"/>
    <mergeCell ref="BX95:CF95"/>
    <mergeCell ref="DV89:DY89"/>
    <mergeCell ref="ED89:EF89"/>
    <mergeCell ref="BB90:BI90"/>
    <mergeCell ref="BJ90:BW90"/>
    <mergeCell ref="BX90:CK90"/>
    <mergeCell ref="CL90:CY90"/>
    <mergeCell ref="DB90:DI90"/>
    <mergeCell ref="DJ90:DW90"/>
    <mergeCell ref="BB89:BC89"/>
    <mergeCell ref="BD89:BH89"/>
    <mergeCell ref="BM89:BQ89"/>
    <mergeCell ref="BV89:BY89"/>
    <mergeCell ref="CD89:CF89"/>
    <mergeCell ref="DB89:DC89"/>
    <mergeCell ref="DX90:EJ90"/>
    <mergeCell ref="DD89:DH89"/>
    <mergeCell ref="DM89:DQ89"/>
    <mergeCell ref="DX92:EF92"/>
    <mergeCell ref="BB93:BF93"/>
    <mergeCell ref="BJ93:BR93"/>
    <mergeCell ref="BX93:CF93"/>
    <mergeCell ref="DB93:DF93"/>
    <mergeCell ref="DJ93:DR93"/>
    <mergeCell ref="DX93:EF93"/>
    <mergeCell ref="BB91:BF91"/>
    <mergeCell ref="BJ91:BR91"/>
    <mergeCell ref="BX91:CF91"/>
    <mergeCell ref="CL91:CY95"/>
    <mergeCell ref="DB91:DF91"/>
    <mergeCell ref="DJ91:DR91"/>
    <mergeCell ref="DX91:EF91"/>
    <mergeCell ref="BB92:BF92"/>
    <mergeCell ref="BJ92:BR92"/>
    <mergeCell ref="DB95:DF95"/>
    <mergeCell ref="DJ95:DR95"/>
    <mergeCell ref="BX92:CF92"/>
    <mergeCell ref="DB92:DF92"/>
    <mergeCell ref="DJ92:DR92"/>
    <mergeCell ref="DX95:EF95"/>
    <mergeCell ref="BB94:BF94"/>
    <mergeCell ref="BJ94:BR94"/>
  </mergeCells>
  <phoneticPr fontId="31" type="noConversion"/>
  <conditionalFormatting sqref="AJ102:AX107">
    <cfRule type="cellIs" dxfId="16" priority="3" stopIfTrue="1" operator="notBetween">
      <formula>-$S$36</formula>
      <formula>$S$36</formula>
    </cfRule>
  </conditionalFormatting>
  <conditionalFormatting sqref="AK81">
    <cfRule type="cellIs" dxfId="15" priority="5" stopIfTrue="1" operator="notBetween">
      <formula>$S$89</formula>
      <formula>-$S$89</formula>
    </cfRule>
  </conditionalFormatting>
  <conditionalFormatting sqref="AK96:AX96 AK91">
    <cfRule type="cellIs" dxfId="14" priority="4" stopIfTrue="1" operator="notBetween">
      <formula>$AC$99</formula>
      <formula>-$AC$99</formula>
    </cfRule>
  </conditionalFormatting>
  <conditionalFormatting sqref="CL81">
    <cfRule type="cellIs" dxfId="13" priority="2" stopIfTrue="1" operator="notBetween">
      <formula>$S$89</formula>
      <formula>-$S$89</formula>
    </cfRule>
  </conditionalFormatting>
  <conditionalFormatting sqref="CL96:CY96 CL91">
    <cfRule type="cellIs" dxfId="12" priority="1" stopIfTrue="1" operator="notBetween">
      <formula>$AC$99</formula>
      <formula>-$AC$99</formula>
    </cfRule>
  </conditionalFormatting>
  <pageMargins left="0.75" right="0.75" top="1" bottom="1" header="0.5" footer="0.5"/>
  <legacyDrawing r:id="rId1"/>
</worksheet>
</file>

<file path=xl/worksheets/sheet65.xml><?xml version="1.0" encoding="utf-8"?>
<worksheet xmlns="http://schemas.openxmlformats.org/spreadsheetml/2006/main" xmlns:r="http://schemas.openxmlformats.org/officeDocument/2006/relationships">
  <sheetPr>
    <tabColor rgb="FFC00000"/>
  </sheetPr>
  <dimension ref="A1:BE96"/>
  <sheetViews>
    <sheetView topLeftCell="A52" workbookViewId="0"/>
  </sheetViews>
  <sheetFormatPr defaultRowHeight="14.25" outlineLevelRow="2"/>
  <cols>
    <col min="1" max="1" width="31.25" customWidth="1"/>
    <col min="2" max="2" width="30.125" customWidth="1"/>
    <col min="3" max="3" width="11.625" bestFit="1" customWidth="1"/>
    <col min="4" max="4" width="17.25" bestFit="1" customWidth="1"/>
    <col min="5" max="5" width="19.875" customWidth="1"/>
    <col min="7" max="7" width="8" customWidth="1"/>
    <col min="8" max="8" width="0.125" customWidth="1"/>
    <col min="10" max="10" width="2.125" customWidth="1"/>
    <col min="12" max="12" width="0.375" customWidth="1"/>
    <col min="13" max="13" width="8.625" customWidth="1"/>
    <col min="14" max="14" width="2.625" hidden="1" customWidth="1"/>
    <col min="15" max="15" width="8.875" customWidth="1"/>
    <col min="16" max="16" width="9" hidden="1" customWidth="1"/>
    <col min="17" max="17" width="15.625" customWidth="1"/>
    <col min="18" max="18" width="0.25" customWidth="1"/>
  </cols>
  <sheetData>
    <row r="1" spans="1:6">
      <c r="A1" s="169" t="s">
        <v>51</v>
      </c>
      <c r="B1" s="643" t="s">
        <v>217</v>
      </c>
    </row>
    <row r="2" spans="1:6" outlineLevel="1">
      <c r="A2" s="2298" t="s">
        <v>32</v>
      </c>
      <c r="B2" s="2298"/>
      <c r="C2" s="2298"/>
      <c r="D2" s="2"/>
    </row>
    <row r="3" spans="1:6" ht="18.75" outlineLevel="1">
      <c r="A3" s="159" t="s">
        <v>117</v>
      </c>
      <c r="B3" s="159"/>
      <c r="C3" s="6" t="s">
        <v>69</v>
      </c>
      <c r="D3" s="6" t="s">
        <v>70</v>
      </c>
      <c r="E3" s="160" t="s">
        <v>154</v>
      </c>
    </row>
    <row r="4" spans="1:6" outlineLevel="1">
      <c r="A4" s="6" t="s">
        <v>155</v>
      </c>
      <c r="B4" s="6"/>
      <c r="C4" s="6" t="s">
        <v>72</v>
      </c>
      <c r="D4" s="6" t="s">
        <v>72</v>
      </c>
      <c r="E4" s="161" t="s">
        <v>156</v>
      </c>
      <c r="F4" s="259" t="s">
        <v>815</v>
      </c>
    </row>
    <row r="5" spans="1:6" outlineLevel="1">
      <c r="A5" s="6" t="s">
        <v>157</v>
      </c>
      <c r="B5" s="6"/>
      <c r="C5" s="6" t="s">
        <v>72</v>
      </c>
      <c r="D5" s="6" t="s">
        <v>72</v>
      </c>
      <c r="E5" s="161" t="s">
        <v>156</v>
      </c>
    </row>
    <row r="6" spans="1:6" outlineLevel="1">
      <c r="A6" s="6" t="s">
        <v>158</v>
      </c>
      <c r="B6" s="6"/>
      <c r="C6" s="6" t="s">
        <v>72</v>
      </c>
      <c r="D6" s="6" t="s">
        <v>84</v>
      </c>
      <c r="E6" s="161" t="s">
        <v>156</v>
      </c>
    </row>
    <row r="7" spans="1:6" outlineLevel="1">
      <c r="A7" s="6" t="s">
        <v>159</v>
      </c>
      <c r="B7" s="6"/>
      <c r="C7" s="6" t="s">
        <v>72</v>
      </c>
      <c r="D7" s="6" t="s">
        <v>84</v>
      </c>
      <c r="E7" s="161" t="s">
        <v>156</v>
      </c>
    </row>
    <row r="8" spans="1:6" outlineLevel="1">
      <c r="A8" s="158" t="s">
        <v>160</v>
      </c>
      <c r="B8" s="158"/>
      <c r="C8" s="6" t="s">
        <v>72</v>
      </c>
      <c r="D8" s="6" t="s">
        <v>84</v>
      </c>
      <c r="E8" s="161" t="s">
        <v>156</v>
      </c>
    </row>
    <row r="9" spans="1:6" outlineLevel="1">
      <c r="A9" s="41" t="s">
        <v>161</v>
      </c>
      <c r="B9" s="647" t="s">
        <v>1642</v>
      </c>
      <c r="C9" s="6" t="s">
        <v>72</v>
      </c>
      <c r="D9" s="6" t="s">
        <v>72</v>
      </c>
      <c r="E9" s="161" t="s">
        <v>162</v>
      </c>
    </row>
    <row r="10" spans="1:6" outlineLevel="1">
      <c r="A10" s="41"/>
      <c r="B10" s="647" t="s">
        <v>1646</v>
      </c>
      <c r="C10" s="6"/>
      <c r="D10" s="6"/>
      <c r="E10" s="161"/>
    </row>
    <row r="11" spans="1:6" outlineLevel="1">
      <c r="A11" s="41"/>
      <c r="B11" s="647" t="s">
        <v>1644</v>
      </c>
      <c r="C11" s="6"/>
      <c r="D11" s="6"/>
      <c r="E11" s="161"/>
    </row>
    <row r="12" spans="1:6" outlineLevel="1">
      <c r="A12" s="6" t="s">
        <v>163</v>
      </c>
      <c r="B12" s="6"/>
      <c r="C12" s="6" t="s">
        <v>72</v>
      </c>
      <c r="D12" s="6" t="s">
        <v>72</v>
      </c>
      <c r="E12" s="161" t="s">
        <v>162</v>
      </c>
    </row>
    <row r="13" spans="1:6" outlineLevel="1">
      <c r="A13" s="158" t="s">
        <v>164</v>
      </c>
      <c r="B13" s="158"/>
      <c r="C13" s="6" t="s">
        <v>72</v>
      </c>
      <c r="D13" s="158" t="s">
        <v>165</v>
      </c>
      <c r="E13" s="161" t="s">
        <v>162</v>
      </c>
    </row>
    <row r="14" spans="1:6" outlineLevel="1">
      <c r="A14" s="6" t="s">
        <v>166</v>
      </c>
      <c r="B14" s="6"/>
      <c r="C14" s="6" t="s">
        <v>72</v>
      </c>
      <c r="D14" s="158" t="s">
        <v>165</v>
      </c>
      <c r="E14" s="161" t="s">
        <v>162</v>
      </c>
    </row>
    <row r="15" spans="1:6" outlineLevel="1">
      <c r="A15" t="s">
        <v>73</v>
      </c>
      <c r="E15" s="257" t="s">
        <v>812</v>
      </c>
    </row>
    <row r="16" spans="1:6">
      <c r="E16" s="257" t="s">
        <v>814</v>
      </c>
    </row>
    <row r="17" spans="1:57">
      <c r="A17" s="639" t="s">
        <v>1636</v>
      </c>
      <c r="B17" s="164"/>
      <c r="C17" s="164"/>
      <c r="D17" s="196"/>
      <c r="E17" s="196"/>
      <c r="F17" s="196"/>
      <c r="G17" s="196"/>
      <c r="H17" s="163"/>
      <c r="I17" s="163"/>
      <c r="J17" s="163"/>
      <c r="K17" s="163"/>
      <c r="L17" s="163"/>
      <c r="M17" s="163"/>
      <c r="N17" s="163"/>
      <c r="O17" s="163"/>
      <c r="P17" s="163"/>
    </row>
    <row r="18" spans="1:57" outlineLevel="1">
      <c r="A18" s="642" t="s">
        <v>1641</v>
      </c>
      <c r="C18" s="639" t="s">
        <v>1638</v>
      </c>
      <c r="D18" s="197"/>
      <c r="E18" s="197"/>
      <c r="F18" s="640" t="s">
        <v>1637</v>
      </c>
      <c r="G18" s="198"/>
      <c r="H18" s="198"/>
      <c r="I18" s="198"/>
      <c r="J18" s="198"/>
      <c r="K18" s="198"/>
      <c r="L18" s="198"/>
      <c r="M18" s="198"/>
      <c r="N18" s="198"/>
      <c r="O18" s="198"/>
      <c r="P18" s="198"/>
      <c r="U18" s="157" t="s">
        <v>1624</v>
      </c>
      <c r="AN18" s="157" t="s">
        <v>1625</v>
      </c>
    </row>
    <row r="19" spans="1:57" ht="18.75" customHeight="1" outlineLevel="2">
      <c r="A19" s="3568" t="s">
        <v>611</v>
      </c>
      <c r="B19" s="3569"/>
      <c r="C19" s="3570" t="s">
        <v>612</v>
      </c>
      <c r="D19" s="3569"/>
      <c r="E19" s="3632" t="s">
        <v>613</v>
      </c>
      <c r="F19" s="3572"/>
      <c r="G19" s="3620" t="s">
        <v>614</v>
      </c>
      <c r="H19" s="3569"/>
      <c r="I19" s="3570" t="s">
        <v>615</v>
      </c>
      <c r="J19" s="3569"/>
      <c r="K19" s="3570" t="s">
        <v>616</v>
      </c>
      <c r="L19" s="3569"/>
      <c r="M19" s="3568" t="s">
        <v>617</v>
      </c>
      <c r="N19" s="3569"/>
      <c r="O19" s="3620" t="s">
        <v>618</v>
      </c>
      <c r="P19" s="3569"/>
      <c r="Q19" s="627" t="s">
        <v>1626</v>
      </c>
      <c r="S19" s="157" t="s">
        <v>1616</v>
      </c>
      <c r="U19" s="3455" t="s">
        <v>1585</v>
      </c>
      <c r="V19" s="3456"/>
      <c r="W19" s="3457" t="s">
        <v>1618</v>
      </c>
      <c r="X19" s="3458"/>
      <c r="Y19" s="3457" t="s">
        <v>1619</v>
      </c>
      <c r="Z19" s="3458"/>
      <c r="AA19" s="3457" t="s">
        <v>1620</v>
      </c>
      <c r="AB19" s="3459"/>
      <c r="AC19" s="3458"/>
      <c r="AD19" s="3460" t="s">
        <v>1621</v>
      </c>
      <c r="AE19" s="3461"/>
      <c r="AF19" s="3462"/>
      <c r="AG19" s="3457" t="s">
        <v>1622</v>
      </c>
      <c r="AH19" s="3459"/>
      <c r="AI19" s="3458"/>
      <c r="AJ19" s="3436" t="s">
        <v>1623</v>
      </c>
      <c r="AK19" s="3437"/>
      <c r="AL19" s="3438"/>
      <c r="AN19" s="3413" t="s">
        <v>1585</v>
      </c>
      <c r="AO19" s="3413"/>
      <c r="AP19" s="635" t="s">
        <v>1618</v>
      </c>
      <c r="AQ19" s="635" t="s">
        <v>1619</v>
      </c>
      <c r="AR19" s="3405" t="s">
        <v>1577</v>
      </c>
      <c r="AS19" s="3405"/>
      <c r="AT19" s="3406" t="s">
        <v>1621</v>
      </c>
      <c r="AU19" s="3406"/>
      <c r="AV19" s="3406"/>
      <c r="AW19" s="3405" t="s">
        <v>1622</v>
      </c>
      <c r="AX19" s="3405"/>
      <c r="AY19" s="3405"/>
      <c r="AZ19" s="3408" t="s">
        <v>1623</v>
      </c>
      <c r="BA19" s="3408"/>
      <c r="BB19" s="3408"/>
      <c r="BC19" s="3414" t="s">
        <v>1627</v>
      </c>
      <c r="BD19" s="3415"/>
      <c r="BE19" s="3416"/>
    </row>
    <row r="20" spans="1:57" outlineLevel="2">
      <c r="A20" s="3614" t="s">
        <v>168</v>
      </c>
      <c r="B20" s="3621"/>
      <c r="C20" s="3614" t="s">
        <v>169</v>
      </c>
      <c r="D20" s="3615" t="s">
        <v>170</v>
      </c>
      <c r="E20" s="3626">
        <v>1</v>
      </c>
      <c r="F20" s="3627"/>
      <c r="G20" s="3609">
        <v>100</v>
      </c>
      <c r="H20" s="3610"/>
      <c r="I20" s="3532">
        <v>1.43E-2</v>
      </c>
      <c r="J20" s="3532"/>
      <c r="K20" s="3532">
        <v>1.8800000000000001E-2</v>
      </c>
      <c r="L20" s="3532"/>
      <c r="M20" s="3607">
        <f>IF(ISNUMBER(I20),AVERAGE(I20:L20),"/")</f>
        <v>1.6550000000000002E-2</v>
      </c>
      <c r="N20" s="3608"/>
      <c r="O20" s="3560" t="e">
        <f t="shared" ref="O20:O25" ca="1" si="0">IF(ISNUMBER(M20),修约化整(M20,$G$13),"/")</f>
        <v>#NAME?</v>
      </c>
      <c r="P20" s="3561"/>
      <c r="Q20" s="258"/>
      <c r="S20" s="157" t="s">
        <v>1617</v>
      </c>
      <c r="U20" s="3439" t="e">
        <f>[28]原始记录!#REF!</f>
        <v>#REF!</v>
      </c>
      <c r="V20" s="3440"/>
      <c r="W20" s="3445" t="e">
        <f>[28]原始记录!#REF!</f>
        <v>#REF!</v>
      </c>
      <c r="X20" s="3445"/>
      <c r="Y20" s="3445" t="e">
        <f>[28]原始记录!#REF!</f>
        <v>#REF!</v>
      </c>
      <c r="Z20" s="3445"/>
      <c r="AA20" s="3446">
        <v>1</v>
      </c>
      <c r="AB20" s="3447"/>
      <c r="AC20" s="3448"/>
      <c r="AD20" s="3426" t="e">
        <f>[28]原始记录!#REF!</f>
        <v>#REF!</v>
      </c>
      <c r="AE20" s="3427"/>
      <c r="AF20" s="3428"/>
      <c r="AG20" s="3417" t="e">
        <f>[28]原始记录!#REF!</f>
        <v>#REF!</v>
      </c>
      <c r="AH20" s="3418"/>
      <c r="AI20" s="3419"/>
      <c r="AJ20" s="3423">
        <f>[28]原始记录!AK20</f>
        <v>0</v>
      </c>
      <c r="AK20" s="3424"/>
      <c r="AL20" s="3425"/>
      <c r="AN20" s="3403" t="e">
        <f>[29]原始记录!#REF!</f>
        <v>#REF!</v>
      </c>
      <c r="AO20" s="3403"/>
      <c r="AP20" s="3411" t="e">
        <f>[29]原始记录!#REF!</f>
        <v>#REF!</v>
      </c>
      <c r="AQ20" s="3411" t="e">
        <f>[29]原始记录!#REF!</f>
        <v>#REF!</v>
      </c>
      <c r="AR20" s="3412">
        <v>1</v>
      </c>
      <c r="AS20" s="3412"/>
      <c r="AT20" s="3406" t="e">
        <f>[29]原始记录!#REF!</f>
        <v>#REF!</v>
      </c>
      <c r="AU20" s="3406"/>
      <c r="AV20" s="3406"/>
      <c r="AW20" s="3407" t="e">
        <f>[29]原始记录!#REF!</f>
        <v>#REF!</v>
      </c>
      <c r="AX20" s="3407"/>
      <c r="AY20" s="3407"/>
      <c r="AZ20" s="3407">
        <f>[29]原始记录!BD16</f>
        <v>0</v>
      </c>
      <c r="BA20" s="3407"/>
      <c r="BB20" s="3407"/>
      <c r="BC20" s="3409" t="e">
        <f>[29]原始记录!#REF!</f>
        <v>#REF!</v>
      </c>
      <c r="BD20" s="3409"/>
      <c r="BE20" s="3409"/>
    </row>
    <row r="21" spans="1:57" outlineLevel="2">
      <c r="A21" s="3622"/>
      <c r="B21" s="3623"/>
      <c r="C21" s="3616"/>
      <c r="D21" s="3617"/>
      <c r="E21" s="3628"/>
      <c r="F21" s="3629"/>
      <c r="G21" s="3609" t="s">
        <v>171</v>
      </c>
      <c r="H21" s="3610"/>
      <c r="I21" s="3532">
        <v>1.5900000000000001E-2</v>
      </c>
      <c r="J21" s="3532"/>
      <c r="K21" s="3532">
        <v>1.6899999999999998E-2</v>
      </c>
      <c r="L21" s="3532"/>
      <c r="M21" s="3607">
        <f t="shared" ref="M21:M34" si="1">IF(ISNUMBER(I21),AVERAGE(I21:L21),"/")</f>
        <v>1.6399999999999998E-2</v>
      </c>
      <c r="N21" s="3608"/>
      <c r="O21" s="3560" t="e">
        <f t="shared" ca="1" si="0"/>
        <v>#NAME?</v>
      </c>
      <c r="P21" s="3561"/>
      <c r="Q21" s="2"/>
      <c r="U21" s="3441"/>
      <c r="V21" s="3442"/>
      <c r="W21" s="3445"/>
      <c r="X21" s="3445"/>
      <c r="Y21" s="3445"/>
      <c r="Z21" s="3445"/>
      <c r="AA21" s="3449"/>
      <c r="AB21" s="3450"/>
      <c r="AC21" s="3451"/>
      <c r="AD21" s="3426" t="e">
        <f>[28]原始记录!#REF!</f>
        <v>#REF!</v>
      </c>
      <c r="AE21" s="3427"/>
      <c r="AF21" s="3428"/>
      <c r="AG21" s="3417" t="e">
        <f>[28]原始记录!#REF!</f>
        <v>#REF!</v>
      </c>
      <c r="AH21" s="3418"/>
      <c r="AI21" s="3419"/>
      <c r="AJ21" s="3423" t="s">
        <v>1581</v>
      </c>
      <c r="AK21" s="3424"/>
      <c r="AL21" s="3425"/>
      <c r="AN21" s="3403"/>
      <c r="AO21" s="3403"/>
      <c r="AP21" s="3411"/>
      <c r="AQ21" s="3411"/>
      <c r="AR21" s="3412"/>
      <c r="AS21" s="3412"/>
      <c r="AT21" s="3406" t="e">
        <f>[29]原始记录!#REF!</f>
        <v>#REF!</v>
      </c>
      <c r="AU21" s="3406"/>
      <c r="AV21" s="3406"/>
      <c r="AW21" s="3407" t="e">
        <f>[29]原始记录!#REF!</f>
        <v>#REF!</v>
      </c>
      <c r="AX21" s="3407"/>
      <c r="AY21" s="3407"/>
      <c r="AZ21" s="3410" t="s">
        <v>1581</v>
      </c>
      <c r="BA21" s="3410"/>
      <c r="BB21" s="3410"/>
      <c r="BC21" s="3409" t="e">
        <f>[29]原始记录!#REF!</f>
        <v>#REF!</v>
      </c>
      <c r="BD21" s="3409"/>
      <c r="BE21" s="3409"/>
    </row>
    <row r="22" spans="1:57" outlineLevel="2">
      <c r="A22" s="3622"/>
      <c r="B22" s="3623"/>
      <c r="C22" s="3616"/>
      <c r="D22" s="3617"/>
      <c r="E22" s="3630"/>
      <c r="F22" s="3631"/>
      <c r="G22" s="3609" t="s">
        <v>172</v>
      </c>
      <c r="H22" s="3610"/>
      <c r="I22" s="3532">
        <v>9.2999999999999992E-3</v>
      </c>
      <c r="J22" s="3532"/>
      <c r="K22" s="3532">
        <v>1.01E-2</v>
      </c>
      <c r="L22" s="3532"/>
      <c r="M22" s="3607">
        <f t="shared" si="1"/>
        <v>9.7000000000000003E-3</v>
      </c>
      <c r="N22" s="3608"/>
      <c r="O22" s="3560" t="e">
        <f t="shared" ca="1" si="0"/>
        <v>#NAME?</v>
      </c>
      <c r="P22" s="3561"/>
      <c r="Q22" s="2"/>
      <c r="S22" s="3611"/>
      <c r="T22" s="1789"/>
      <c r="U22" s="3441"/>
      <c r="V22" s="3442"/>
      <c r="W22" s="3445"/>
      <c r="X22" s="3445"/>
      <c r="Y22" s="3445"/>
      <c r="Z22" s="3445"/>
      <c r="AA22" s="3452"/>
      <c r="AB22" s="3453"/>
      <c r="AC22" s="3454"/>
      <c r="AD22" s="3426" t="e">
        <f>[28]原始记录!#REF!</f>
        <v>#REF!</v>
      </c>
      <c r="AE22" s="3427"/>
      <c r="AF22" s="3428"/>
      <c r="AG22" s="3417" t="e">
        <f>[28]原始记录!#REF!</f>
        <v>#REF!</v>
      </c>
      <c r="AH22" s="3418"/>
      <c r="AI22" s="3419"/>
      <c r="AJ22" s="3423" t="s">
        <v>1581</v>
      </c>
      <c r="AK22" s="3424"/>
      <c r="AL22" s="3425"/>
      <c r="AN22" s="3403"/>
      <c r="AO22" s="3403"/>
      <c r="AP22" s="3411"/>
      <c r="AQ22" s="3411"/>
      <c r="AR22" s="3412"/>
      <c r="AS22" s="3412"/>
      <c r="AT22" s="3406" t="e">
        <f>[29]原始记录!#REF!</f>
        <v>#REF!</v>
      </c>
      <c r="AU22" s="3406"/>
      <c r="AV22" s="3406"/>
      <c r="AW22" s="3407" t="e">
        <f>[29]原始记录!#REF!</f>
        <v>#REF!</v>
      </c>
      <c r="AX22" s="3407"/>
      <c r="AY22" s="3407"/>
      <c r="AZ22" s="3410" t="s">
        <v>1581</v>
      </c>
      <c r="BA22" s="3410"/>
      <c r="BB22" s="3410"/>
      <c r="BC22" s="3409" t="e">
        <f>[29]原始记录!#REF!</f>
        <v>#REF!</v>
      </c>
      <c r="BD22" s="3409"/>
      <c r="BE22" s="3409"/>
    </row>
    <row r="23" spans="1:57" outlineLevel="2">
      <c r="A23" s="3622"/>
      <c r="B23" s="3623"/>
      <c r="C23" s="3616"/>
      <c r="D23" s="3617"/>
      <c r="E23" s="3614" t="s">
        <v>173</v>
      </c>
      <c r="F23" s="3615"/>
      <c r="G23" s="3609" t="s">
        <v>174</v>
      </c>
      <c r="H23" s="3610"/>
      <c r="I23" s="3532">
        <v>1.4800000000000001E-2</v>
      </c>
      <c r="J23" s="3532"/>
      <c r="K23" s="3532">
        <v>1.61E-2</v>
      </c>
      <c r="L23" s="3532"/>
      <c r="M23" s="3607">
        <f t="shared" si="1"/>
        <v>1.545E-2</v>
      </c>
      <c r="N23" s="3608"/>
      <c r="O23" s="3560" t="e">
        <f t="shared" ca="1" si="0"/>
        <v>#NAME?</v>
      </c>
      <c r="P23" s="3561"/>
      <c r="Q23" s="2"/>
      <c r="S23" s="2505"/>
      <c r="T23" s="2510"/>
      <c r="U23" s="3441"/>
      <c r="V23" s="3442"/>
      <c r="W23" s="3445"/>
      <c r="X23" s="3445"/>
      <c r="Y23" s="3445"/>
      <c r="Z23" s="3445"/>
      <c r="AA23" s="3435" t="s">
        <v>1582</v>
      </c>
      <c r="AB23" s="3435"/>
      <c r="AC23" s="3435"/>
      <c r="AD23" s="3426" t="e">
        <f>[28]原始记录!#REF!</f>
        <v>#REF!</v>
      </c>
      <c r="AE23" s="3427"/>
      <c r="AF23" s="3428"/>
      <c r="AG23" s="3417" t="e">
        <f>[28]原始记录!#REF!</f>
        <v>#REF!</v>
      </c>
      <c r="AH23" s="3418"/>
      <c r="AI23" s="3419"/>
      <c r="AJ23" s="3423">
        <f>[28]原始记录!AK21</f>
        <v>0</v>
      </c>
      <c r="AK23" s="3424"/>
      <c r="AL23" s="3425"/>
      <c r="AN23" s="3403"/>
      <c r="AO23" s="3403"/>
      <c r="AP23" s="3411"/>
      <c r="AQ23" s="3411"/>
      <c r="AR23" s="3412" t="s">
        <v>1582</v>
      </c>
      <c r="AS23" s="3412"/>
      <c r="AT23" s="3406" t="e">
        <f>[29]原始记录!#REF!</f>
        <v>#REF!</v>
      </c>
      <c r="AU23" s="3406"/>
      <c r="AV23" s="3406"/>
      <c r="AW23" s="3407" t="e">
        <f>[29]原始记录!#REF!</f>
        <v>#REF!</v>
      </c>
      <c r="AX23" s="3407"/>
      <c r="AY23" s="3407"/>
      <c r="AZ23" s="3407">
        <f>[29]原始记录!BD17</f>
        <v>0</v>
      </c>
      <c r="BA23" s="3407"/>
      <c r="BB23" s="3407"/>
      <c r="BC23" s="3409" t="e">
        <f>[29]原始记录!#REF!</f>
        <v>#REF!</v>
      </c>
      <c r="BD23" s="3409"/>
      <c r="BE23" s="3409"/>
    </row>
    <row r="24" spans="1:57" outlineLevel="2">
      <c r="A24" s="3622"/>
      <c r="B24" s="3623"/>
      <c r="C24" s="3616"/>
      <c r="D24" s="3617"/>
      <c r="E24" s="3616"/>
      <c r="F24" s="3617"/>
      <c r="G24" s="3609" t="s">
        <v>171</v>
      </c>
      <c r="H24" s="3610"/>
      <c r="I24" s="3532">
        <v>1.23E-2</v>
      </c>
      <c r="J24" s="3532"/>
      <c r="K24" s="3532">
        <v>1.5299999999999999E-2</v>
      </c>
      <c r="L24" s="3532"/>
      <c r="M24" s="3607">
        <f t="shared" si="1"/>
        <v>1.38E-2</v>
      </c>
      <c r="N24" s="3608"/>
      <c r="O24" s="3560" t="e">
        <f t="shared" ca="1" si="0"/>
        <v>#NAME?</v>
      </c>
      <c r="P24" s="3561"/>
      <c r="Q24" s="2"/>
      <c r="S24" s="2505"/>
      <c r="T24" s="2510"/>
      <c r="U24" s="3441"/>
      <c r="V24" s="3442"/>
      <c r="W24" s="3445"/>
      <c r="X24" s="3445"/>
      <c r="Y24" s="3445"/>
      <c r="Z24" s="3445"/>
      <c r="AA24" s="3435"/>
      <c r="AB24" s="3435"/>
      <c r="AC24" s="3435"/>
      <c r="AD24" s="3426" t="e">
        <f>[28]原始记录!#REF!</f>
        <v>#REF!</v>
      </c>
      <c r="AE24" s="3427"/>
      <c r="AF24" s="3428"/>
      <c r="AG24" s="3417" t="e">
        <f>[28]原始记录!#REF!</f>
        <v>#REF!</v>
      </c>
      <c r="AH24" s="3418"/>
      <c r="AI24" s="3419"/>
      <c r="AJ24" s="3417" t="s">
        <v>1581</v>
      </c>
      <c r="AK24" s="3418"/>
      <c r="AL24" s="3419"/>
      <c r="AN24" s="3403"/>
      <c r="AO24" s="3403"/>
      <c r="AP24" s="3411"/>
      <c r="AQ24" s="3411"/>
      <c r="AR24" s="3412"/>
      <c r="AS24" s="3412"/>
      <c r="AT24" s="3406" t="e">
        <f>[29]原始记录!#REF!</f>
        <v>#REF!</v>
      </c>
      <c r="AU24" s="3406"/>
      <c r="AV24" s="3406"/>
      <c r="AW24" s="3407" t="e">
        <f>[29]原始记录!#REF!</f>
        <v>#REF!</v>
      </c>
      <c r="AX24" s="3407"/>
      <c r="AY24" s="3407"/>
      <c r="AZ24" s="3408" t="s">
        <v>1581</v>
      </c>
      <c r="BA24" s="3408"/>
      <c r="BB24" s="3408"/>
      <c r="BC24" s="3409" t="e">
        <f>[29]原始记录!#REF!</f>
        <v>#REF!</v>
      </c>
      <c r="BD24" s="3409"/>
      <c r="BE24" s="3409"/>
    </row>
    <row r="25" spans="1:57" outlineLevel="2">
      <c r="A25" s="3622"/>
      <c r="B25" s="3623"/>
      <c r="C25" s="3616"/>
      <c r="D25" s="3617"/>
      <c r="E25" s="3618"/>
      <c r="F25" s="3619"/>
      <c r="G25" s="3609" t="s">
        <v>175</v>
      </c>
      <c r="H25" s="3610"/>
      <c r="I25" s="3532">
        <v>1.2200000000000001E-2</v>
      </c>
      <c r="J25" s="3532"/>
      <c r="K25" s="3532">
        <v>1.84E-2</v>
      </c>
      <c r="L25" s="3532"/>
      <c r="M25" s="3607">
        <f t="shared" si="1"/>
        <v>1.5300000000000001E-2</v>
      </c>
      <c r="N25" s="3608"/>
      <c r="O25" s="3560" t="e">
        <f t="shared" ca="1" si="0"/>
        <v>#NAME?</v>
      </c>
      <c r="P25" s="3561"/>
      <c r="Q25" s="2"/>
      <c r="S25" s="2505"/>
      <c r="T25" s="2510"/>
      <c r="U25" s="3441"/>
      <c r="V25" s="3442"/>
      <c r="W25" s="3445"/>
      <c r="X25" s="3445"/>
      <c r="Y25" s="3445"/>
      <c r="Z25" s="3445"/>
      <c r="AA25" s="3435"/>
      <c r="AB25" s="3435"/>
      <c r="AC25" s="3435"/>
      <c r="AD25" s="3420" t="e">
        <f>[28]原始记录!#REF!</f>
        <v>#REF!</v>
      </c>
      <c r="AE25" s="3421"/>
      <c r="AF25" s="3421"/>
      <c r="AG25" s="3422" t="e">
        <f>[28]原始记录!#REF!</f>
        <v>#REF!</v>
      </c>
      <c r="AH25" s="3422"/>
      <c r="AI25" s="3422"/>
      <c r="AJ25" s="3422" t="s">
        <v>1581</v>
      </c>
      <c r="AK25" s="3422"/>
      <c r="AL25" s="3422"/>
      <c r="AN25" s="3403"/>
      <c r="AO25" s="3403"/>
      <c r="AP25" s="3411"/>
      <c r="AQ25" s="3411"/>
      <c r="AR25" s="3412"/>
      <c r="AS25" s="3412"/>
      <c r="AT25" s="3406" t="e">
        <f>[29]原始记录!#REF!</f>
        <v>#REF!</v>
      </c>
      <c r="AU25" s="3406"/>
      <c r="AV25" s="3406"/>
      <c r="AW25" s="3407" t="e">
        <f>[29]原始记录!#REF!</f>
        <v>#REF!</v>
      </c>
      <c r="AX25" s="3407"/>
      <c r="AY25" s="3407"/>
      <c r="AZ25" s="3408" t="s">
        <v>1581</v>
      </c>
      <c r="BA25" s="3408"/>
      <c r="BB25" s="3408"/>
      <c r="BC25" s="3409" t="e">
        <f>[29]原始记录!#REF!</f>
        <v>#REF!</v>
      </c>
      <c r="BD25" s="3409"/>
      <c r="BE25" s="3409"/>
    </row>
    <row r="26" spans="1:57" outlineLevel="2">
      <c r="A26" s="3622"/>
      <c r="B26" s="3623"/>
      <c r="C26" s="3616"/>
      <c r="D26" s="3617"/>
      <c r="E26" s="3614" t="s">
        <v>176</v>
      </c>
      <c r="F26" s="3615"/>
      <c r="G26" s="3609" t="s">
        <v>177</v>
      </c>
      <c r="H26" s="3610"/>
      <c r="I26" s="3532">
        <v>2.07E-2</v>
      </c>
      <c r="J26" s="3532"/>
      <c r="K26" s="3532">
        <v>1.5299999999999999E-2</v>
      </c>
      <c r="L26" s="3532"/>
      <c r="M26" s="3607">
        <f t="shared" si="1"/>
        <v>1.7999999999999999E-2</v>
      </c>
      <c r="N26" s="3608"/>
      <c r="O26" s="3560" t="e">
        <f t="shared" ref="O26:O31" ca="1" si="2">IF(ISNUMBER(M26),修约化整(M26,$G$13),"/")</f>
        <v>#NAME?</v>
      </c>
      <c r="P26" s="3561"/>
      <c r="Q26" s="2"/>
      <c r="S26" s="2505"/>
      <c r="T26" s="2510"/>
      <c r="U26" s="3441"/>
      <c r="V26" s="3442"/>
      <c r="W26" s="3445"/>
      <c r="X26" s="3445"/>
      <c r="Y26" s="3445"/>
      <c r="Z26" s="3445"/>
      <c r="AA26" s="3435" t="s">
        <v>1583</v>
      </c>
      <c r="AB26" s="3435"/>
      <c r="AC26" s="3435"/>
      <c r="AD26" s="3420" t="e">
        <f>[28]原始记录!#REF!</f>
        <v>#REF!</v>
      </c>
      <c r="AE26" s="3421"/>
      <c r="AF26" s="3421"/>
      <c r="AG26" s="3422" t="e">
        <f>[28]原始记录!#REF!</f>
        <v>#REF!</v>
      </c>
      <c r="AH26" s="3422"/>
      <c r="AI26" s="3422"/>
      <c r="AJ26" s="3422" t="s">
        <v>1581</v>
      </c>
      <c r="AK26" s="3422"/>
      <c r="AL26" s="3422"/>
      <c r="AN26" s="3403"/>
      <c r="AO26" s="3403"/>
      <c r="AP26" s="3411"/>
      <c r="AQ26" s="3411"/>
      <c r="AR26" s="3412" t="s">
        <v>1583</v>
      </c>
      <c r="AS26" s="3412"/>
      <c r="AT26" s="3406" t="e">
        <f>[29]原始记录!#REF!</f>
        <v>#REF!</v>
      </c>
      <c r="AU26" s="3406"/>
      <c r="AV26" s="3406"/>
      <c r="AW26" s="3407" t="e">
        <f>[29]原始记录!#REF!</f>
        <v>#REF!</v>
      </c>
      <c r="AX26" s="3407"/>
      <c r="AY26" s="3407"/>
      <c r="AZ26" s="3408" t="s">
        <v>1581</v>
      </c>
      <c r="BA26" s="3408"/>
      <c r="BB26" s="3408"/>
      <c r="BC26" s="3409" t="e">
        <f>[29]原始记录!#REF!</f>
        <v>#REF!</v>
      </c>
      <c r="BD26" s="3409"/>
      <c r="BE26" s="3409"/>
    </row>
    <row r="27" spans="1:57" outlineLevel="2">
      <c r="A27" s="3622"/>
      <c r="B27" s="3623"/>
      <c r="C27" s="3616"/>
      <c r="D27" s="3617"/>
      <c r="E27" s="3616"/>
      <c r="F27" s="3617"/>
      <c r="G27" s="3609" t="s">
        <v>178</v>
      </c>
      <c r="H27" s="3610"/>
      <c r="I27" s="3532">
        <v>1.67E-2</v>
      </c>
      <c r="J27" s="3532"/>
      <c r="K27" s="3532">
        <v>1.6799999999999999E-2</v>
      </c>
      <c r="L27" s="3532"/>
      <c r="M27" s="3607">
        <f t="shared" si="1"/>
        <v>1.6750000000000001E-2</v>
      </c>
      <c r="N27" s="3608"/>
      <c r="O27" s="3560" t="e">
        <f t="shared" ca="1" si="2"/>
        <v>#NAME?</v>
      </c>
      <c r="P27" s="3561"/>
      <c r="Q27" s="2"/>
      <c r="S27" s="2505"/>
      <c r="T27" s="2510"/>
      <c r="U27" s="3441"/>
      <c r="V27" s="3442"/>
      <c r="W27" s="3445"/>
      <c r="X27" s="3445"/>
      <c r="Y27" s="3445"/>
      <c r="Z27" s="3445"/>
      <c r="AA27" s="3435"/>
      <c r="AB27" s="3435"/>
      <c r="AC27" s="3435"/>
      <c r="AD27" s="3420" t="e">
        <f>[28]原始记录!#REF!</f>
        <v>#REF!</v>
      </c>
      <c r="AE27" s="3421"/>
      <c r="AF27" s="3421"/>
      <c r="AG27" s="3422" t="e">
        <f>[28]原始记录!#REF!</f>
        <v>#REF!</v>
      </c>
      <c r="AH27" s="3422"/>
      <c r="AI27" s="3422"/>
      <c r="AJ27" s="3422" t="s">
        <v>1581</v>
      </c>
      <c r="AK27" s="3422"/>
      <c r="AL27" s="3422"/>
      <c r="AN27" s="3403"/>
      <c r="AO27" s="3403"/>
      <c r="AP27" s="3411"/>
      <c r="AQ27" s="3411"/>
      <c r="AR27" s="3412"/>
      <c r="AS27" s="3412"/>
      <c r="AT27" s="3406" t="e">
        <f>[29]原始记录!#REF!</f>
        <v>#REF!</v>
      </c>
      <c r="AU27" s="3406"/>
      <c r="AV27" s="3406"/>
      <c r="AW27" s="3407" t="e">
        <f>[29]原始记录!#REF!</f>
        <v>#REF!</v>
      </c>
      <c r="AX27" s="3407"/>
      <c r="AY27" s="3407"/>
      <c r="AZ27" s="3408" t="s">
        <v>1581</v>
      </c>
      <c r="BA27" s="3408"/>
      <c r="BB27" s="3408"/>
      <c r="BC27" s="3409" t="e">
        <f>[29]原始记录!#REF!</f>
        <v>#REF!</v>
      </c>
      <c r="BD27" s="3409"/>
      <c r="BE27" s="3409"/>
    </row>
    <row r="28" spans="1:57" outlineLevel="2">
      <c r="A28" s="3624"/>
      <c r="B28" s="3625"/>
      <c r="C28" s="3618"/>
      <c r="D28" s="3619"/>
      <c r="E28" s="3618"/>
      <c r="F28" s="3619"/>
      <c r="G28" s="3609" t="s">
        <v>175</v>
      </c>
      <c r="H28" s="3610"/>
      <c r="I28" s="3532">
        <v>1.5299999999999999E-2</v>
      </c>
      <c r="J28" s="3532"/>
      <c r="K28" s="3532">
        <v>1.3299999999999999E-2</v>
      </c>
      <c r="L28" s="3532"/>
      <c r="M28" s="3607">
        <f t="shared" si="1"/>
        <v>1.43E-2</v>
      </c>
      <c r="N28" s="3608"/>
      <c r="O28" s="3560" t="e">
        <f t="shared" ca="1" si="2"/>
        <v>#NAME?</v>
      </c>
      <c r="P28" s="3561"/>
      <c r="Q28" s="2"/>
      <c r="S28" s="2505"/>
      <c r="T28" s="2510"/>
      <c r="U28" s="3443"/>
      <c r="V28" s="3444"/>
      <c r="W28" s="3445"/>
      <c r="X28" s="3445"/>
      <c r="Y28" s="3445"/>
      <c r="Z28" s="3445"/>
      <c r="AA28" s="3435"/>
      <c r="AB28" s="3435"/>
      <c r="AC28" s="3435"/>
      <c r="AD28" s="3420" t="e">
        <f>[28]原始记录!#REF!</f>
        <v>#REF!</v>
      </c>
      <c r="AE28" s="3421"/>
      <c r="AF28" s="3421"/>
      <c r="AG28" s="3422" t="e">
        <f>[28]原始记录!#REF!</f>
        <v>#REF!</v>
      </c>
      <c r="AH28" s="3422"/>
      <c r="AI28" s="3422"/>
      <c r="AJ28" s="3422" t="s">
        <v>1581</v>
      </c>
      <c r="AK28" s="3422"/>
      <c r="AL28" s="3422"/>
      <c r="AN28" s="3403"/>
      <c r="AO28" s="3403"/>
      <c r="AP28" s="3411"/>
      <c r="AQ28" s="3411"/>
      <c r="AR28" s="3412"/>
      <c r="AS28" s="3412"/>
      <c r="AT28" s="3406" t="e">
        <f>[29]原始记录!#REF!</f>
        <v>#REF!</v>
      </c>
      <c r="AU28" s="3406"/>
      <c r="AV28" s="3406"/>
      <c r="AW28" s="3407" t="e">
        <f>[29]原始记录!#REF!</f>
        <v>#REF!</v>
      </c>
      <c r="AX28" s="3407"/>
      <c r="AY28" s="3407"/>
      <c r="AZ28" s="3408" t="s">
        <v>1581</v>
      </c>
      <c r="BA28" s="3408"/>
      <c r="BB28" s="3408"/>
      <c r="BC28" s="3409" t="e">
        <f>[29]原始记录!#REF!</f>
        <v>#REF!</v>
      </c>
      <c r="BD28" s="3409"/>
      <c r="BE28" s="3409"/>
    </row>
    <row r="29" spans="1:57" outlineLevel="2">
      <c r="A29" s="3577" t="s">
        <v>179</v>
      </c>
      <c r="B29" s="3598"/>
      <c r="C29" s="3580" t="s">
        <v>180</v>
      </c>
      <c r="D29" s="3599" t="s">
        <v>181</v>
      </c>
      <c r="E29" s="3601">
        <v>1</v>
      </c>
      <c r="F29" s="3602"/>
      <c r="G29" s="3592">
        <v>100</v>
      </c>
      <c r="H29" s="3593"/>
      <c r="I29" s="3587">
        <v>1.2800000000000001E-2</v>
      </c>
      <c r="J29" s="3587"/>
      <c r="K29" s="3587">
        <v>1.17E-2</v>
      </c>
      <c r="L29" s="3587"/>
      <c r="M29" s="3588">
        <f t="shared" si="1"/>
        <v>1.225E-2</v>
      </c>
      <c r="N29" s="3589"/>
      <c r="O29" s="3590" t="e">
        <f t="shared" ca="1" si="2"/>
        <v>#NAME?</v>
      </c>
      <c r="P29" s="3591"/>
      <c r="Q29" s="2"/>
      <c r="S29" s="3612"/>
      <c r="T29" s="3613"/>
      <c r="U29" s="3433" t="e">
        <f>[28]原始记录!#REF!</f>
        <v>#REF!</v>
      </c>
      <c r="V29" s="3434"/>
      <c r="W29" s="3404" t="e">
        <f>[28]原始记录!#REF!</f>
        <v>#REF!</v>
      </c>
      <c r="X29" s="3404"/>
      <c r="Y29" s="3404" t="e">
        <f>[28]原始记录!#REF!</f>
        <v>#REF!</v>
      </c>
      <c r="Z29" s="3404"/>
      <c r="AA29" s="3405" t="s">
        <v>1584</v>
      </c>
      <c r="AB29" s="3405"/>
      <c r="AC29" s="3405"/>
      <c r="AD29" s="3405" t="e">
        <f>[28]原始记录!#REF!</f>
        <v>#REF!</v>
      </c>
      <c r="AE29" s="3403"/>
      <c r="AF29" s="3403"/>
      <c r="AG29" s="3387" t="e">
        <f>[28]原始记录!#REF!</f>
        <v>#REF!</v>
      </c>
      <c r="AH29" s="3387"/>
      <c r="AI29" s="3387"/>
      <c r="AJ29" s="3395" t="s">
        <v>1581</v>
      </c>
      <c r="AK29" s="3395"/>
      <c r="AL29" s="3395"/>
      <c r="AN29" s="3403" t="e">
        <f>[29]原始记录!#REF!</f>
        <v>#REF!</v>
      </c>
      <c r="AO29" s="3403"/>
      <c r="AP29" s="3404" t="e">
        <f>[29]原始记录!#REF!</f>
        <v>#REF!</v>
      </c>
      <c r="AQ29" s="3404" t="e">
        <f>[29]原始记录!#REF!</f>
        <v>#REF!</v>
      </c>
      <c r="AR29" s="3405" t="s">
        <v>1584</v>
      </c>
      <c r="AS29" s="3405"/>
      <c r="AT29" s="3406" t="e">
        <f>[29]原始记录!#REF!</f>
        <v>#REF!</v>
      </c>
      <c r="AU29" s="3406"/>
      <c r="AV29" s="3406"/>
      <c r="AW29" s="3407" t="e">
        <f>[29]原始记录!#REF!</f>
        <v>#REF!</v>
      </c>
      <c r="AX29" s="3407"/>
      <c r="AY29" s="3407"/>
      <c r="AZ29" s="3408" t="s">
        <v>1581</v>
      </c>
      <c r="BA29" s="3408"/>
      <c r="BB29" s="3408"/>
      <c r="BC29" s="3409" t="e">
        <f>[29]原始记录!#REF!</f>
        <v>#REF!</v>
      </c>
      <c r="BD29" s="3409"/>
      <c r="BE29" s="3409"/>
    </row>
    <row r="30" spans="1:57" outlineLevel="2">
      <c r="A30" s="3579"/>
      <c r="B30" s="3599"/>
      <c r="C30" s="2343"/>
      <c r="D30" s="3157"/>
      <c r="E30" s="3603"/>
      <c r="F30" s="3604"/>
      <c r="G30" s="3592" t="s">
        <v>178</v>
      </c>
      <c r="H30" s="3593"/>
      <c r="I30" s="3584">
        <v>1.4500000000000001E-2</v>
      </c>
      <c r="J30" s="3584"/>
      <c r="K30" s="3584">
        <v>1.21E-2</v>
      </c>
      <c r="L30" s="3584"/>
      <c r="M30" s="3594">
        <f t="shared" si="1"/>
        <v>1.3299999999999999E-2</v>
      </c>
      <c r="N30" s="3595"/>
      <c r="O30" s="3596" t="e">
        <f t="shared" ca="1" si="2"/>
        <v>#NAME?</v>
      </c>
      <c r="P30" s="3597"/>
      <c r="Q30" s="2"/>
      <c r="U30" s="3429"/>
      <c r="V30" s="3430"/>
      <c r="W30" s="3404"/>
      <c r="X30" s="3404"/>
      <c r="Y30" s="3404"/>
      <c r="Z30" s="3404"/>
      <c r="AA30" s="3405"/>
      <c r="AB30" s="3405"/>
      <c r="AC30" s="3405"/>
      <c r="AD30" s="3405" t="e">
        <f>[28]原始记录!#REF!</f>
        <v>#REF!</v>
      </c>
      <c r="AE30" s="3403"/>
      <c r="AF30" s="3403"/>
      <c r="AG30" s="3387" t="e">
        <f>[28]原始记录!#REF!</f>
        <v>#REF!</v>
      </c>
      <c r="AH30" s="3387"/>
      <c r="AI30" s="3387"/>
      <c r="AJ30" s="3395" t="s">
        <v>1581</v>
      </c>
      <c r="AK30" s="3395"/>
      <c r="AL30" s="3395"/>
      <c r="AN30" s="3403"/>
      <c r="AO30" s="3403"/>
      <c r="AP30" s="3404"/>
      <c r="AQ30" s="3404"/>
      <c r="AR30" s="3405"/>
      <c r="AS30" s="3405"/>
      <c r="AT30" s="3406" t="e">
        <f>[29]原始记录!#REF!</f>
        <v>#REF!</v>
      </c>
      <c r="AU30" s="3406"/>
      <c r="AV30" s="3406"/>
      <c r="AW30" s="3407" t="e">
        <f>[29]原始记录!#REF!</f>
        <v>#REF!</v>
      </c>
      <c r="AX30" s="3407"/>
      <c r="AY30" s="3407"/>
      <c r="AZ30" s="3408" t="s">
        <v>1581</v>
      </c>
      <c r="BA30" s="3408"/>
      <c r="BB30" s="3408"/>
      <c r="BC30" s="3409" t="e">
        <f>[29]原始记录!#REF!</f>
        <v>#REF!</v>
      </c>
      <c r="BD30" s="3409"/>
      <c r="BE30" s="3409"/>
    </row>
    <row r="31" spans="1:57" outlineLevel="2">
      <c r="A31" s="3581"/>
      <c r="B31" s="3600"/>
      <c r="C31" s="2343"/>
      <c r="D31" s="3157"/>
      <c r="E31" s="3605" t="s">
        <v>182</v>
      </c>
      <c r="F31" s="3606"/>
      <c r="G31" s="3592" t="s">
        <v>178</v>
      </c>
      <c r="H31" s="3593"/>
      <c r="I31" s="3584">
        <v>-2.69E-2</v>
      </c>
      <c r="J31" s="3584"/>
      <c r="K31" s="3584">
        <v>-2.5499999999999998E-2</v>
      </c>
      <c r="L31" s="3584"/>
      <c r="M31" s="3594">
        <f t="shared" si="1"/>
        <v>-2.6200000000000001E-2</v>
      </c>
      <c r="N31" s="3595"/>
      <c r="O31" s="3596" t="e">
        <f t="shared" ca="1" si="2"/>
        <v>#NAME?</v>
      </c>
      <c r="P31" s="3597"/>
      <c r="Q31" s="2"/>
      <c r="U31" s="3431"/>
      <c r="V31" s="3432"/>
      <c r="W31" s="3404"/>
      <c r="X31" s="3404"/>
      <c r="Y31" s="3404"/>
      <c r="Z31" s="3404"/>
      <c r="AA31" s="3405" t="s">
        <v>1582</v>
      </c>
      <c r="AB31" s="3405"/>
      <c r="AC31" s="3405"/>
      <c r="AD31" s="3405" t="e">
        <f>[28]原始记录!#REF!</f>
        <v>#REF!</v>
      </c>
      <c r="AE31" s="3403"/>
      <c r="AF31" s="3403"/>
      <c r="AG31" s="3387" t="e">
        <f>[28]原始记录!#REF!</f>
        <v>#REF!</v>
      </c>
      <c r="AH31" s="3387"/>
      <c r="AI31" s="3387"/>
      <c r="AJ31" s="3395" t="s">
        <v>1581</v>
      </c>
      <c r="AK31" s="3395"/>
      <c r="AL31" s="3395"/>
      <c r="AN31" s="3403"/>
      <c r="AO31" s="3403"/>
      <c r="AP31" s="3404"/>
      <c r="AQ31" s="3404"/>
      <c r="AR31" s="3405" t="s">
        <v>1582</v>
      </c>
      <c r="AS31" s="3405"/>
      <c r="AT31" s="3406" t="e">
        <f>[29]原始记录!#REF!</f>
        <v>#REF!</v>
      </c>
      <c r="AU31" s="3406"/>
      <c r="AV31" s="3406"/>
      <c r="AW31" s="3407" t="e">
        <f>[29]原始记录!#REF!</f>
        <v>#REF!</v>
      </c>
      <c r="AX31" s="3407"/>
      <c r="AY31" s="3407"/>
      <c r="AZ31" s="3408" t="s">
        <v>1581</v>
      </c>
      <c r="BA31" s="3408"/>
      <c r="BB31" s="3408"/>
      <c r="BC31" s="3409" t="e">
        <f>[29]原始记录!#REF!</f>
        <v>#REF!</v>
      </c>
      <c r="BD31" s="3409"/>
      <c r="BE31" s="3409"/>
    </row>
    <row r="32" spans="1:57" outlineLevel="2">
      <c r="A32" s="3577" t="s">
        <v>179</v>
      </c>
      <c r="B32" s="3578"/>
      <c r="C32" s="3577" t="s">
        <v>183</v>
      </c>
      <c r="D32" s="3583" t="s">
        <v>184</v>
      </c>
      <c r="E32" s="3573">
        <v>1</v>
      </c>
      <c r="F32" s="3573"/>
      <c r="G32" s="3574">
        <v>100</v>
      </c>
      <c r="H32" s="3574"/>
      <c r="I32" s="3575">
        <v>6.8999999999999999E-3</v>
      </c>
      <c r="J32" s="3576"/>
      <c r="K32" s="3575">
        <v>4.5999999999999999E-3</v>
      </c>
      <c r="L32" s="3576"/>
      <c r="M32" s="3584">
        <f t="shared" si="1"/>
        <v>5.7499999999999999E-3</v>
      </c>
      <c r="N32" s="3584"/>
      <c r="O32" s="3586" t="e">
        <f ca="1">IF(ISNUMBER(M32),修约化整(M32,$G$13),"/")</f>
        <v>#NAME?</v>
      </c>
      <c r="P32" s="3586"/>
      <c r="Q32" s="2"/>
      <c r="U32" s="3429" t="e">
        <f>[28]原始记录!#REF!</f>
        <v>#REF!</v>
      </c>
      <c r="V32" s="3430"/>
      <c r="W32" s="3404" t="e">
        <f>[28]原始记录!#REF!</f>
        <v>#REF!</v>
      </c>
      <c r="X32" s="3404"/>
      <c r="Y32" s="3404" t="e">
        <f>[28]原始记录!#REF!</f>
        <v>#REF!</v>
      </c>
      <c r="Z32" s="3404"/>
      <c r="AA32" s="3405" t="s">
        <v>1584</v>
      </c>
      <c r="AB32" s="3405"/>
      <c r="AC32" s="3405"/>
      <c r="AD32" s="3405" t="e">
        <f>[28]原始记录!#REF!</f>
        <v>#REF!</v>
      </c>
      <c r="AE32" s="3403"/>
      <c r="AF32" s="3403"/>
      <c r="AG32" s="3387" t="e">
        <f>[28]原始记录!#REF!</f>
        <v>#REF!</v>
      </c>
      <c r="AH32" s="3387"/>
      <c r="AI32" s="3387"/>
      <c r="AJ32" s="3395" t="s">
        <v>1581</v>
      </c>
      <c r="AK32" s="3395"/>
      <c r="AL32" s="3395"/>
      <c r="AN32" s="3403" t="e">
        <f>[29]原始记录!#REF!</f>
        <v>#REF!</v>
      </c>
      <c r="AO32" s="3403"/>
      <c r="AP32" s="3404" t="e">
        <f>[29]原始记录!#REF!</f>
        <v>#REF!</v>
      </c>
      <c r="AQ32" s="3404" t="e">
        <f>[29]原始记录!#REF!</f>
        <v>#REF!</v>
      </c>
      <c r="AR32" s="3405" t="s">
        <v>1584</v>
      </c>
      <c r="AS32" s="3405"/>
      <c r="AT32" s="3406" t="e">
        <f>[29]原始记录!#REF!</f>
        <v>#REF!</v>
      </c>
      <c r="AU32" s="3406"/>
      <c r="AV32" s="3406"/>
      <c r="AW32" s="3407" t="e">
        <f>[29]原始记录!#REF!</f>
        <v>#REF!</v>
      </c>
      <c r="AX32" s="3407"/>
      <c r="AY32" s="3407"/>
      <c r="AZ32" s="3408" t="s">
        <v>1581</v>
      </c>
      <c r="BA32" s="3408"/>
      <c r="BB32" s="3408"/>
      <c r="BC32" s="3409" t="e">
        <f>[29]原始记录!#REF!</f>
        <v>#REF!</v>
      </c>
      <c r="BD32" s="3409"/>
      <c r="BE32" s="3409"/>
    </row>
    <row r="33" spans="1:57" outlineLevel="2">
      <c r="A33" s="3579"/>
      <c r="B33" s="3580"/>
      <c r="C33" s="3579"/>
      <c r="D33" s="3583"/>
      <c r="E33" s="3573"/>
      <c r="F33" s="3573"/>
      <c r="G33" s="3574" t="s">
        <v>178</v>
      </c>
      <c r="H33" s="3574"/>
      <c r="I33" s="3575">
        <v>2.18E-2</v>
      </c>
      <c r="J33" s="3576"/>
      <c r="K33" s="3575">
        <v>1.9900000000000001E-2</v>
      </c>
      <c r="L33" s="3576"/>
      <c r="M33" s="3584">
        <f t="shared" si="1"/>
        <v>2.085E-2</v>
      </c>
      <c r="N33" s="3584"/>
      <c r="O33" s="3586" t="e">
        <f ca="1">IF(ISNUMBER(M33),修约化整(M33,$G$13),"/")</f>
        <v>#NAME?</v>
      </c>
      <c r="P33" s="3586"/>
      <c r="Q33" s="2"/>
      <c r="U33" s="3429"/>
      <c r="V33" s="3430"/>
      <c r="W33" s="3404"/>
      <c r="X33" s="3404"/>
      <c r="Y33" s="3404"/>
      <c r="Z33" s="3404"/>
      <c r="AA33" s="3405"/>
      <c r="AB33" s="3405"/>
      <c r="AC33" s="3405"/>
      <c r="AD33" s="3405" t="e">
        <f>[28]原始记录!#REF!</f>
        <v>#REF!</v>
      </c>
      <c r="AE33" s="3403"/>
      <c r="AF33" s="3403"/>
      <c r="AG33" s="3387" t="e">
        <f>[28]原始记录!#REF!</f>
        <v>#REF!</v>
      </c>
      <c r="AH33" s="3387"/>
      <c r="AI33" s="3387"/>
      <c r="AJ33" s="3395" t="s">
        <v>1581</v>
      </c>
      <c r="AK33" s="3395"/>
      <c r="AL33" s="3395"/>
      <c r="AN33" s="3403"/>
      <c r="AO33" s="3403"/>
      <c r="AP33" s="3404"/>
      <c r="AQ33" s="3404"/>
      <c r="AR33" s="3405"/>
      <c r="AS33" s="3405"/>
      <c r="AT33" s="3406" t="e">
        <f>[29]原始记录!#REF!</f>
        <v>#REF!</v>
      </c>
      <c r="AU33" s="3406"/>
      <c r="AV33" s="3406"/>
      <c r="AW33" s="3407" t="e">
        <f>[29]原始记录!#REF!</f>
        <v>#REF!</v>
      </c>
      <c r="AX33" s="3407"/>
      <c r="AY33" s="3407"/>
      <c r="AZ33" s="3408" t="s">
        <v>1581</v>
      </c>
      <c r="BA33" s="3408"/>
      <c r="BB33" s="3408"/>
      <c r="BC33" s="3409" t="e">
        <f>[29]原始记录!#REF!</f>
        <v>#REF!</v>
      </c>
      <c r="BD33" s="3409"/>
      <c r="BE33" s="3409"/>
    </row>
    <row r="34" spans="1:57" outlineLevel="2">
      <c r="A34" s="3581"/>
      <c r="B34" s="3582"/>
      <c r="C34" s="3581"/>
      <c r="D34" s="3583"/>
      <c r="E34" s="3573" t="s">
        <v>182</v>
      </c>
      <c r="F34" s="3573"/>
      <c r="G34" s="3574" t="s">
        <v>178</v>
      </c>
      <c r="H34" s="3574"/>
      <c r="I34" s="3575">
        <v>1.77E-2</v>
      </c>
      <c r="J34" s="3576"/>
      <c r="K34" s="3575">
        <v>2.0400000000000001E-2</v>
      </c>
      <c r="L34" s="3576"/>
      <c r="M34" s="3584">
        <f t="shared" si="1"/>
        <v>1.9050000000000001E-2</v>
      </c>
      <c r="N34" s="3584"/>
      <c r="O34" s="3585" t="e">
        <f ca="1">IF(ISNUMBER(M34),修约化整(M34,$G$13),"/")</f>
        <v>#NAME?</v>
      </c>
      <c r="P34" s="3585"/>
      <c r="Q34" s="2"/>
      <c r="U34" s="3431"/>
      <c r="V34" s="3432"/>
      <c r="W34" s="3404"/>
      <c r="X34" s="3404"/>
      <c r="Y34" s="3404"/>
      <c r="Z34" s="3404"/>
      <c r="AA34" s="3405" t="s">
        <v>1582</v>
      </c>
      <c r="AB34" s="3405"/>
      <c r="AC34" s="3405"/>
      <c r="AD34" s="3405" t="e">
        <f>[28]原始记录!#REF!</f>
        <v>#REF!</v>
      </c>
      <c r="AE34" s="3403"/>
      <c r="AF34" s="3403"/>
      <c r="AG34" s="3395" t="e">
        <f>[28]原始记录!#REF!</f>
        <v>#REF!</v>
      </c>
      <c r="AH34" s="3395"/>
      <c r="AI34" s="3395"/>
      <c r="AJ34" s="3395" t="s">
        <v>1581</v>
      </c>
      <c r="AK34" s="3395"/>
      <c r="AL34" s="3395"/>
      <c r="AN34" s="3403"/>
      <c r="AO34" s="3403"/>
      <c r="AP34" s="3404"/>
      <c r="AQ34" s="3404"/>
      <c r="AR34" s="3405" t="s">
        <v>1582</v>
      </c>
      <c r="AS34" s="3405"/>
      <c r="AT34" s="3406" t="e">
        <f>[29]原始记录!#REF!</f>
        <v>#REF!</v>
      </c>
      <c r="AU34" s="3406"/>
      <c r="AV34" s="3406"/>
      <c r="AW34" s="3407" t="e">
        <f>[29]原始记录!#REF!</f>
        <v>#REF!</v>
      </c>
      <c r="AX34" s="3407"/>
      <c r="AY34" s="3407"/>
      <c r="AZ34" s="3408" t="s">
        <v>1581</v>
      </c>
      <c r="BA34" s="3408"/>
      <c r="BB34" s="3408"/>
      <c r="BC34" s="3409" t="e">
        <f>[29]原始记录!#REF!</f>
        <v>#REF!</v>
      </c>
      <c r="BD34" s="3409"/>
      <c r="BE34" s="3409"/>
    </row>
    <row r="35" spans="1:57" outlineLevel="2"/>
    <row r="36" spans="1:57" outlineLevel="2">
      <c r="A36" s="646" t="s">
        <v>1643</v>
      </c>
      <c r="C36" s="641" t="s">
        <v>1638</v>
      </c>
      <c r="D36" s="162"/>
      <c r="E36" s="162"/>
      <c r="F36" s="162"/>
      <c r="G36" s="199"/>
      <c r="H36" s="199"/>
      <c r="I36" s="200"/>
      <c r="J36" s="200"/>
      <c r="K36" s="201"/>
      <c r="L36" s="201"/>
      <c r="M36" s="201"/>
      <c r="N36" s="201"/>
      <c r="O36" s="202"/>
      <c r="P36" s="202"/>
      <c r="Q36" s="203"/>
      <c r="R36" s="203"/>
      <c r="U36" s="157" t="s">
        <v>1633</v>
      </c>
      <c r="AN36" s="157" t="s">
        <v>1634</v>
      </c>
    </row>
    <row r="37" spans="1:57" ht="48" outlineLevel="2">
      <c r="A37" s="3568" t="s">
        <v>611</v>
      </c>
      <c r="B37" s="3569"/>
      <c r="C37" s="3570" t="s">
        <v>612</v>
      </c>
      <c r="D37" s="3569"/>
      <c r="E37" s="3571" t="s">
        <v>629</v>
      </c>
      <c r="F37" s="3572"/>
      <c r="G37" s="3528" t="s">
        <v>619</v>
      </c>
      <c r="H37" s="3529"/>
      <c r="I37" s="3510" t="s">
        <v>614</v>
      </c>
      <c r="J37" s="3519"/>
      <c r="K37" s="3520" t="s">
        <v>185</v>
      </c>
      <c r="L37" s="3519"/>
      <c r="M37" s="3520" t="s">
        <v>186</v>
      </c>
      <c r="N37" s="3519"/>
      <c r="O37" s="3519" t="s">
        <v>187</v>
      </c>
      <c r="P37" s="3519"/>
      <c r="Q37" s="3510" t="s">
        <v>188</v>
      </c>
      <c r="R37" s="3519"/>
      <c r="S37" s="271" t="s">
        <v>811</v>
      </c>
      <c r="T37" s="257" t="s">
        <v>630</v>
      </c>
      <c r="U37" s="502"/>
      <c r="V37" s="502"/>
      <c r="W37" s="502"/>
      <c r="X37" s="157"/>
      <c r="Y37" s="502"/>
      <c r="Z37" s="502" t="s">
        <v>1618</v>
      </c>
      <c r="AA37" s="2482" t="e">
        <f>[29]原始记录!#REF!</f>
        <v>#REF!</v>
      </c>
      <c r="AB37" s="2482"/>
      <c r="AC37" s="2482"/>
      <c r="AD37" s="502"/>
      <c r="AE37" s="502" t="s">
        <v>1619</v>
      </c>
      <c r="AF37" s="2482" t="e">
        <f>[29]原始记录!#REF!</f>
        <v>#REF!</v>
      </c>
      <c r="AG37" s="2482"/>
      <c r="AH37" s="2482"/>
      <c r="AI37" s="502"/>
      <c r="AJ37" s="502"/>
      <c r="AK37" s="502"/>
      <c r="AL37" s="502"/>
      <c r="AN37" s="502"/>
      <c r="AO37" s="502"/>
      <c r="AP37" s="502"/>
      <c r="AQ37" s="157"/>
      <c r="AR37" s="502"/>
      <c r="AS37" s="502" t="s">
        <v>1618</v>
      </c>
      <c r="AT37" s="2482" t="e">
        <f>[29]原始记录!#REF!</f>
        <v>#REF!</v>
      </c>
      <c r="AU37" s="2482"/>
      <c r="AV37" s="2482"/>
      <c r="AW37" s="502"/>
      <c r="AX37" s="502" t="s">
        <v>1619</v>
      </c>
      <c r="AY37" s="2482" t="e">
        <f>[29]原始记录!#REF!</f>
        <v>#REF!</v>
      </c>
      <c r="AZ37" s="2482"/>
      <c r="BA37" s="2482"/>
      <c r="BB37" s="502"/>
      <c r="BC37" s="502"/>
      <c r="BD37" s="502"/>
      <c r="BE37" s="502"/>
    </row>
    <row r="38" spans="1:57" outlineLevel="2">
      <c r="A38" s="3517" t="s">
        <v>179</v>
      </c>
      <c r="B38" s="3517"/>
      <c r="C38" s="3552" t="s">
        <v>189</v>
      </c>
      <c r="D38" s="3555" t="s">
        <v>190</v>
      </c>
      <c r="E38" s="3552" t="s">
        <v>191</v>
      </c>
      <c r="F38" s="3562"/>
      <c r="G38" s="3564">
        <v>1</v>
      </c>
      <c r="H38" s="3565"/>
      <c r="I38" s="3517">
        <v>100</v>
      </c>
      <c r="J38" s="3517"/>
      <c r="K38" s="3558">
        <v>0.312</v>
      </c>
      <c r="L38" s="3559"/>
      <c r="M38" s="3558">
        <v>2.86E-2</v>
      </c>
      <c r="N38" s="3559"/>
      <c r="O38" s="3527">
        <f>IF(ISNUMBER(K38),AVERAGE(K38:N38),"/")</f>
        <v>0.17030000000000001</v>
      </c>
      <c r="P38" s="3527"/>
      <c r="Q38" s="3560" t="e">
        <f ca="1">IF(ISNUMBER(O38),修约化整(O38,$G$13),"/")</f>
        <v>#NAME?</v>
      </c>
      <c r="R38" s="3561"/>
      <c r="S38" s="258"/>
      <c r="U38" s="637"/>
      <c r="V38" s="637"/>
      <c r="W38" s="637"/>
      <c r="X38" s="637"/>
      <c r="Y38" s="637"/>
      <c r="Z38" s="637"/>
      <c r="AA38" s="637"/>
      <c r="AB38" s="637"/>
      <c r="AC38" s="637"/>
      <c r="AD38" s="637"/>
      <c r="AE38" s="637"/>
      <c r="AF38" s="637"/>
      <c r="AG38" s="637"/>
      <c r="AH38" s="637"/>
      <c r="AI38" s="637"/>
      <c r="AJ38" s="637"/>
      <c r="AK38" s="637"/>
      <c r="AL38" s="637"/>
      <c r="AN38" s="637"/>
      <c r="AO38" s="637"/>
      <c r="AP38" s="637"/>
      <c r="AQ38" s="637"/>
      <c r="AR38" s="637"/>
      <c r="AS38" s="637"/>
      <c r="AT38" s="637"/>
      <c r="AU38" s="637"/>
      <c r="AV38" s="637"/>
      <c r="AW38" s="637"/>
      <c r="AX38" s="637"/>
      <c r="AY38" s="637"/>
      <c r="AZ38" s="637"/>
      <c r="BA38" s="637"/>
      <c r="BB38" s="637"/>
      <c r="BC38" s="637"/>
      <c r="BD38" s="637"/>
      <c r="BE38" s="637"/>
    </row>
    <row r="39" spans="1:57" outlineLevel="2">
      <c r="A39" s="3517"/>
      <c r="B39" s="3517"/>
      <c r="C39" s="3553"/>
      <c r="D39" s="3556"/>
      <c r="E39" s="3553"/>
      <c r="F39" s="3563"/>
      <c r="G39" s="3566"/>
      <c r="H39" s="3567"/>
      <c r="I39" s="3517">
        <v>10</v>
      </c>
      <c r="J39" s="3517"/>
      <c r="K39" s="3558">
        <v>5.5999999999999999E-3</v>
      </c>
      <c r="L39" s="3559"/>
      <c r="M39" s="3558">
        <v>4.4000000000000003E-3</v>
      </c>
      <c r="N39" s="3559"/>
      <c r="O39" s="3527">
        <f>IF(ISNUMBER(K39),AVERAGE(K39:N39),"/")</f>
        <v>5.0000000000000001E-3</v>
      </c>
      <c r="P39" s="3527"/>
      <c r="Q39" s="3560" t="e">
        <f ca="1">IF(ISNUMBER(O39),修约化整(O39,$G$13),"/")</f>
        <v>#NAME?</v>
      </c>
      <c r="R39" s="3561"/>
      <c r="S39" s="2"/>
      <c r="U39" s="3396" t="s">
        <v>1628</v>
      </c>
      <c r="V39" s="3397"/>
      <c r="W39" s="3397"/>
      <c r="X39" s="3397"/>
      <c r="Y39" s="3397"/>
      <c r="Z39" s="3398"/>
      <c r="AA39" s="2340" t="s">
        <v>1629</v>
      </c>
      <c r="AB39" s="2340"/>
      <c r="AC39" s="2340"/>
      <c r="AD39" s="2340"/>
      <c r="AE39" s="2340" t="s">
        <v>1630</v>
      </c>
      <c r="AF39" s="2340"/>
      <c r="AG39" s="2340"/>
      <c r="AH39" s="2340"/>
      <c r="AI39" s="2340" t="s">
        <v>1631</v>
      </c>
      <c r="AJ39" s="2340"/>
      <c r="AK39" s="2340"/>
      <c r="AL39" s="2340"/>
      <c r="AN39" s="3396" t="s">
        <v>1628</v>
      </c>
      <c r="AO39" s="3397"/>
      <c r="AP39" s="3397"/>
      <c r="AQ39" s="3397"/>
      <c r="AR39" s="3397"/>
      <c r="AS39" s="3398"/>
      <c r="AT39" s="2340" t="s">
        <v>1629</v>
      </c>
      <c r="AU39" s="2340"/>
      <c r="AV39" s="2340"/>
      <c r="AW39" s="2340"/>
      <c r="AX39" s="2340" t="s">
        <v>1630</v>
      </c>
      <c r="AY39" s="2340"/>
      <c r="AZ39" s="2340"/>
      <c r="BA39" s="2340"/>
      <c r="BB39" s="2340" t="s">
        <v>1631</v>
      </c>
      <c r="BC39" s="2340"/>
      <c r="BD39" s="2340"/>
      <c r="BE39" s="2340"/>
    </row>
    <row r="40" spans="1:57" ht="15.75" outlineLevel="2">
      <c r="A40" s="3517"/>
      <c r="B40" s="3517"/>
      <c r="C40" s="3553"/>
      <c r="D40" s="3556"/>
      <c r="E40" s="3553"/>
      <c r="F40" s="3563"/>
      <c r="G40" s="3552" t="s">
        <v>182</v>
      </c>
      <c r="H40" s="3562"/>
      <c r="I40" s="3517">
        <v>100</v>
      </c>
      <c r="J40" s="3517"/>
      <c r="K40" s="3558">
        <v>9.2999999999999992E-3</v>
      </c>
      <c r="L40" s="3559"/>
      <c r="M40" s="3558">
        <v>9.2999999999999992E-3</v>
      </c>
      <c r="N40" s="3559"/>
      <c r="O40" s="3527">
        <f>IF(ISNUMBER(K40),AVERAGE(K40:N40),"/")</f>
        <v>9.2999999999999992E-3</v>
      </c>
      <c r="P40" s="3527"/>
      <c r="Q40" s="3560" t="e">
        <f ca="1">IF(ISNUMBER(O40),修约化整(O40,$G$13),"/")</f>
        <v>#NAME?</v>
      </c>
      <c r="R40" s="3561"/>
      <c r="S40" s="2"/>
      <c r="U40" s="3396"/>
      <c r="V40" s="3397"/>
      <c r="W40" s="3397"/>
      <c r="X40" s="3397"/>
      <c r="Y40" s="3397"/>
      <c r="Z40" s="3398"/>
      <c r="AA40" s="2297" t="s">
        <v>1632</v>
      </c>
      <c r="AB40" s="2297"/>
      <c r="AC40" s="2297"/>
      <c r="AD40" s="2297"/>
      <c r="AE40" s="2297"/>
      <c r="AF40" s="2297"/>
      <c r="AG40" s="2297"/>
      <c r="AH40" s="2297"/>
      <c r="AI40" s="2297"/>
      <c r="AJ40" s="2297"/>
      <c r="AK40" s="2297"/>
      <c r="AL40" s="2297"/>
      <c r="AN40" s="3396"/>
      <c r="AO40" s="3397"/>
      <c r="AP40" s="3397"/>
      <c r="AQ40" s="3397"/>
      <c r="AR40" s="3397"/>
      <c r="AS40" s="3398"/>
      <c r="AT40" s="2297" t="s">
        <v>1632</v>
      </c>
      <c r="AU40" s="2297"/>
      <c r="AV40" s="2297"/>
      <c r="AW40" s="2297"/>
      <c r="AX40" s="2297"/>
      <c r="AY40" s="2297"/>
      <c r="AZ40" s="2297"/>
      <c r="BA40" s="2297"/>
      <c r="BB40" s="2297"/>
      <c r="BC40" s="2297"/>
      <c r="BD40" s="2297"/>
      <c r="BE40" s="2297"/>
    </row>
    <row r="41" spans="1:57" outlineLevel="2">
      <c r="A41" s="3517"/>
      <c r="B41" s="3517"/>
      <c r="C41" s="3553"/>
      <c r="D41" s="3556"/>
      <c r="E41" s="3553"/>
      <c r="F41" s="3563"/>
      <c r="G41" s="3553"/>
      <c r="H41" s="3563"/>
      <c r="I41" s="3517">
        <v>20</v>
      </c>
      <c r="J41" s="3517"/>
      <c r="K41" s="3558">
        <v>-4.4000000000000003E-3</v>
      </c>
      <c r="L41" s="3559"/>
      <c r="M41" s="3558">
        <v>-1.6000000000000001E-3</v>
      </c>
      <c r="N41" s="3559"/>
      <c r="O41" s="3527">
        <f>IF(ISNUMBER(K41),AVERAGE(K41:N41),"/")</f>
        <v>-3.0000000000000001E-3</v>
      </c>
      <c r="P41" s="3527"/>
      <c r="Q41" s="3560" t="e">
        <f ca="1">IF(ISNUMBER(O41),修约化整(O41,$G$13),"/")</f>
        <v>#NAME?</v>
      </c>
      <c r="R41" s="3561"/>
      <c r="S41" s="2"/>
      <c r="U41" s="3399"/>
      <c r="V41" s="3400"/>
      <c r="W41" s="3400"/>
      <c r="X41" s="3400"/>
      <c r="Y41" s="3400"/>
      <c r="Z41" s="3401"/>
      <c r="AA41" s="3388">
        <v>1</v>
      </c>
      <c r="AB41" s="3389"/>
      <c r="AC41" s="3390" t="s">
        <v>1582</v>
      </c>
      <c r="AD41" s="3391"/>
      <c r="AE41" s="3388">
        <v>1</v>
      </c>
      <c r="AF41" s="3389"/>
      <c r="AG41" s="2327" t="s">
        <v>1582</v>
      </c>
      <c r="AH41" s="2481"/>
      <c r="AI41" s="3392">
        <v>1</v>
      </c>
      <c r="AJ41" s="3393"/>
      <c r="AK41" s="2327" t="s">
        <v>1582</v>
      </c>
      <c r="AL41" s="2481"/>
      <c r="AN41" s="3399"/>
      <c r="AO41" s="3400"/>
      <c r="AP41" s="3400"/>
      <c r="AQ41" s="3400"/>
      <c r="AR41" s="3400"/>
      <c r="AS41" s="3401"/>
      <c r="AT41" s="3388">
        <v>1</v>
      </c>
      <c r="AU41" s="3389"/>
      <c r="AV41" s="3390" t="s">
        <v>1582</v>
      </c>
      <c r="AW41" s="3391"/>
      <c r="AX41" s="3388">
        <v>1</v>
      </c>
      <c r="AY41" s="3389"/>
      <c r="AZ41" s="2327" t="s">
        <v>1582</v>
      </c>
      <c r="BA41" s="2481"/>
      <c r="BB41" s="3392">
        <v>1</v>
      </c>
      <c r="BC41" s="3393"/>
      <c r="BD41" s="2327" t="s">
        <v>1582</v>
      </c>
      <c r="BE41" s="2481"/>
    </row>
    <row r="42" spans="1:57" outlineLevel="2">
      <c r="A42" s="3517"/>
      <c r="B42" s="3517"/>
      <c r="C42" s="3553"/>
      <c r="D42" s="3556"/>
      <c r="E42" s="3552" t="s">
        <v>192</v>
      </c>
      <c r="F42" s="3562"/>
      <c r="G42" s="3564">
        <v>1</v>
      </c>
      <c r="H42" s="3565"/>
      <c r="I42" s="3517">
        <v>100</v>
      </c>
      <c r="J42" s="3517"/>
      <c r="K42" s="3558">
        <v>-1.6999999999999999E-3</v>
      </c>
      <c r="L42" s="3559"/>
      <c r="M42" s="3558">
        <v>-3.0000000000000001E-3</v>
      </c>
      <c r="N42" s="3559"/>
      <c r="O42" s="3527">
        <f>IF(ISNUMBER(K42),AVERAGE(K42:N42),"/")</f>
        <v>-2.3500000000000001E-3</v>
      </c>
      <c r="P42" s="3527"/>
      <c r="Q42" s="3560" t="e">
        <f t="shared" ref="Q42:Q49" ca="1" si="3">IF(ISNUMBER(O42),修约化整(O42,$G$13),"/")</f>
        <v>#NAME?</v>
      </c>
      <c r="R42" s="3561"/>
      <c r="S42" s="2"/>
      <c r="U42" s="2297">
        <v>100</v>
      </c>
      <c r="V42" s="2297"/>
      <c r="W42" s="2297"/>
      <c r="X42" s="2297"/>
      <c r="Y42" s="2297"/>
      <c r="Z42" s="2297"/>
      <c r="AA42" s="3387" t="e">
        <f>[29]原始记录!#REF!</f>
        <v>#REF!</v>
      </c>
      <c r="AB42" s="3387"/>
      <c r="AC42" s="3387" t="e">
        <f>[29]原始记录!#REF!</f>
        <v>#REF!</v>
      </c>
      <c r="AD42" s="3387"/>
      <c r="AE42" s="3387">
        <f>[29]原始记录!AI1</f>
        <v>0</v>
      </c>
      <c r="AF42" s="3387"/>
      <c r="AG42" s="3395">
        <f>[29]原始记录!AI3</f>
        <v>0</v>
      </c>
      <c r="AH42" s="3395"/>
      <c r="AI42" s="3395">
        <f>[29]原始记录!AI5</f>
        <v>0</v>
      </c>
      <c r="AJ42" s="3395"/>
      <c r="AK42" s="3395">
        <f>[29]原始记录!AI7</f>
        <v>0</v>
      </c>
      <c r="AL42" s="3395"/>
      <c r="AN42" s="2297">
        <v>100</v>
      </c>
      <c r="AO42" s="2297"/>
      <c r="AP42" s="2297"/>
      <c r="AQ42" s="2297"/>
      <c r="AR42" s="2297"/>
      <c r="AS42" s="2297"/>
      <c r="AT42" s="3387" t="e">
        <f>[29]原始记录!#REF!</f>
        <v>#REF!</v>
      </c>
      <c r="AU42" s="3387"/>
      <c r="AV42" s="3387" t="e">
        <f>[29]原始记录!#REF!</f>
        <v>#REF!</v>
      </c>
      <c r="AW42" s="3387"/>
      <c r="AX42" s="3387">
        <f>[29]原始记录!BB1</f>
        <v>0</v>
      </c>
      <c r="AY42" s="3387"/>
      <c r="AZ42" s="3395">
        <f>[29]原始记录!BB3</f>
        <v>0</v>
      </c>
      <c r="BA42" s="3395"/>
      <c r="BB42" s="3395">
        <f>[29]原始记录!BB5</f>
        <v>0</v>
      </c>
      <c r="BC42" s="3395"/>
      <c r="BD42" s="3395">
        <f>[29]原始记录!BB7</f>
        <v>0</v>
      </c>
      <c r="BE42" s="3395"/>
    </row>
    <row r="43" spans="1:57" outlineLevel="2">
      <c r="A43" s="3517"/>
      <c r="B43" s="3517"/>
      <c r="C43" s="3553"/>
      <c r="D43" s="3556"/>
      <c r="E43" s="3553"/>
      <c r="F43" s="3563"/>
      <c r="G43" s="3566"/>
      <c r="H43" s="3567"/>
      <c r="I43" s="3517">
        <v>10</v>
      </c>
      <c r="J43" s="3517"/>
      <c r="K43" s="3558">
        <v>-2.5999999999999999E-2</v>
      </c>
      <c r="L43" s="3559"/>
      <c r="M43" s="3558">
        <v>-3.0800000000000001E-2</v>
      </c>
      <c r="N43" s="3559"/>
      <c r="O43" s="3527">
        <f t="shared" ref="O43:O48" si="4">IF(ISNUMBER(K43),AVERAGE(K43:N43),"/")</f>
        <v>-2.8400000000000002E-2</v>
      </c>
      <c r="P43" s="3527"/>
      <c r="Q43" s="3560" t="e">
        <f t="shared" ca="1" si="3"/>
        <v>#NAME?</v>
      </c>
      <c r="R43" s="3561"/>
      <c r="S43" s="2"/>
      <c r="U43" s="2297">
        <v>20</v>
      </c>
      <c r="V43" s="2297"/>
      <c r="W43" s="2297"/>
      <c r="X43" s="2297"/>
      <c r="Y43" s="2297"/>
      <c r="Z43" s="2297"/>
      <c r="AA43" s="3387" t="s">
        <v>1581</v>
      </c>
      <c r="AB43" s="3387"/>
      <c r="AC43" s="3387" t="e">
        <f>[29]原始记录!#REF!</f>
        <v>#REF!</v>
      </c>
      <c r="AD43" s="3387"/>
      <c r="AE43" s="3387" t="s">
        <v>1581</v>
      </c>
      <c r="AF43" s="3387"/>
      <c r="AG43" s="3395">
        <f>[29]原始记录!AI4</f>
        <v>0</v>
      </c>
      <c r="AH43" s="3395"/>
      <c r="AI43" s="3395" t="s">
        <v>1581</v>
      </c>
      <c r="AJ43" s="3395"/>
      <c r="AK43" s="3395">
        <f>[29]原始记录!AI8</f>
        <v>0</v>
      </c>
      <c r="AL43" s="3395"/>
      <c r="AN43" s="2297">
        <v>20</v>
      </c>
      <c r="AO43" s="2297"/>
      <c r="AP43" s="2297"/>
      <c r="AQ43" s="2297"/>
      <c r="AR43" s="2297"/>
      <c r="AS43" s="2297"/>
      <c r="AT43" s="3387" t="s">
        <v>1581</v>
      </c>
      <c r="AU43" s="3387"/>
      <c r="AV43" s="3387" t="e">
        <f>[29]原始记录!#REF!</f>
        <v>#REF!</v>
      </c>
      <c r="AW43" s="3387"/>
      <c r="AX43" s="3387" t="s">
        <v>1581</v>
      </c>
      <c r="AY43" s="3387"/>
      <c r="AZ43" s="3395">
        <f>[29]原始记录!BB4</f>
        <v>0</v>
      </c>
      <c r="BA43" s="3395"/>
      <c r="BB43" s="3395" t="s">
        <v>1581</v>
      </c>
      <c r="BC43" s="3395"/>
      <c r="BD43" s="3395">
        <f>[29]原始记录!BB8</f>
        <v>0</v>
      </c>
      <c r="BE43" s="3395"/>
    </row>
    <row r="44" spans="1:57" outlineLevel="2">
      <c r="A44" s="3517"/>
      <c r="B44" s="3517"/>
      <c r="C44" s="3553"/>
      <c r="D44" s="3556"/>
      <c r="E44" s="3553"/>
      <c r="F44" s="3563"/>
      <c r="G44" s="3552" t="s">
        <v>182</v>
      </c>
      <c r="H44" s="3562"/>
      <c r="I44" s="3517">
        <v>100</v>
      </c>
      <c r="J44" s="3517"/>
      <c r="K44" s="3558">
        <v>-2.8299999999999999E-2</v>
      </c>
      <c r="L44" s="3559"/>
      <c r="M44" s="3558">
        <v>-2.69E-2</v>
      </c>
      <c r="N44" s="3559"/>
      <c r="O44" s="3527">
        <f t="shared" si="4"/>
        <v>-2.76E-2</v>
      </c>
      <c r="P44" s="3527"/>
      <c r="Q44" s="3560" t="e">
        <f t="shared" ca="1" si="3"/>
        <v>#NAME?</v>
      </c>
      <c r="R44" s="3561"/>
      <c r="S44" s="2"/>
      <c r="U44" s="2297">
        <v>10</v>
      </c>
      <c r="V44" s="2297"/>
      <c r="W44" s="2297"/>
      <c r="X44" s="2297"/>
      <c r="Y44" s="2297"/>
      <c r="Z44" s="2297"/>
      <c r="AA44" s="3387" t="e">
        <f>[29]原始记录!#REF!</f>
        <v>#REF!</v>
      </c>
      <c r="AB44" s="3387"/>
      <c r="AC44" s="3387" t="s">
        <v>1581</v>
      </c>
      <c r="AD44" s="3387"/>
      <c r="AE44" s="3387">
        <f>[29]原始记录!AI2</f>
        <v>0</v>
      </c>
      <c r="AF44" s="3387"/>
      <c r="AG44" s="3387" t="s">
        <v>1581</v>
      </c>
      <c r="AH44" s="3387"/>
      <c r="AI44" s="3387">
        <f>[29]原始记录!AI6</f>
        <v>0</v>
      </c>
      <c r="AJ44" s="3387"/>
      <c r="AK44" s="3395" t="s">
        <v>1581</v>
      </c>
      <c r="AL44" s="3395"/>
      <c r="AN44" s="2297">
        <v>10</v>
      </c>
      <c r="AO44" s="2297"/>
      <c r="AP44" s="2297"/>
      <c r="AQ44" s="2297"/>
      <c r="AR44" s="2297"/>
      <c r="AS44" s="2297"/>
      <c r="AT44" s="3387" t="e">
        <f>[29]原始记录!#REF!</f>
        <v>#REF!</v>
      </c>
      <c r="AU44" s="3387"/>
      <c r="AV44" s="3387" t="s">
        <v>1581</v>
      </c>
      <c r="AW44" s="3387"/>
      <c r="AX44" s="3387">
        <f>[29]原始记录!BB2</f>
        <v>0</v>
      </c>
      <c r="AY44" s="3387"/>
      <c r="AZ44" s="3387" t="s">
        <v>1581</v>
      </c>
      <c r="BA44" s="3387"/>
      <c r="BB44" s="3387">
        <f>[29]原始记录!BB6</f>
        <v>0</v>
      </c>
      <c r="BC44" s="3387"/>
      <c r="BD44" s="3395" t="s">
        <v>1581</v>
      </c>
      <c r="BE44" s="3395"/>
    </row>
    <row r="45" spans="1:57" ht="18.75" outlineLevel="2">
      <c r="A45" s="3517"/>
      <c r="B45" s="3517"/>
      <c r="C45" s="3553"/>
      <c r="D45" s="3556"/>
      <c r="E45" s="3553"/>
      <c r="F45" s="3563"/>
      <c r="G45" s="3553"/>
      <c r="H45" s="3563"/>
      <c r="I45" s="3517">
        <v>20</v>
      </c>
      <c r="J45" s="3517"/>
      <c r="K45" s="3558">
        <v>-5.6300000000000003E-2</v>
      </c>
      <c r="L45" s="3559"/>
      <c r="M45" s="3558">
        <v>-5.4199999999999998E-2</v>
      </c>
      <c r="N45" s="3559"/>
      <c r="O45" s="3527">
        <f t="shared" si="4"/>
        <v>-5.525E-2</v>
      </c>
      <c r="P45" s="3527"/>
      <c r="Q45" s="3560" t="e">
        <f t="shared" ca="1" si="3"/>
        <v>#NAME?</v>
      </c>
      <c r="R45" s="3561"/>
      <c r="S45" s="2"/>
      <c r="U45" s="3402"/>
      <c r="V45" s="3402"/>
      <c r="W45" s="3402"/>
      <c r="X45" s="3402"/>
      <c r="Y45" s="3402"/>
      <c r="Z45" s="3402"/>
      <c r="AA45" s="3394"/>
      <c r="AB45" s="3394"/>
      <c r="AC45" s="3394"/>
      <c r="AD45" s="3394"/>
      <c r="AE45" s="3394"/>
      <c r="AF45" s="3394"/>
      <c r="AG45" s="3394"/>
      <c r="AH45" s="3394"/>
      <c r="AI45" s="3394"/>
      <c r="AJ45" s="3394"/>
      <c r="AK45" s="3394"/>
      <c r="AL45" s="3394"/>
      <c r="AN45" s="2297" t="s">
        <v>1635</v>
      </c>
      <c r="AO45" s="2297"/>
      <c r="AP45" s="2297"/>
      <c r="AQ45" s="2297"/>
      <c r="AR45" s="2297"/>
      <c r="AS45" s="2297"/>
      <c r="AT45" s="3385" t="e">
        <f>[29]原始记录!#REF!</f>
        <v>#REF!</v>
      </c>
      <c r="AU45" s="3386"/>
      <c r="AV45" s="3385" t="e">
        <f>[29]原始记录!#REF!</f>
        <v>#REF!</v>
      </c>
      <c r="AW45" s="3386"/>
      <c r="AX45" s="3385">
        <f>[29]原始记录!BD1</f>
        <v>0</v>
      </c>
      <c r="AY45" s="3386"/>
      <c r="AZ45" s="3385">
        <f>[29]原始记录!BD3</f>
        <v>0</v>
      </c>
      <c r="BA45" s="3386"/>
      <c r="BB45" s="3385">
        <f>[29]原始记录!BD5</f>
        <v>0</v>
      </c>
      <c r="BC45" s="3386"/>
      <c r="BD45" s="3385">
        <f>[29]原始记录!BD7</f>
        <v>0</v>
      </c>
      <c r="BE45" s="3386"/>
    </row>
    <row r="46" spans="1:57" outlineLevel="2">
      <c r="A46" s="3517"/>
      <c r="B46" s="3517"/>
      <c r="C46" s="3553"/>
      <c r="D46" s="3556"/>
      <c r="E46" s="3517" t="s">
        <v>193</v>
      </c>
      <c r="F46" s="3517"/>
      <c r="G46" s="3525">
        <v>1</v>
      </c>
      <c r="H46" s="3525"/>
      <c r="I46" s="3517">
        <v>100</v>
      </c>
      <c r="J46" s="3517"/>
      <c r="K46" s="3558">
        <v>1.8100000000000002E-2</v>
      </c>
      <c r="L46" s="3559"/>
      <c r="M46" s="3558">
        <v>1.9300000000000001E-2</v>
      </c>
      <c r="N46" s="3559"/>
      <c r="O46" s="3527">
        <f t="shared" si="4"/>
        <v>1.8700000000000001E-2</v>
      </c>
      <c r="P46" s="3527"/>
      <c r="Q46" s="3560" t="e">
        <f t="shared" ca="1" si="3"/>
        <v>#NAME?</v>
      </c>
      <c r="R46" s="3561"/>
      <c r="S46" s="2"/>
    </row>
    <row r="47" spans="1:57" outlineLevel="2">
      <c r="A47" s="3517"/>
      <c r="B47" s="3517"/>
      <c r="C47" s="3553"/>
      <c r="D47" s="3556"/>
      <c r="E47" s="3517"/>
      <c r="F47" s="3517"/>
      <c r="G47" s="3525"/>
      <c r="H47" s="3525"/>
      <c r="I47" s="3517">
        <v>10</v>
      </c>
      <c r="J47" s="3517"/>
      <c r="K47" s="3558">
        <v>-8.0000000000000004E-4</v>
      </c>
      <c r="L47" s="3559"/>
      <c r="M47" s="3558">
        <v>-3.2000000000000002E-3</v>
      </c>
      <c r="N47" s="3559"/>
      <c r="O47" s="3527">
        <f t="shared" si="4"/>
        <v>-2E-3</v>
      </c>
      <c r="P47" s="3527"/>
      <c r="Q47" s="3560" t="e">
        <f t="shared" ca="1" si="3"/>
        <v>#NAME?</v>
      </c>
      <c r="R47" s="3561"/>
      <c r="S47" s="2"/>
    </row>
    <row r="48" spans="1:57" outlineLevel="2">
      <c r="A48" s="3517"/>
      <c r="B48" s="3517"/>
      <c r="C48" s="3553"/>
      <c r="D48" s="3556"/>
      <c r="E48" s="3517"/>
      <c r="F48" s="3517"/>
      <c r="G48" s="3517" t="s">
        <v>182</v>
      </c>
      <c r="H48" s="3517"/>
      <c r="I48" s="3517">
        <v>100</v>
      </c>
      <c r="J48" s="3517"/>
      <c r="K48" s="3558">
        <v>-1.9199999999999998E-2</v>
      </c>
      <c r="L48" s="3559"/>
      <c r="M48" s="3558">
        <v>-1.6500000000000001E-2</v>
      </c>
      <c r="N48" s="3559"/>
      <c r="O48" s="3527">
        <f t="shared" si="4"/>
        <v>-1.7849999999999998E-2</v>
      </c>
      <c r="P48" s="3527"/>
      <c r="Q48" s="3560" t="e">
        <f t="shared" ca="1" si="3"/>
        <v>#NAME?</v>
      </c>
      <c r="R48" s="3561"/>
      <c r="S48" s="2"/>
    </row>
    <row r="49" spans="1:56" outlineLevel="2">
      <c r="A49" s="3517"/>
      <c r="B49" s="3517"/>
      <c r="C49" s="3554"/>
      <c r="D49" s="3557"/>
      <c r="E49" s="3517"/>
      <c r="F49" s="3517"/>
      <c r="G49" s="3517"/>
      <c r="H49" s="3517"/>
      <c r="I49" s="3517">
        <v>20</v>
      </c>
      <c r="J49" s="3517"/>
      <c r="K49" s="3558">
        <v>-2.8000000000000001E-2</v>
      </c>
      <c r="L49" s="3559"/>
      <c r="M49" s="3558">
        <v>-3.9199999999999999E-2</v>
      </c>
      <c r="N49" s="3559"/>
      <c r="O49" s="3527">
        <f>IF(ISNUMBER(K49),AVERAGE(K49:N49),"/")</f>
        <v>-3.3599999999999998E-2</v>
      </c>
      <c r="P49" s="3527"/>
      <c r="Q49" s="3560" t="e">
        <f t="shared" ca="1" si="3"/>
        <v>#NAME?</v>
      </c>
      <c r="R49" s="3561"/>
      <c r="S49" s="2"/>
    </row>
    <row r="50" spans="1:56" ht="12.75" customHeight="1" outlineLevel="1">
      <c r="S50" s="2"/>
    </row>
    <row r="51" spans="1:56" ht="15.75" outlineLevel="1">
      <c r="A51" s="642" t="s">
        <v>1645</v>
      </c>
      <c r="B51" s="204" t="s">
        <v>1574</v>
      </c>
      <c r="C51" s="205"/>
      <c r="D51" s="205"/>
      <c r="E51" s="205"/>
      <c r="F51" s="205"/>
      <c r="G51" s="206"/>
      <c r="H51" s="206"/>
      <c r="I51" s="206"/>
      <c r="J51" s="206"/>
      <c r="K51" s="206"/>
      <c r="L51" s="206"/>
      <c r="M51" s="206"/>
      <c r="N51" s="206"/>
      <c r="O51" s="206"/>
      <c r="P51" s="206"/>
      <c r="T51" s="157" t="s">
        <v>1604</v>
      </c>
    </row>
    <row r="52" spans="1:56" ht="15.75" outlineLevel="1">
      <c r="A52" s="642"/>
      <c r="B52" s="204"/>
      <c r="C52" s="642" t="s">
        <v>1638</v>
      </c>
      <c r="D52" s="205"/>
      <c r="E52" s="205"/>
      <c r="F52" s="205"/>
      <c r="G52" s="206"/>
      <c r="H52" s="206"/>
      <c r="I52" s="206"/>
      <c r="J52" s="206"/>
      <c r="K52" s="206"/>
      <c r="L52" s="206"/>
      <c r="M52" s="206"/>
      <c r="N52" s="206"/>
      <c r="O52" s="206"/>
      <c r="P52" s="206"/>
      <c r="U52" s="157" t="s">
        <v>1607</v>
      </c>
      <c r="AM52" s="157" t="s">
        <v>1605</v>
      </c>
      <c r="AP52" s="157" t="s">
        <v>1607</v>
      </c>
    </row>
    <row r="53" spans="1:56" ht="24" customHeight="1" outlineLevel="2">
      <c r="A53" s="3548" t="s">
        <v>194</v>
      </c>
      <c r="B53" s="3548"/>
      <c r="C53" s="3549" t="s">
        <v>195</v>
      </c>
      <c r="D53" s="3548"/>
      <c r="E53" s="3550" t="s">
        <v>196</v>
      </c>
      <c r="F53" s="3551"/>
      <c r="G53" s="3549" t="s">
        <v>197</v>
      </c>
      <c r="H53" s="3548"/>
      <c r="I53" s="3549" t="s">
        <v>198</v>
      </c>
      <c r="J53" s="3548"/>
      <c r="K53" s="3549" t="s">
        <v>199</v>
      </c>
      <c r="L53" s="3548"/>
      <c r="M53" s="3548" t="s">
        <v>200</v>
      </c>
      <c r="N53" s="3548"/>
      <c r="O53" s="3549" t="s">
        <v>167</v>
      </c>
      <c r="P53" s="3548"/>
      <c r="Q53" s="627" t="s">
        <v>1603</v>
      </c>
      <c r="S53" s="260"/>
      <c r="T53" s="3498" t="s">
        <v>1585</v>
      </c>
      <c r="U53" s="3499"/>
      <c r="V53" s="3463" t="s">
        <v>1575</v>
      </c>
      <c r="W53" s="3500"/>
      <c r="X53" s="3463" t="s">
        <v>1576</v>
      </c>
      <c r="Y53" s="3500"/>
      <c r="Z53" s="3463" t="s">
        <v>1577</v>
      </c>
      <c r="AA53" s="3501"/>
      <c r="AB53" s="3500"/>
      <c r="AC53" s="3502" t="s">
        <v>1578</v>
      </c>
      <c r="AD53" s="3503"/>
      <c r="AE53" s="3504"/>
      <c r="AF53" s="3463" t="s">
        <v>1579</v>
      </c>
      <c r="AG53" s="3501"/>
      <c r="AH53" s="3500"/>
      <c r="AI53" s="3480" t="s">
        <v>1580</v>
      </c>
      <c r="AJ53" s="3481"/>
      <c r="AK53" s="3482"/>
      <c r="AM53" s="3413" t="s">
        <v>1587</v>
      </c>
      <c r="AN53" s="3413"/>
      <c r="AO53" s="635" t="s">
        <v>1588</v>
      </c>
      <c r="AP53" s="635" t="s">
        <v>1589</v>
      </c>
      <c r="AQ53" s="3405" t="s">
        <v>1590</v>
      </c>
      <c r="AR53" s="3405"/>
      <c r="AS53" s="3406" t="s">
        <v>1591</v>
      </c>
      <c r="AT53" s="3406"/>
      <c r="AU53" s="3406"/>
      <c r="AV53" s="3405" t="s">
        <v>1592</v>
      </c>
      <c r="AW53" s="3405"/>
      <c r="AX53" s="3405"/>
      <c r="AY53" s="3408" t="s">
        <v>1593</v>
      </c>
      <c r="AZ53" s="3408"/>
      <c r="BA53" s="3408"/>
      <c r="BB53" s="3414" t="s">
        <v>1602</v>
      </c>
      <c r="BC53" s="3415"/>
      <c r="BD53" s="3416"/>
    </row>
    <row r="54" spans="1:56" ht="15.75" outlineLevel="2">
      <c r="A54" s="3542" t="s">
        <v>201</v>
      </c>
      <c r="B54" s="3543"/>
      <c r="C54" s="3542" t="s">
        <v>202</v>
      </c>
      <c r="D54" s="3543" t="s">
        <v>190</v>
      </c>
      <c r="E54" s="3489">
        <v>1</v>
      </c>
      <c r="F54" s="3491"/>
      <c r="G54" s="3463">
        <v>100</v>
      </c>
      <c r="H54" s="3500"/>
      <c r="I54" s="3547">
        <v>-1.5800000000000002E-2</v>
      </c>
      <c r="J54" s="3547"/>
      <c r="K54" s="3547">
        <v>-1.47E-2</v>
      </c>
      <c r="L54" s="3547"/>
      <c r="M54" s="3470">
        <f t="shared" ref="M54:M69" si="5">IF(ISNUMBER(I54),AVERAGE(I54:L54),"/")</f>
        <v>-1.525E-2</v>
      </c>
      <c r="N54" s="3472"/>
      <c r="O54" s="3466" t="e">
        <f t="shared" ref="O54:O62" ca="1" si="6">IF(ISNUMBER(M54),修约化整(M54,$G$13),"/")</f>
        <v>#NAME?</v>
      </c>
      <c r="P54" s="3468"/>
      <c r="Q54" s="2"/>
      <c r="T54" s="3483">
        <f>[30]原始记录!T16</f>
        <v>0</v>
      </c>
      <c r="U54" s="3484"/>
      <c r="V54" s="3476">
        <f>[30]原始记录!V16</f>
        <v>0</v>
      </c>
      <c r="W54" s="3476"/>
      <c r="X54" s="3476">
        <f>[30]原始记录!W16</f>
        <v>0</v>
      </c>
      <c r="Y54" s="3476"/>
      <c r="Z54" s="3489">
        <v>1</v>
      </c>
      <c r="AA54" s="3490"/>
      <c r="AB54" s="3491"/>
      <c r="AC54" s="3463">
        <f>[30]原始记录!Z16</f>
        <v>0</v>
      </c>
      <c r="AD54" s="3464"/>
      <c r="AE54" s="3465"/>
      <c r="AF54" s="3466">
        <f>[30]原始记录!AH16</f>
        <v>0</v>
      </c>
      <c r="AG54" s="3467"/>
      <c r="AH54" s="3468"/>
      <c r="AI54" s="3470">
        <f>[30]原始记录!AJ37</f>
        <v>0</v>
      </c>
      <c r="AJ54" s="3471"/>
      <c r="AK54" s="3472"/>
      <c r="AM54" s="3403">
        <f>[31]原始记录!AM10</f>
        <v>0</v>
      </c>
      <c r="AN54" s="3403"/>
      <c r="AO54" s="3411">
        <f>[31]原始记录!AO10</f>
        <v>0</v>
      </c>
      <c r="AP54" s="3411">
        <f>[31]原始记录!AP10</f>
        <v>0</v>
      </c>
      <c r="AQ54" s="3412">
        <v>1</v>
      </c>
      <c r="AR54" s="3412"/>
      <c r="AS54" s="3406">
        <f>[31]原始记录!AS10</f>
        <v>0</v>
      </c>
      <c r="AT54" s="3406"/>
      <c r="AU54" s="3406"/>
      <c r="AV54" s="3407">
        <f>[31]原始记录!AY10</f>
        <v>0</v>
      </c>
      <c r="AW54" s="3407"/>
      <c r="AX54" s="3407"/>
      <c r="AY54" s="3407">
        <f>[31]原始记录!BC38</f>
        <v>0</v>
      </c>
      <c r="AZ54" s="3407"/>
      <c r="BA54" s="3407"/>
      <c r="BB54" s="3409">
        <f>[31]原始记录!BC10</f>
        <v>0</v>
      </c>
      <c r="BC54" s="3409"/>
      <c r="BD54" s="3409"/>
    </row>
    <row r="55" spans="1:56" ht="15.75" outlineLevel="2">
      <c r="A55" s="2445"/>
      <c r="B55" s="2446"/>
      <c r="C55" s="2445"/>
      <c r="D55" s="2446"/>
      <c r="E55" s="3492"/>
      <c r="F55" s="3494"/>
      <c r="G55" s="3463" t="s">
        <v>178</v>
      </c>
      <c r="H55" s="3500"/>
      <c r="I55" s="3547">
        <v>-1.6500000000000001E-2</v>
      </c>
      <c r="J55" s="3547"/>
      <c r="K55" s="3547">
        <v>-2.01E-2</v>
      </c>
      <c r="L55" s="3547"/>
      <c r="M55" s="3470">
        <f t="shared" si="5"/>
        <v>-1.83E-2</v>
      </c>
      <c r="N55" s="3472"/>
      <c r="O55" s="3466" t="e">
        <f t="shared" ca="1" si="6"/>
        <v>#NAME?</v>
      </c>
      <c r="P55" s="3468"/>
      <c r="Q55" s="2"/>
      <c r="T55" s="3485"/>
      <c r="U55" s="3486"/>
      <c r="V55" s="3476"/>
      <c r="W55" s="3476"/>
      <c r="X55" s="3476"/>
      <c r="Y55" s="3476"/>
      <c r="Z55" s="3492"/>
      <c r="AA55" s="3493"/>
      <c r="AB55" s="3494"/>
      <c r="AC55" s="3463">
        <f>[30]原始记录!Z17</f>
        <v>0</v>
      </c>
      <c r="AD55" s="3464"/>
      <c r="AE55" s="3465"/>
      <c r="AF55" s="3466">
        <f>[30]原始记录!AH17</f>
        <v>0</v>
      </c>
      <c r="AG55" s="3467"/>
      <c r="AH55" s="3468"/>
      <c r="AI55" s="3470" t="s">
        <v>1581</v>
      </c>
      <c r="AJ55" s="3471"/>
      <c r="AK55" s="3472"/>
      <c r="AM55" s="3403"/>
      <c r="AN55" s="3403"/>
      <c r="AO55" s="3411"/>
      <c r="AP55" s="3411"/>
      <c r="AQ55" s="3412"/>
      <c r="AR55" s="3412"/>
      <c r="AS55" s="3406">
        <f>[31]原始记录!AS11</f>
        <v>0</v>
      </c>
      <c r="AT55" s="3406"/>
      <c r="AU55" s="3406"/>
      <c r="AV55" s="3407">
        <f>[31]原始记录!AY11</f>
        <v>0</v>
      </c>
      <c r="AW55" s="3407"/>
      <c r="AX55" s="3407"/>
      <c r="AY55" s="3410" t="s">
        <v>573</v>
      </c>
      <c r="AZ55" s="3410"/>
      <c r="BA55" s="3410"/>
      <c r="BB55" s="3409">
        <f>[31]原始记录!BC11</f>
        <v>0</v>
      </c>
      <c r="BC55" s="3409"/>
      <c r="BD55" s="3409"/>
    </row>
    <row r="56" spans="1:56" ht="15.75" outlineLevel="2">
      <c r="A56" s="2445"/>
      <c r="B56" s="2446"/>
      <c r="C56" s="2445"/>
      <c r="D56" s="2446"/>
      <c r="E56" s="3495"/>
      <c r="F56" s="3497"/>
      <c r="G56" s="3463" t="s">
        <v>203</v>
      </c>
      <c r="H56" s="3500"/>
      <c r="I56" s="3547">
        <v>-3.1600000000000003E-2</v>
      </c>
      <c r="J56" s="3547"/>
      <c r="K56" s="3547">
        <v>-2.4E-2</v>
      </c>
      <c r="L56" s="3547"/>
      <c r="M56" s="3470">
        <f t="shared" si="5"/>
        <v>-2.7800000000000002E-2</v>
      </c>
      <c r="N56" s="3472"/>
      <c r="O56" s="3466" t="e">
        <f t="shared" ca="1" si="6"/>
        <v>#NAME?</v>
      </c>
      <c r="P56" s="3468"/>
      <c r="Q56" s="2"/>
      <c r="T56" s="3485"/>
      <c r="U56" s="3486"/>
      <c r="V56" s="3476"/>
      <c r="W56" s="3476"/>
      <c r="X56" s="3476"/>
      <c r="Y56" s="3476"/>
      <c r="Z56" s="3495"/>
      <c r="AA56" s="3496"/>
      <c r="AB56" s="3497"/>
      <c r="AC56" s="3463">
        <f>[30]原始记录!Z18</f>
        <v>0</v>
      </c>
      <c r="AD56" s="3464"/>
      <c r="AE56" s="3465"/>
      <c r="AF56" s="3466">
        <f>[30]原始记录!AH18</f>
        <v>0</v>
      </c>
      <c r="AG56" s="3467"/>
      <c r="AH56" s="3468"/>
      <c r="AI56" s="3473" t="s">
        <v>1581</v>
      </c>
      <c r="AJ56" s="3474"/>
      <c r="AK56" s="3475"/>
      <c r="AM56" s="3403"/>
      <c r="AN56" s="3403"/>
      <c r="AO56" s="3411"/>
      <c r="AP56" s="3411"/>
      <c r="AQ56" s="3412"/>
      <c r="AR56" s="3412"/>
      <c r="AS56" s="3406">
        <f>[31]原始记录!AS12</f>
        <v>0</v>
      </c>
      <c r="AT56" s="3406"/>
      <c r="AU56" s="3406"/>
      <c r="AV56" s="3407">
        <f>[31]原始记录!AY12</f>
        <v>0</v>
      </c>
      <c r="AW56" s="3407"/>
      <c r="AX56" s="3407"/>
      <c r="AY56" s="3410" t="s">
        <v>573</v>
      </c>
      <c r="AZ56" s="3410"/>
      <c r="BA56" s="3410"/>
      <c r="BB56" s="3409">
        <f>[31]原始记录!BC12</f>
        <v>0</v>
      </c>
      <c r="BC56" s="3409"/>
      <c r="BD56" s="3409"/>
    </row>
    <row r="57" spans="1:56" ht="15.75" outlineLevel="2">
      <c r="A57" s="2445"/>
      <c r="B57" s="2446"/>
      <c r="C57" s="2445"/>
      <c r="D57" s="2446"/>
      <c r="E57" s="3542" t="s">
        <v>182</v>
      </c>
      <c r="F57" s="3543"/>
      <c r="G57" s="3463" t="s">
        <v>177</v>
      </c>
      <c r="H57" s="3500"/>
      <c r="I57" s="3547">
        <v>-2.1999999999999999E-2</v>
      </c>
      <c r="J57" s="3547"/>
      <c r="K57" s="3547">
        <v>-2.5000000000000001E-2</v>
      </c>
      <c r="L57" s="3547"/>
      <c r="M57" s="3470">
        <f t="shared" si="5"/>
        <v>-2.35E-2</v>
      </c>
      <c r="N57" s="3472"/>
      <c r="O57" s="3466" t="e">
        <f t="shared" ca="1" si="6"/>
        <v>#NAME?</v>
      </c>
      <c r="P57" s="3468"/>
      <c r="Q57" s="2"/>
      <c r="T57" s="3485"/>
      <c r="U57" s="3486"/>
      <c r="V57" s="3476"/>
      <c r="W57" s="3476"/>
      <c r="X57" s="3476"/>
      <c r="Y57" s="3476"/>
      <c r="Z57" s="3479" t="s">
        <v>1582</v>
      </c>
      <c r="AA57" s="3479"/>
      <c r="AB57" s="3479"/>
      <c r="AC57" s="3463">
        <f>[30]原始记录!Z19</f>
        <v>0</v>
      </c>
      <c r="AD57" s="3464"/>
      <c r="AE57" s="3465"/>
      <c r="AF57" s="3466">
        <f>[30]原始记录!AH19</f>
        <v>0</v>
      </c>
      <c r="AG57" s="3467"/>
      <c r="AH57" s="3468"/>
      <c r="AI57" s="3473">
        <f>[30]原始记录!AJ38</f>
        <v>0</v>
      </c>
      <c r="AJ57" s="3474"/>
      <c r="AK57" s="3475"/>
      <c r="AM57" s="3403"/>
      <c r="AN57" s="3403"/>
      <c r="AO57" s="3411"/>
      <c r="AP57" s="3411"/>
      <c r="AQ57" s="3412" t="s">
        <v>1594</v>
      </c>
      <c r="AR57" s="3412"/>
      <c r="AS57" s="3406">
        <f>[31]原始记录!AS13</f>
        <v>0</v>
      </c>
      <c r="AT57" s="3406"/>
      <c r="AU57" s="3406"/>
      <c r="AV57" s="3407">
        <f>[31]原始记录!AY13</f>
        <v>0</v>
      </c>
      <c r="AW57" s="3407"/>
      <c r="AX57" s="3407"/>
      <c r="AY57" s="3407">
        <f>[31]原始记录!BC39</f>
        <v>0</v>
      </c>
      <c r="AZ57" s="3407"/>
      <c r="BA57" s="3407"/>
      <c r="BB57" s="3409">
        <f>[31]原始记录!BC13</f>
        <v>0</v>
      </c>
      <c r="BC57" s="3409"/>
      <c r="BD57" s="3409"/>
    </row>
    <row r="58" spans="1:56" ht="15.75" outlineLevel="2">
      <c r="A58" s="2445"/>
      <c r="B58" s="2446"/>
      <c r="C58" s="2445"/>
      <c r="D58" s="2446"/>
      <c r="E58" s="2445"/>
      <c r="F58" s="2446"/>
      <c r="G58" s="3463" t="s">
        <v>178</v>
      </c>
      <c r="H58" s="3500"/>
      <c r="I58" s="3547">
        <v>-2.6700000000000002E-2</v>
      </c>
      <c r="J58" s="3547"/>
      <c r="K58" s="3547">
        <v>-2.5499999999999998E-2</v>
      </c>
      <c r="L58" s="3547"/>
      <c r="M58" s="3470">
        <f t="shared" si="5"/>
        <v>-2.6099999999999998E-2</v>
      </c>
      <c r="N58" s="3472"/>
      <c r="O58" s="3544" t="e">
        <f t="shared" ca="1" si="6"/>
        <v>#NAME?</v>
      </c>
      <c r="P58" s="3545"/>
      <c r="Q58" s="2"/>
      <c r="T58" s="3485"/>
      <c r="U58" s="3486"/>
      <c r="V58" s="3476"/>
      <c r="W58" s="3476"/>
      <c r="X58" s="3476"/>
      <c r="Y58" s="3476"/>
      <c r="Z58" s="3479"/>
      <c r="AA58" s="3479"/>
      <c r="AB58" s="3479"/>
      <c r="AC58" s="3463">
        <f>[30]原始记录!Z20</f>
        <v>0</v>
      </c>
      <c r="AD58" s="3464"/>
      <c r="AE58" s="3465"/>
      <c r="AF58" s="3466">
        <f>[30]原始记录!AH20</f>
        <v>0</v>
      </c>
      <c r="AG58" s="3467"/>
      <c r="AH58" s="3468"/>
      <c r="AI58" s="3469" t="s">
        <v>1581</v>
      </c>
      <c r="AJ58" s="3469"/>
      <c r="AK58" s="3469"/>
      <c r="AM58" s="3403"/>
      <c r="AN58" s="3403"/>
      <c r="AO58" s="3411"/>
      <c r="AP58" s="3411"/>
      <c r="AQ58" s="3412"/>
      <c r="AR58" s="3412"/>
      <c r="AS58" s="3406">
        <f>[31]原始记录!AS14</f>
        <v>0</v>
      </c>
      <c r="AT58" s="3406"/>
      <c r="AU58" s="3406"/>
      <c r="AV58" s="3407">
        <f>[31]原始记录!AY14</f>
        <v>0</v>
      </c>
      <c r="AW58" s="3407"/>
      <c r="AX58" s="3407"/>
      <c r="AY58" s="3408" t="s">
        <v>1595</v>
      </c>
      <c r="AZ58" s="3408"/>
      <c r="BA58" s="3408"/>
      <c r="BB58" s="3409">
        <f>[31]原始记录!BC14</f>
        <v>0</v>
      </c>
      <c r="BC58" s="3409"/>
      <c r="BD58" s="3409"/>
    </row>
    <row r="59" spans="1:56" ht="15.75" outlineLevel="2">
      <c r="A59" s="2445"/>
      <c r="B59" s="2446"/>
      <c r="C59" s="2445"/>
      <c r="D59" s="2446"/>
      <c r="E59" s="2447"/>
      <c r="F59" s="2448"/>
      <c r="G59" s="3463" t="s">
        <v>175</v>
      </c>
      <c r="H59" s="3500"/>
      <c r="I59" s="3547">
        <v>-2.7199999999999998E-2</v>
      </c>
      <c r="J59" s="3547"/>
      <c r="K59" s="3547">
        <v>-2.1299999999999999E-2</v>
      </c>
      <c r="L59" s="3547"/>
      <c r="M59" s="3470">
        <f t="shared" si="5"/>
        <v>-2.4250000000000001E-2</v>
      </c>
      <c r="N59" s="3472"/>
      <c r="O59" s="3544" t="e">
        <f t="shared" ca="1" si="6"/>
        <v>#NAME?</v>
      </c>
      <c r="P59" s="3545"/>
      <c r="Q59" s="2"/>
      <c r="T59" s="3485"/>
      <c r="U59" s="3486"/>
      <c r="V59" s="3476"/>
      <c r="W59" s="3476"/>
      <c r="X59" s="3476"/>
      <c r="Y59" s="3476"/>
      <c r="Z59" s="3479"/>
      <c r="AA59" s="3479"/>
      <c r="AB59" s="3479"/>
      <c r="AC59" s="3463">
        <f>[30]原始记录!Z21</f>
        <v>0</v>
      </c>
      <c r="AD59" s="3464"/>
      <c r="AE59" s="3465"/>
      <c r="AF59" s="3466">
        <f>[30]原始记录!AH21</f>
        <v>0</v>
      </c>
      <c r="AG59" s="3467"/>
      <c r="AH59" s="3468"/>
      <c r="AI59" s="3469" t="s">
        <v>1581</v>
      </c>
      <c r="AJ59" s="3469"/>
      <c r="AK59" s="3469"/>
      <c r="AM59" s="3403"/>
      <c r="AN59" s="3403"/>
      <c r="AO59" s="3411"/>
      <c r="AP59" s="3411"/>
      <c r="AQ59" s="3412"/>
      <c r="AR59" s="3412"/>
      <c r="AS59" s="3406">
        <f>[31]原始记录!AS15</f>
        <v>0</v>
      </c>
      <c r="AT59" s="3406"/>
      <c r="AU59" s="3406"/>
      <c r="AV59" s="3407">
        <f>[31]原始记录!AY15</f>
        <v>0</v>
      </c>
      <c r="AW59" s="3407"/>
      <c r="AX59" s="3407"/>
      <c r="AY59" s="3408" t="s">
        <v>1596</v>
      </c>
      <c r="AZ59" s="3408"/>
      <c r="BA59" s="3408"/>
      <c r="BB59" s="3409">
        <f>[31]原始记录!BC15</f>
        <v>0</v>
      </c>
      <c r="BC59" s="3409"/>
      <c r="BD59" s="3409"/>
    </row>
    <row r="60" spans="1:56" ht="15.75" outlineLevel="2">
      <c r="A60" s="2445"/>
      <c r="B60" s="2446"/>
      <c r="C60" s="2445"/>
      <c r="D60" s="2446"/>
      <c r="E60" s="3542" t="s">
        <v>176</v>
      </c>
      <c r="F60" s="3543"/>
      <c r="G60" s="3463" t="s">
        <v>177</v>
      </c>
      <c r="H60" s="3500"/>
      <c r="I60" s="3547">
        <v>-1.47E-2</v>
      </c>
      <c r="J60" s="3547"/>
      <c r="K60" s="3547">
        <v>-1.2E-2</v>
      </c>
      <c r="L60" s="3547"/>
      <c r="M60" s="3470">
        <f t="shared" si="5"/>
        <v>-1.3350000000000001E-2</v>
      </c>
      <c r="N60" s="3472"/>
      <c r="O60" s="3544" t="e">
        <f t="shared" ca="1" si="6"/>
        <v>#NAME?</v>
      </c>
      <c r="P60" s="3545"/>
      <c r="Q60" s="2"/>
      <c r="T60" s="3485"/>
      <c r="U60" s="3486"/>
      <c r="V60" s="3476"/>
      <c r="W60" s="3476"/>
      <c r="X60" s="3476"/>
      <c r="Y60" s="3476"/>
      <c r="Z60" s="3479" t="s">
        <v>1583</v>
      </c>
      <c r="AA60" s="3479"/>
      <c r="AB60" s="3479"/>
      <c r="AC60" s="3463">
        <f>[30]原始记录!Z22</f>
        <v>0</v>
      </c>
      <c r="AD60" s="3464"/>
      <c r="AE60" s="3465"/>
      <c r="AF60" s="3466">
        <f>[30]原始记录!AH22</f>
        <v>0</v>
      </c>
      <c r="AG60" s="3467"/>
      <c r="AH60" s="3468"/>
      <c r="AI60" s="3469" t="s">
        <v>1581</v>
      </c>
      <c r="AJ60" s="3469"/>
      <c r="AK60" s="3469"/>
      <c r="AM60" s="3403"/>
      <c r="AN60" s="3403"/>
      <c r="AO60" s="3411"/>
      <c r="AP60" s="3411"/>
      <c r="AQ60" s="3412" t="s">
        <v>1597</v>
      </c>
      <c r="AR60" s="3412"/>
      <c r="AS60" s="3406">
        <f>[31]原始记录!AS16</f>
        <v>0</v>
      </c>
      <c r="AT60" s="3406"/>
      <c r="AU60" s="3406"/>
      <c r="AV60" s="3407">
        <f>[31]原始记录!AY16</f>
        <v>0</v>
      </c>
      <c r="AW60" s="3407"/>
      <c r="AX60" s="3407"/>
      <c r="AY60" s="3408" t="s">
        <v>1581</v>
      </c>
      <c r="AZ60" s="3408"/>
      <c r="BA60" s="3408"/>
      <c r="BB60" s="3409">
        <f>[31]原始记录!BC16</f>
        <v>0</v>
      </c>
      <c r="BC60" s="3409"/>
      <c r="BD60" s="3409"/>
    </row>
    <row r="61" spans="1:56" ht="15.75" outlineLevel="2">
      <c r="A61" s="2445"/>
      <c r="B61" s="2446"/>
      <c r="C61" s="2445"/>
      <c r="D61" s="2446"/>
      <c r="E61" s="2445"/>
      <c r="F61" s="2446"/>
      <c r="G61" s="3463" t="s">
        <v>178</v>
      </c>
      <c r="H61" s="3500"/>
      <c r="I61" s="3547">
        <v>-1.3299999999999999E-2</v>
      </c>
      <c r="J61" s="3547"/>
      <c r="K61" s="3547">
        <v>-2.4E-2</v>
      </c>
      <c r="L61" s="3547"/>
      <c r="M61" s="3470">
        <f t="shared" si="5"/>
        <v>-1.865E-2</v>
      </c>
      <c r="N61" s="3472"/>
      <c r="O61" s="3544" t="e">
        <f t="shared" ca="1" si="6"/>
        <v>#NAME?</v>
      </c>
      <c r="P61" s="3545"/>
      <c r="Q61" s="2"/>
      <c r="T61" s="3485"/>
      <c r="U61" s="3486"/>
      <c r="V61" s="3476"/>
      <c r="W61" s="3476"/>
      <c r="X61" s="3476"/>
      <c r="Y61" s="3476"/>
      <c r="Z61" s="3479"/>
      <c r="AA61" s="3479"/>
      <c r="AB61" s="3479"/>
      <c r="AC61" s="3463">
        <f>[30]原始记录!Z23</f>
        <v>0</v>
      </c>
      <c r="AD61" s="3464"/>
      <c r="AE61" s="3465"/>
      <c r="AF61" s="3466">
        <f>[30]原始记录!AH23</f>
        <v>0</v>
      </c>
      <c r="AG61" s="3467"/>
      <c r="AH61" s="3468"/>
      <c r="AI61" s="3469" t="s">
        <v>1581</v>
      </c>
      <c r="AJ61" s="3469"/>
      <c r="AK61" s="3469"/>
      <c r="AM61" s="3403"/>
      <c r="AN61" s="3403"/>
      <c r="AO61" s="3411"/>
      <c r="AP61" s="3411"/>
      <c r="AQ61" s="3412"/>
      <c r="AR61" s="3412"/>
      <c r="AS61" s="3406">
        <f>[31]原始记录!AS17</f>
        <v>0</v>
      </c>
      <c r="AT61" s="3406"/>
      <c r="AU61" s="3406"/>
      <c r="AV61" s="3407">
        <f>[31]原始记录!AY17</f>
        <v>0</v>
      </c>
      <c r="AW61" s="3407"/>
      <c r="AX61" s="3407"/>
      <c r="AY61" s="3408" t="s">
        <v>1598</v>
      </c>
      <c r="AZ61" s="3408"/>
      <c r="BA61" s="3408"/>
      <c r="BB61" s="3409">
        <f>[31]原始记录!BC17</f>
        <v>0</v>
      </c>
      <c r="BC61" s="3409"/>
      <c r="BD61" s="3409"/>
    </row>
    <row r="62" spans="1:56" ht="15.75" outlineLevel="2">
      <c r="A62" s="2445"/>
      <c r="B62" s="2446"/>
      <c r="C62" s="2445"/>
      <c r="D62" s="2446"/>
      <c r="E62" s="2447"/>
      <c r="F62" s="2448"/>
      <c r="G62" s="3463" t="s">
        <v>175</v>
      </c>
      <c r="H62" s="3500"/>
      <c r="I62" s="3546">
        <v>-2.1999999999999999E-2</v>
      </c>
      <c r="J62" s="3546"/>
      <c r="K62" s="3547">
        <v>-0.02</v>
      </c>
      <c r="L62" s="3547"/>
      <c r="M62" s="3470">
        <f t="shared" si="5"/>
        <v>-2.0999999999999998E-2</v>
      </c>
      <c r="N62" s="3472"/>
      <c r="O62" s="3544" t="e">
        <f t="shared" ca="1" si="6"/>
        <v>#NAME?</v>
      </c>
      <c r="P62" s="3545"/>
      <c r="Q62" s="2"/>
      <c r="T62" s="3485"/>
      <c r="U62" s="3486"/>
      <c r="V62" s="3476"/>
      <c r="W62" s="3476"/>
      <c r="X62" s="3476"/>
      <c r="Y62" s="3476"/>
      <c r="Z62" s="3479"/>
      <c r="AA62" s="3479"/>
      <c r="AB62" s="3479"/>
      <c r="AC62" s="3463">
        <f>[30]原始记录!Z24</f>
        <v>0</v>
      </c>
      <c r="AD62" s="3464"/>
      <c r="AE62" s="3465"/>
      <c r="AF62" s="3466">
        <f>[30]原始记录!AH24</f>
        <v>0</v>
      </c>
      <c r="AG62" s="3467"/>
      <c r="AH62" s="3468"/>
      <c r="AI62" s="3469" t="s">
        <v>1581</v>
      </c>
      <c r="AJ62" s="3469"/>
      <c r="AK62" s="3469"/>
      <c r="AM62" s="3403"/>
      <c r="AN62" s="3403"/>
      <c r="AO62" s="3411"/>
      <c r="AP62" s="3411"/>
      <c r="AQ62" s="3412"/>
      <c r="AR62" s="3412"/>
      <c r="AS62" s="3406">
        <f>[31]原始记录!AS18</f>
        <v>0</v>
      </c>
      <c r="AT62" s="3406"/>
      <c r="AU62" s="3406"/>
      <c r="AV62" s="3407">
        <f>[31]原始记录!AY18</f>
        <v>0</v>
      </c>
      <c r="AW62" s="3407"/>
      <c r="AX62" s="3407"/>
      <c r="AY62" s="3408" t="s">
        <v>1599</v>
      </c>
      <c r="AZ62" s="3408"/>
      <c r="BA62" s="3408"/>
      <c r="BB62" s="3409">
        <f>[31]原始记录!BC18</f>
        <v>0</v>
      </c>
      <c r="BC62" s="3409"/>
      <c r="BD62" s="3409"/>
    </row>
    <row r="63" spans="1:56" ht="15.75" outlineLevel="2">
      <c r="A63" s="2445"/>
      <c r="B63" s="2446"/>
      <c r="C63" s="3542" t="s">
        <v>202</v>
      </c>
      <c r="D63" s="3543" t="s">
        <v>204</v>
      </c>
      <c r="E63" s="3489">
        <v>1</v>
      </c>
      <c r="F63" s="3491"/>
      <c r="G63" s="3463">
        <v>100</v>
      </c>
      <c r="H63" s="3500"/>
      <c r="I63" s="3473">
        <v>-2.3199999999999998E-2</v>
      </c>
      <c r="J63" s="3475"/>
      <c r="K63" s="3473">
        <v>-1.84E-2</v>
      </c>
      <c r="L63" s="3475"/>
      <c r="M63" s="3470">
        <f t="shared" si="5"/>
        <v>-2.0799999999999999E-2</v>
      </c>
      <c r="N63" s="3472"/>
      <c r="O63" s="3544" t="e">
        <f t="shared" ref="O63:O71" ca="1" si="7">IF(ISNUMBER(M63),修约化整(M63,$G$13),"/")</f>
        <v>#NAME?</v>
      </c>
      <c r="P63" s="3545"/>
      <c r="Q63" s="2"/>
      <c r="T63" s="3485"/>
      <c r="U63" s="3486"/>
      <c r="V63" s="3477" t="e">
        <f>[30]原始记录!#REF!</f>
        <v>#REF!</v>
      </c>
      <c r="W63" s="3477"/>
      <c r="X63" s="3477" t="e">
        <f>[30]原始记录!#REF!</f>
        <v>#REF!</v>
      </c>
      <c r="Y63" s="3477"/>
      <c r="Z63" s="3478" t="s">
        <v>1584</v>
      </c>
      <c r="AA63" s="3478"/>
      <c r="AB63" s="3478"/>
      <c r="AC63" s="3463" t="e">
        <f>[30]原始记录!#REF!</f>
        <v>#REF!</v>
      </c>
      <c r="AD63" s="3464"/>
      <c r="AE63" s="3465"/>
      <c r="AF63" s="3466" t="e">
        <f>[30]原始记录!#REF!</f>
        <v>#REF!</v>
      </c>
      <c r="AG63" s="3467"/>
      <c r="AH63" s="3468"/>
      <c r="AI63" s="3469" t="s">
        <v>1581</v>
      </c>
      <c r="AJ63" s="3469"/>
      <c r="AK63" s="3469"/>
      <c r="AM63" s="3403">
        <f>[31]原始记录!AM19</f>
        <v>0</v>
      </c>
      <c r="AN63" s="3403"/>
      <c r="AO63" s="3404">
        <f>[31]原始记录!AO19</f>
        <v>0</v>
      </c>
      <c r="AP63" s="3404">
        <f>[31]原始记录!AP19</f>
        <v>0</v>
      </c>
      <c r="AQ63" s="3405" t="s">
        <v>1584</v>
      </c>
      <c r="AR63" s="3405"/>
      <c r="AS63" s="3406">
        <f>[31]原始记录!AS19</f>
        <v>0</v>
      </c>
      <c r="AT63" s="3406"/>
      <c r="AU63" s="3406"/>
      <c r="AV63" s="3407">
        <f>[31]原始记录!AY19</f>
        <v>0</v>
      </c>
      <c r="AW63" s="3407"/>
      <c r="AX63" s="3407"/>
      <c r="AY63" s="3408" t="s">
        <v>1581</v>
      </c>
      <c r="AZ63" s="3408"/>
      <c r="BA63" s="3408"/>
      <c r="BB63" s="3409">
        <f>[31]原始记录!BC19</f>
        <v>0</v>
      </c>
      <c r="BC63" s="3409"/>
      <c r="BD63" s="3409"/>
    </row>
    <row r="64" spans="1:56" ht="15.75" outlineLevel="2">
      <c r="A64" s="2445"/>
      <c r="B64" s="2446"/>
      <c r="C64" s="2445"/>
      <c r="D64" s="2446"/>
      <c r="E64" s="3495"/>
      <c r="F64" s="3497"/>
      <c r="G64" s="3463" t="s">
        <v>205</v>
      </c>
      <c r="H64" s="3500"/>
      <c r="I64" s="3473">
        <v>-2.52E-2</v>
      </c>
      <c r="J64" s="3475"/>
      <c r="K64" s="3473">
        <v>-2.7199999999999998E-2</v>
      </c>
      <c r="L64" s="3475"/>
      <c r="M64" s="3470">
        <f t="shared" si="5"/>
        <v>-2.6200000000000001E-2</v>
      </c>
      <c r="N64" s="3472"/>
      <c r="O64" s="3544" t="e">
        <f t="shared" ca="1" si="7"/>
        <v>#NAME?</v>
      </c>
      <c r="P64" s="3545"/>
      <c r="Q64" s="2"/>
      <c r="T64" s="3485"/>
      <c r="U64" s="3486"/>
      <c r="V64" s="3477"/>
      <c r="W64" s="3477"/>
      <c r="X64" s="3477"/>
      <c r="Y64" s="3477"/>
      <c r="Z64" s="3478"/>
      <c r="AA64" s="3478"/>
      <c r="AB64" s="3478"/>
      <c r="AC64" s="3463" t="e">
        <f>[30]原始记录!#REF!</f>
        <v>#REF!</v>
      </c>
      <c r="AD64" s="3464"/>
      <c r="AE64" s="3465"/>
      <c r="AF64" s="3466" t="e">
        <f>[30]原始记录!#REF!</f>
        <v>#REF!</v>
      </c>
      <c r="AG64" s="3467"/>
      <c r="AH64" s="3468"/>
      <c r="AI64" s="3469" t="s">
        <v>1581</v>
      </c>
      <c r="AJ64" s="3469"/>
      <c r="AK64" s="3469"/>
      <c r="AM64" s="3403"/>
      <c r="AN64" s="3403"/>
      <c r="AO64" s="3404"/>
      <c r="AP64" s="3404"/>
      <c r="AQ64" s="3405"/>
      <c r="AR64" s="3405"/>
      <c r="AS64" s="3406">
        <f>[31]原始记录!AS20</f>
        <v>0</v>
      </c>
      <c r="AT64" s="3406"/>
      <c r="AU64" s="3406"/>
      <c r="AV64" s="3407">
        <f>[31]原始记录!AY20</f>
        <v>0</v>
      </c>
      <c r="AW64" s="3407"/>
      <c r="AX64" s="3407"/>
      <c r="AY64" s="3408" t="s">
        <v>1581</v>
      </c>
      <c r="AZ64" s="3408"/>
      <c r="BA64" s="3408"/>
      <c r="BB64" s="3409">
        <f>[31]原始记录!BC20</f>
        <v>0</v>
      </c>
      <c r="BC64" s="3409"/>
      <c r="BD64" s="3409"/>
    </row>
    <row r="65" spans="1:56" ht="15.75" outlineLevel="2">
      <c r="A65" s="2445"/>
      <c r="B65" s="2446"/>
      <c r="C65" s="2447"/>
      <c r="D65" s="2448"/>
      <c r="E65" s="3540" t="s">
        <v>123</v>
      </c>
      <c r="F65" s="3541"/>
      <c r="G65" s="3463" t="s">
        <v>205</v>
      </c>
      <c r="H65" s="3500"/>
      <c r="I65" s="3473">
        <v>-2.12E-2</v>
      </c>
      <c r="J65" s="3475"/>
      <c r="K65" s="3473">
        <v>-1.24E-2</v>
      </c>
      <c r="L65" s="3475"/>
      <c r="M65" s="3470">
        <f t="shared" si="5"/>
        <v>-1.6799999999999999E-2</v>
      </c>
      <c r="N65" s="3472"/>
      <c r="O65" s="3466" t="e">
        <f t="shared" ca="1" si="7"/>
        <v>#NAME?</v>
      </c>
      <c r="P65" s="3468"/>
      <c r="Q65" s="2"/>
      <c r="T65" s="3485"/>
      <c r="U65" s="3486"/>
      <c r="V65" s="3477"/>
      <c r="W65" s="3477"/>
      <c r="X65" s="3477"/>
      <c r="Y65" s="3477"/>
      <c r="Z65" s="3478" t="s">
        <v>1582</v>
      </c>
      <c r="AA65" s="3478"/>
      <c r="AB65" s="3478"/>
      <c r="AC65" s="3463" t="e">
        <f>[30]原始记录!#REF!</f>
        <v>#REF!</v>
      </c>
      <c r="AD65" s="3464"/>
      <c r="AE65" s="3465"/>
      <c r="AF65" s="3466" t="e">
        <f>[30]原始记录!#REF!</f>
        <v>#REF!</v>
      </c>
      <c r="AG65" s="3467"/>
      <c r="AH65" s="3468"/>
      <c r="AI65" s="3469" t="s">
        <v>1581</v>
      </c>
      <c r="AJ65" s="3469"/>
      <c r="AK65" s="3469"/>
      <c r="AM65" s="3403"/>
      <c r="AN65" s="3403"/>
      <c r="AO65" s="3404"/>
      <c r="AP65" s="3404"/>
      <c r="AQ65" s="3405" t="s">
        <v>1582</v>
      </c>
      <c r="AR65" s="3405"/>
      <c r="AS65" s="3406">
        <f>[31]原始记录!AS21</f>
        <v>0</v>
      </c>
      <c r="AT65" s="3406"/>
      <c r="AU65" s="3406"/>
      <c r="AV65" s="3407">
        <f>[31]原始记录!AY21</f>
        <v>0</v>
      </c>
      <c r="AW65" s="3407"/>
      <c r="AX65" s="3407"/>
      <c r="AY65" s="3408" t="s">
        <v>1581</v>
      </c>
      <c r="AZ65" s="3408"/>
      <c r="BA65" s="3408"/>
      <c r="BB65" s="3409">
        <f>[31]原始记录!BC21</f>
        <v>0</v>
      </c>
      <c r="BC65" s="3409"/>
      <c r="BD65" s="3409"/>
    </row>
    <row r="66" spans="1:56" ht="15.75" outlineLevel="2">
      <c r="A66" s="2445"/>
      <c r="B66" s="2446"/>
      <c r="C66" s="3542" t="s">
        <v>206</v>
      </c>
      <c r="D66" s="3543" t="s">
        <v>207</v>
      </c>
      <c r="E66" s="3489">
        <v>1</v>
      </c>
      <c r="F66" s="3491"/>
      <c r="G66" s="3463">
        <v>100</v>
      </c>
      <c r="H66" s="3500"/>
      <c r="I66" s="3473">
        <v>-1.55E-2</v>
      </c>
      <c r="J66" s="3475"/>
      <c r="K66" s="3473">
        <v>-2.2800000000000001E-2</v>
      </c>
      <c r="L66" s="3475"/>
      <c r="M66" s="3470">
        <f t="shared" si="5"/>
        <v>-1.915E-2</v>
      </c>
      <c r="N66" s="3472"/>
      <c r="O66" s="3466" t="e">
        <f t="shared" ca="1" si="7"/>
        <v>#NAME?</v>
      </c>
      <c r="P66" s="3468"/>
      <c r="Q66" s="2"/>
      <c r="T66" s="3485"/>
      <c r="U66" s="3486"/>
      <c r="V66" s="3477">
        <f>[30]原始记录!V25</f>
        <v>0</v>
      </c>
      <c r="W66" s="3477"/>
      <c r="X66" s="3477">
        <f>[30]原始记录!W25</f>
        <v>0</v>
      </c>
      <c r="Y66" s="3477"/>
      <c r="Z66" s="3478" t="s">
        <v>1584</v>
      </c>
      <c r="AA66" s="3478"/>
      <c r="AB66" s="3478"/>
      <c r="AC66" s="3463">
        <f>[30]原始记录!Z25</f>
        <v>0</v>
      </c>
      <c r="AD66" s="3464"/>
      <c r="AE66" s="3465"/>
      <c r="AF66" s="3466">
        <f>[30]原始记录!AH25</f>
        <v>0</v>
      </c>
      <c r="AG66" s="3467"/>
      <c r="AH66" s="3468"/>
      <c r="AI66" s="3469" t="s">
        <v>1581</v>
      </c>
      <c r="AJ66" s="3469"/>
      <c r="AK66" s="3469"/>
      <c r="AM66" s="3403">
        <f>[31]原始记录!AM22</f>
        <v>0</v>
      </c>
      <c r="AN66" s="3403"/>
      <c r="AO66" s="3404">
        <f>[31]原始记录!AO22</f>
        <v>0</v>
      </c>
      <c r="AP66" s="3404">
        <f>[31]原始记录!AP22</f>
        <v>0</v>
      </c>
      <c r="AQ66" s="3405" t="s">
        <v>1584</v>
      </c>
      <c r="AR66" s="3405"/>
      <c r="AS66" s="3406">
        <f>[31]原始记录!AS22</f>
        <v>0</v>
      </c>
      <c r="AT66" s="3406"/>
      <c r="AU66" s="3406"/>
      <c r="AV66" s="3407">
        <f>[31]原始记录!AY22</f>
        <v>0</v>
      </c>
      <c r="AW66" s="3407"/>
      <c r="AX66" s="3407"/>
      <c r="AY66" s="3408" t="s">
        <v>1581</v>
      </c>
      <c r="AZ66" s="3408"/>
      <c r="BA66" s="3408"/>
      <c r="BB66" s="3409">
        <f>[31]原始记录!BC22</f>
        <v>0</v>
      </c>
      <c r="BC66" s="3409"/>
      <c r="BD66" s="3409"/>
    </row>
    <row r="67" spans="1:56" ht="15.75" outlineLevel="2">
      <c r="A67" s="2445"/>
      <c r="B67" s="2446"/>
      <c r="C67" s="2445"/>
      <c r="D67" s="2446"/>
      <c r="E67" s="3495"/>
      <c r="F67" s="3497"/>
      <c r="G67" s="3463" t="s">
        <v>205</v>
      </c>
      <c r="H67" s="3500"/>
      <c r="I67" s="3473">
        <v>-1.0699999999999999E-2</v>
      </c>
      <c r="J67" s="3475"/>
      <c r="K67" s="3473">
        <v>-1.5299999999999999E-2</v>
      </c>
      <c r="L67" s="3475"/>
      <c r="M67" s="3470">
        <f t="shared" si="5"/>
        <v>-1.2999999999999999E-2</v>
      </c>
      <c r="N67" s="3472"/>
      <c r="O67" s="3466" t="e">
        <f t="shared" ca="1" si="7"/>
        <v>#NAME?</v>
      </c>
      <c r="P67" s="3468"/>
      <c r="Q67" s="2"/>
      <c r="T67" s="3485"/>
      <c r="U67" s="3486"/>
      <c r="V67" s="3477"/>
      <c r="W67" s="3477"/>
      <c r="X67" s="3477"/>
      <c r="Y67" s="3477"/>
      <c r="Z67" s="3478"/>
      <c r="AA67" s="3478"/>
      <c r="AB67" s="3478"/>
      <c r="AC67" s="3463">
        <f>[30]原始记录!Z26</f>
        <v>0</v>
      </c>
      <c r="AD67" s="3464"/>
      <c r="AE67" s="3465"/>
      <c r="AF67" s="3466">
        <f>[30]原始记录!AH26</f>
        <v>0</v>
      </c>
      <c r="AG67" s="3467"/>
      <c r="AH67" s="3468"/>
      <c r="AI67" s="3469" t="s">
        <v>1581</v>
      </c>
      <c r="AJ67" s="3469"/>
      <c r="AK67" s="3469"/>
      <c r="AM67" s="3403"/>
      <c r="AN67" s="3403"/>
      <c r="AO67" s="3404"/>
      <c r="AP67" s="3404"/>
      <c r="AQ67" s="3405"/>
      <c r="AR67" s="3405"/>
      <c r="AS67" s="3406">
        <f>[31]原始记录!AS23</f>
        <v>0</v>
      </c>
      <c r="AT67" s="3406"/>
      <c r="AU67" s="3406"/>
      <c r="AV67" s="3407">
        <f>[31]原始记录!AY23</f>
        <v>0</v>
      </c>
      <c r="AW67" s="3407"/>
      <c r="AX67" s="3407"/>
      <c r="AY67" s="3408" t="s">
        <v>1581</v>
      </c>
      <c r="AZ67" s="3408"/>
      <c r="BA67" s="3408"/>
      <c r="BB67" s="3409">
        <f>[31]原始记录!BC23</f>
        <v>0</v>
      </c>
      <c r="BC67" s="3409"/>
      <c r="BD67" s="3409"/>
    </row>
    <row r="68" spans="1:56" ht="15.75" outlineLevel="2">
      <c r="A68" s="2445"/>
      <c r="B68" s="2446"/>
      <c r="C68" s="2447"/>
      <c r="D68" s="2448"/>
      <c r="E68" s="3540" t="s">
        <v>123</v>
      </c>
      <c r="F68" s="3541"/>
      <c r="G68" s="3463" t="s">
        <v>205</v>
      </c>
      <c r="H68" s="3500"/>
      <c r="I68" s="3473">
        <v>-1.46E-2</v>
      </c>
      <c r="J68" s="3475"/>
      <c r="K68" s="3473">
        <v>-1.0699999999999999E-2</v>
      </c>
      <c r="L68" s="3475"/>
      <c r="M68" s="3470">
        <f t="shared" si="5"/>
        <v>-1.265E-2</v>
      </c>
      <c r="N68" s="3472"/>
      <c r="O68" s="3466" t="e">
        <f t="shared" ca="1" si="7"/>
        <v>#NAME?</v>
      </c>
      <c r="P68" s="3468"/>
      <c r="Q68" s="2"/>
      <c r="T68" s="3485"/>
      <c r="U68" s="3486"/>
      <c r="V68" s="3477"/>
      <c r="W68" s="3477"/>
      <c r="X68" s="3477"/>
      <c r="Y68" s="3477"/>
      <c r="Z68" s="3478" t="s">
        <v>1582</v>
      </c>
      <c r="AA68" s="3478"/>
      <c r="AB68" s="3478"/>
      <c r="AC68" s="3463">
        <f>[30]原始记录!Z27</f>
        <v>0</v>
      </c>
      <c r="AD68" s="3464"/>
      <c r="AE68" s="3465"/>
      <c r="AF68" s="3466">
        <f>[30]原始记录!AH27</f>
        <v>0</v>
      </c>
      <c r="AG68" s="3467"/>
      <c r="AH68" s="3468"/>
      <c r="AI68" s="3476" t="s">
        <v>1581</v>
      </c>
      <c r="AJ68" s="3476"/>
      <c r="AK68" s="3476"/>
      <c r="AM68" s="3403"/>
      <c r="AN68" s="3403"/>
      <c r="AO68" s="3404"/>
      <c r="AP68" s="3404"/>
      <c r="AQ68" s="3405" t="s">
        <v>1582</v>
      </c>
      <c r="AR68" s="3405"/>
      <c r="AS68" s="3406">
        <f>[31]原始记录!AS24</f>
        <v>0</v>
      </c>
      <c r="AT68" s="3406"/>
      <c r="AU68" s="3406"/>
      <c r="AV68" s="3407">
        <f>[31]原始记录!AY24</f>
        <v>0</v>
      </c>
      <c r="AW68" s="3407"/>
      <c r="AX68" s="3407"/>
      <c r="AY68" s="3408" t="s">
        <v>1581</v>
      </c>
      <c r="AZ68" s="3408"/>
      <c r="BA68" s="3408"/>
      <c r="BB68" s="3409">
        <f>[31]原始记录!BC24</f>
        <v>0</v>
      </c>
      <c r="BC68" s="3409"/>
      <c r="BD68" s="3409"/>
    </row>
    <row r="69" spans="1:56" ht="15.75" outlineLevel="2">
      <c r="A69" s="2445"/>
      <c r="B69" s="2446"/>
      <c r="C69" s="3542" t="s">
        <v>206</v>
      </c>
      <c r="D69" s="3543" t="s">
        <v>208</v>
      </c>
      <c r="E69" s="3489">
        <v>1</v>
      </c>
      <c r="F69" s="3491"/>
      <c r="G69" s="3463">
        <v>100</v>
      </c>
      <c r="H69" s="3500"/>
      <c r="I69" s="3473">
        <v>-1.6199999999999999E-2</v>
      </c>
      <c r="J69" s="3475"/>
      <c r="K69" s="3473">
        <v>-1.9900000000000001E-2</v>
      </c>
      <c r="L69" s="3475"/>
      <c r="M69" s="3470">
        <f t="shared" si="5"/>
        <v>-1.805E-2</v>
      </c>
      <c r="N69" s="3472"/>
      <c r="O69" s="3466" t="e">
        <f t="shared" ca="1" si="7"/>
        <v>#NAME?</v>
      </c>
      <c r="P69" s="3468"/>
      <c r="Q69" s="2"/>
      <c r="T69" s="3485"/>
      <c r="U69" s="3486"/>
      <c r="V69" s="3477">
        <f>[30]原始记录!V28</f>
        <v>0</v>
      </c>
      <c r="W69" s="3477"/>
      <c r="X69" s="3477">
        <f>[30]原始记录!W28</f>
        <v>0</v>
      </c>
      <c r="Y69" s="3477"/>
      <c r="Z69" s="3478" t="s">
        <v>1584</v>
      </c>
      <c r="AA69" s="3478"/>
      <c r="AB69" s="3478"/>
      <c r="AC69" s="3463">
        <f>[30]原始记录!Z28</f>
        <v>0</v>
      </c>
      <c r="AD69" s="3464"/>
      <c r="AE69" s="3465"/>
      <c r="AF69" s="3466">
        <f>[30]原始记录!AH28</f>
        <v>0</v>
      </c>
      <c r="AG69" s="3467"/>
      <c r="AH69" s="3468"/>
      <c r="AI69" s="3476" t="s">
        <v>1581</v>
      </c>
      <c r="AJ69" s="3476"/>
      <c r="AK69" s="3476"/>
      <c r="AM69" s="3403">
        <f>[31]原始记录!AM25</f>
        <v>0</v>
      </c>
      <c r="AN69" s="3403"/>
      <c r="AO69" s="3404">
        <f>[31]原始记录!AO25</f>
        <v>0</v>
      </c>
      <c r="AP69" s="3404">
        <f>[31]原始记录!AP25</f>
        <v>0</v>
      </c>
      <c r="AQ69" s="3405" t="s">
        <v>1584</v>
      </c>
      <c r="AR69" s="3405"/>
      <c r="AS69" s="3406">
        <f>[31]原始记录!AS25</f>
        <v>0</v>
      </c>
      <c r="AT69" s="3406"/>
      <c r="AU69" s="3406"/>
      <c r="AV69" s="3407">
        <f>[31]原始记录!AY25</f>
        <v>0</v>
      </c>
      <c r="AW69" s="3407"/>
      <c r="AX69" s="3407"/>
      <c r="AY69" s="3408" t="s">
        <v>1581</v>
      </c>
      <c r="AZ69" s="3408"/>
      <c r="BA69" s="3408"/>
      <c r="BB69" s="3409">
        <f>[31]原始记录!BC25</f>
        <v>0</v>
      </c>
      <c r="BC69" s="3409"/>
      <c r="BD69" s="3409"/>
    </row>
    <row r="70" spans="1:56" ht="15.75" outlineLevel="2">
      <c r="A70" s="2445"/>
      <c r="B70" s="2446"/>
      <c r="C70" s="2445"/>
      <c r="D70" s="2446"/>
      <c r="E70" s="3495"/>
      <c r="F70" s="3497"/>
      <c r="G70" s="3463" t="s">
        <v>205</v>
      </c>
      <c r="H70" s="3500"/>
      <c r="I70" s="3473">
        <v>-1.3100000000000001E-2</v>
      </c>
      <c r="J70" s="3475"/>
      <c r="K70" s="3473">
        <v>-1.55E-2</v>
      </c>
      <c r="L70" s="3475"/>
      <c r="M70" s="3470">
        <f>IF(ISNUMBER(I70),AVERAGE(I70:L70),"/")</f>
        <v>-1.43E-2</v>
      </c>
      <c r="N70" s="3472"/>
      <c r="O70" s="3466" t="e">
        <f t="shared" ca="1" si="7"/>
        <v>#NAME?</v>
      </c>
      <c r="P70" s="3468"/>
      <c r="Q70" s="2"/>
      <c r="T70" s="3485"/>
      <c r="U70" s="3486"/>
      <c r="V70" s="3477"/>
      <c r="W70" s="3477"/>
      <c r="X70" s="3477"/>
      <c r="Y70" s="3477"/>
      <c r="Z70" s="3478"/>
      <c r="AA70" s="3478"/>
      <c r="AB70" s="3478"/>
      <c r="AC70" s="3463">
        <f>[30]原始记录!Z29</f>
        <v>0</v>
      </c>
      <c r="AD70" s="3464"/>
      <c r="AE70" s="3465"/>
      <c r="AF70" s="3466">
        <f>[30]原始记录!AH29</f>
        <v>0</v>
      </c>
      <c r="AG70" s="3467"/>
      <c r="AH70" s="3468"/>
      <c r="AI70" s="3476" t="s">
        <v>1581</v>
      </c>
      <c r="AJ70" s="3476"/>
      <c r="AK70" s="3476"/>
      <c r="AM70" s="3403"/>
      <c r="AN70" s="3403"/>
      <c r="AO70" s="3404"/>
      <c r="AP70" s="3404"/>
      <c r="AQ70" s="3405"/>
      <c r="AR70" s="3405"/>
      <c r="AS70" s="3406">
        <f>[31]原始记录!AS26</f>
        <v>0</v>
      </c>
      <c r="AT70" s="3406"/>
      <c r="AU70" s="3406"/>
      <c r="AV70" s="3407">
        <f>[31]原始记录!AY26</f>
        <v>0</v>
      </c>
      <c r="AW70" s="3407"/>
      <c r="AX70" s="3407"/>
      <c r="AY70" s="3408" t="s">
        <v>1581</v>
      </c>
      <c r="AZ70" s="3408"/>
      <c r="BA70" s="3408"/>
      <c r="BB70" s="3409">
        <f>[31]原始记录!BC26</f>
        <v>0</v>
      </c>
      <c r="BC70" s="3409"/>
      <c r="BD70" s="3409"/>
    </row>
    <row r="71" spans="1:56" ht="15.75" outlineLevel="2">
      <c r="A71" s="2447"/>
      <c r="B71" s="2448"/>
      <c r="C71" s="2447"/>
      <c r="D71" s="2448"/>
      <c r="E71" s="3540" t="s">
        <v>123</v>
      </c>
      <c r="F71" s="3541"/>
      <c r="G71" s="3463" t="s">
        <v>205</v>
      </c>
      <c r="H71" s="3500"/>
      <c r="I71" s="3473">
        <v>-1.4999999999999999E-2</v>
      </c>
      <c r="J71" s="3475"/>
      <c r="K71" s="3473">
        <v>-1.8100000000000002E-2</v>
      </c>
      <c r="L71" s="3475"/>
      <c r="M71" s="3470">
        <f>IF(ISNUMBER(I71),AVERAGE(I71:L71),"/")</f>
        <v>-1.6550000000000002E-2</v>
      </c>
      <c r="N71" s="3472"/>
      <c r="O71" s="3466" t="e">
        <f t="shared" ca="1" si="7"/>
        <v>#NAME?</v>
      </c>
      <c r="P71" s="3468"/>
      <c r="Q71" s="2"/>
      <c r="T71" s="3485"/>
      <c r="U71" s="3486"/>
      <c r="V71" s="3477"/>
      <c r="W71" s="3477"/>
      <c r="X71" s="3477"/>
      <c r="Y71" s="3477"/>
      <c r="Z71" s="3478" t="s">
        <v>1582</v>
      </c>
      <c r="AA71" s="3478"/>
      <c r="AB71" s="3478"/>
      <c r="AC71" s="3463">
        <f>[30]原始记录!Z30</f>
        <v>0</v>
      </c>
      <c r="AD71" s="3464"/>
      <c r="AE71" s="3465"/>
      <c r="AF71" s="3466">
        <f>[30]原始记录!AH30</f>
        <v>0</v>
      </c>
      <c r="AG71" s="3467"/>
      <c r="AH71" s="3468"/>
      <c r="AI71" s="3476" t="s">
        <v>1581</v>
      </c>
      <c r="AJ71" s="3476"/>
      <c r="AK71" s="3476"/>
      <c r="AM71" s="3403"/>
      <c r="AN71" s="3403"/>
      <c r="AO71" s="3404"/>
      <c r="AP71" s="3404"/>
      <c r="AQ71" s="3405" t="s">
        <v>1582</v>
      </c>
      <c r="AR71" s="3405"/>
      <c r="AS71" s="3406">
        <f>[31]原始记录!AS27</f>
        <v>0</v>
      </c>
      <c r="AT71" s="3406"/>
      <c r="AU71" s="3406"/>
      <c r="AV71" s="3407">
        <f>[31]原始记录!AY27</f>
        <v>0</v>
      </c>
      <c r="AW71" s="3407"/>
      <c r="AX71" s="3407"/>
      <c r="AY71" s="3408" t="s">
        <v>1581</v>
      </c>
      <c r="AZ71" s="3408"/>
      <c r="BA71" s="3408"/>
      <c r="BB71" s="3409">
        <f>[31]原始记录!BC27</f>
        <v>0</v>
      </c>
      <c r="BC71" s="3409"/>
      <c r="BD71" s="3409"/>
    </row>
    <row r="72" spans="1:56" ht="15.75" outlineLevel="2">
      <c r="A72" s="21"/>
      <c r="B72" s="21"/>
      <c r="C72" s="21"/>
      <c r="D72" s="21"/>
      <c r="E72" s="630"/>
      <c r="F72" s="630"/>
      <c r="G72" s="631"/>
      <c r="H72" s="631"/>
      <c r="I72" s="632"/>
      <c r="J72" s="632"/>
      <c r="K72" s="632"/>
      <c r="L72" s="632"/>
      <c r="M72" s="633"/>
      <c r="N72" s="633"/>
      <c r="O72" s="634"/>
      <c r="P72" s="634"/>
      <c r="Q72" s="28"/>
      <c r="T72" s="3485"/>
      <c r="U72" s="3486"/>
      <c r="V72" s="3477">
        <f>[30]原始记录!V31</f>
        <v>0</v>
      </c>
      <c r="W72" s="3477"/>
      <c r="X72" s="3477">
        <f>[30]原始记录!W31</f>
        <v>0</v>
      </c>
      <c r="Y72" s="3477"/>
      <c r="Z72" s="3478" t="s">
        <v>1584</v>
      </c>
      <c r="AA72" s="3478"/>
      <c r="AB72" s="3478"/>
      <c r="AC72" s="3463">
        <f>[30]原始记录!Z31</f>
        <v>0</v>
      </c>
      <c r="AD72" s="3464"/>
      <c r="AE72" s="3465"/>
      <c r="AF72" s="3466">
        <f>[30]原始记录!AH31</f>
        <v>0</v>
      </c>
      <c r="AG72" s="3467"/>
      <c r="AH72" s="3468"/>
      <c r="AI72" s="3476" t="s">
        <v>1581</v>
      </c>
      <c r="AJ72" s="3476"/>
      <c r="AK72" s="3476"/>
      <c r="AM72" s="3403">
        <f>[31]原始记录!AM28</f>
        <v>0</v>
      </c>
      <c r="AN72" s="3403"/>
      <c r="AO72" s="3404">
        <f>[31]原始记录!AO28</f>
        <v>0</v>
      </c>
      <c r="AP72" s="3404">
        <f>[31]原始记录!AP28</f>
        <v>0</v>
      </c>
      <c r="AQ72" s="3405" t="s">
        <v>1584</v>
      </c>
      <c r="AR72" s="3405"/>
      <c r="AS72" s="3406">
        <f>[31]原始记录!AS28</f>
        <v>0</v>
      </c>
      <c r="AT72" s="3406"/>
      <c r="AU72" s="3406"/>
      <c r="AV72" s="3407">
        <f>[31]原始记录!AY28</f>
        <v>0</v>
      </c>
      <c r="AW72" s="3407"/>
      <c r="AX72" s="3407"/>
      <c r="AY72" s="3408" t="s">
        <v>1581</v>
      </c>
      <c r="AZ72" s="3408"/>
      <c r="BA72" s="3408"/>
      <c r="BB72" s="3409">
        <f>[31]原始记录!BC28</f>
        <v>0</v>
      </c>
      <c r="BC72" s="3409"/>
      <c r="BD72" s="3409"/>
    </row>
    <row r="73" spans="1:56" ht="15.75" outlineLevel="2">
      <c r="A73" s="21"/>
      <c r="B73" s="21"/>
      <c r="C73" s="21"/>
      <c r="D73" s="21"/>
      <c r="E73" s="630"/>
      <c r="F73" s="630"/>
      <c r="G73" s="631"/>
      <c r="H73" s="631"/>
      <c r="I73" s="632"/>
      <c r="J73" s="632"/>
      <c r="K73" s="632"/>
      <c r="L73" s="632"/>
      <c r="M73" s="633"/>
      <c r="N73" s="633"/>
      <c r="O73" s="634"/>
      <c r="P73" s="634"/>
      <c r="Q73" s="28"/>
      <c r="T73" s="3485"/>
      <c r="U73" s="3486"/>
      <c r="V73" s="3477"/>
      <c r="W73" s="3477"/>
      <c r="X73" s="3477"/>
      <c r="Y73" s="3477"/>
      <c r="Z73" s="3478"/>
      <c r="AA73" s="3478"/>
      <c r="AB73" s="3478"/>
      <c r="AC73" s="3463">
        <f>[30]原始记录!Z32</f>
        <v>0</v>
      </c>
      <c r="AD73" s="3464"/>
      <c r="AE73" s="3465"/>
      <c r="AF73" s="3466">
        <f>[30]原始记录!AH32</f>
        <v>0</v>
      </c>
      <c r="AG73" s="3467"/>
      <c r="AH73" s="3468"/>
      <c r="AI73" s="3476" t="s">
        <v>1581</v>
      </c>
      <c r="AJ73" s="3476"/>
      <c r="AK73" s="3476"/>
      <c r="AM73" s="3403"/>
      <c r="AN73" s="3403"/>
      <c r="AO73" s="3404"/>
      <c r="AP73" s="3404"/>
      <c r="AQ73" s="3405"/>
      <c r="AR73" s="3405"/>
      <c r="AS73" s="3406">
        <f>[31]原始记录!AS29</f>
        <v>0</v>
      </c>
      <c r="AT73" s="3406"/>
      <c r="AU73" s="3406"/>
      <c r="AV73" s="3407">
        <f>[31]原始记录!AY29</f>
        <v>0</v>
      </c>
      <c r="AW73" s="3407"/>
      <c r="AX73" s="3407"/>
      <c r="AY73" s="3408" t="s">
        <v>1581</v>
      </c>
      <c r="AZ73" s="3408"/>
      <c r="BA73" s="3408"/>
      <c r="BB73" s="3409">
        <f>[31]原始记录!BC29</f>
        <v>0</v>
      </c>
      <c r="BC73" s="3409"/>
      <c r="BD73" s="3409"/>
    </row>
    <row r="74" spans="1:56" ht="15.75" outlineLevel="2">
      <c r="A74" s="21"/>
      <c r="B74" s="21"/>
      <c r="C74" s="21"/>
      <c r="D74" s="21"/>
      <c r="E74" s="630"/>
      <c r="F74" s="630"/>
      <c r="G74" s="631"/>
      <c r="H74" s="631"/>
      <c r="I74" s="632"/>
      <c r="J74" s="632"/>
      <c r="K74" s="632"/>
      <c r="L74" s="632"/>
      <c r="M74" s="633"/>
      <c r="N74" s="633"/>
      <c r="O74" s="634"/>
      <c r="P74" s="634"/>
      <c r="Q74" s="28"/>
      <c r="T74" s="3487"/>
      <c r="U74" s="3488"/>
      <c r="V74" s="3477"/>
      <c r="W74" s="3477"/>
      <c r="X74" s="3477"/>
      <c r="Y74" s="3477"/>
      <c r="Z74" s="3478" t="s">
        <v>1582</v>
      </c>
      <c r="AA74" s="3478"/>
      <c r="AB74" s="3478"/>
      <c r="AC74" s="3463">
        <f>[30]原始记录!Z33</f>
        <v>0</v>
      </c>
      <c r="AD74" s="3464"/>
      <c r="AE74" s="3465"/>
      <c r="AF74" s="3466">
        <f>[30]原始记录!AH33</f>
        <v>0</v>
      </c>
      <c r="AG74" s="3467"/>
      <c r="AH74" s="3468"/>
      <c r="AI74" s="3476" t="s">
        <v>1581</v>
      </c>
      <c r="AJ74" s="3476"/>
      <c r="AK74" s="3476"/>
      <c r="AM74" s="3403"/>
      <c r="AN74" s="3403"/>
      <c r="AO74" s="3404"/>
      <c r="AP74" s="3404"/>
      <c r="AQ74" s="3405" t="s">
        <v>1582</v>
      </c>
      <c r="AR74" s="3405"/>
      <c r="AS74" s="3406">
        <f>[31]原始记录!AS30</f>
        <v>0</v>
      </c>
      <c r="AT74" s="3406"/>
      <c r="AU74" s="3406"/>
      <c r="AV74" s="3407">
        <f>[31]原始记录!AY30</f>
        <v>0</v>
      </c>
      <c r="AW74" s="3407"/>
      <c r="AX74" s="3407"/>
      <c r="AY74" s="3408" t="s">
        <v>1581</v>
      </c>
      <c r="AZ74" s="3408"/>
      <c r="BA74" s="3408"/>
      <c r="BB74" s="3409">
        <f>[31]原始记录!BC30</f>
        <v>0</v>
      </c>
      <c r="BC74" s="3409"/>
      <c r="BD74" s="3409"/>
    </row>
    <row r="75" spans="1:56" ht="15.75" outlineLevel="2">
      <c r="A75" s="21"/>
      <c r="B75" s="21"/>
      <c r="C75" s="21"/>
      <c r="D75" s="21"/>
      <c r="E75" s="630"/>
      <c r="F75" s="630"/>
      <c r="G75" s="631"/>
      <c r="H75" s="631"/>
      <c r="I75" s="632"/>
      <c r="J75" s="632"/>
      <c r="K75" s="632"/>
      <c r="L75" s="632"/>
      <c r="M75" s="633"/>
      <c r="N75" s="633"/>
      <c r="O75" s="634"/>
      <c r="P75" s="634"/>
      <c r="Q75" s="28"/>
      <c r="AM75" s="3403">
        <f>[31]原始记录!AM33</f>
        <v>0</v>
      </c>
      <c r="AN75" s="3403"/>
      <c r="AO75" s="3404">
        <f>[31]原始记录!AO33</f>
        <v>0</v>
      </c>
      <c r="AP75" s="3404">
        <f>[31]原始记录!AP33</f>
        <v>0</v>
      </c>
      <c r="AQ75" s="3405" t="s">
        <v>1600</v>
      </c>
      <c r="AR75" s="3405"/>
      <c r="AS75" s="3406">
        <f>[31]原始记录!AS33</f>
        <v>0</v>
      </c>
      <c r="AT75" s="3406"/>
      <c r="AU75" s="3406"/>
      <c r="AV75" s="3407">
        <f>[31]原始记录!AY33</f>
        <v>0</v>
      </c>
      <c r="AW75" s="3407"/>
      <c r="AX75" s="3407"/>
      <c r="AY75" s="3408" t="s">
        <v>1581</v>
      </c>
      <c r="AZ75" s="3408"/>
      <c r="BA75" s="3408"/>
      <c r="BB75" s="3409">
        <f>[31]原始记录!BC33</f>
        <v>0</v>
      </c>
      <c r="BC75" s="3409"/>
      <c r="BD75" s="3409"/>
    </row>
    <row r="76" spans="1:56" ht="15.75" outlineLevel="2">
      <c r="A76" s="21"/>
      <c r="B76" s="21"/>
      <c r="C76" s="21"/>
      <c r="D76" s="21"/>
      <c r="E76" s="630"/>
      <c r="F76" s="630"/>
      <c r="G76" s="631"/>
      <c r="H76" s="631"/>
      <c r="I76" s="632"/>
      <c r="J76" s="632"/>
      <c r="K76" s="632"/>
      <c r="L76" s="632"/>
      <c r="M76" s="633"/>
      <c r="N76" s="633"/>
      <c r="O76" s="634"/>
      <c r="P76" s="634"/>
      <c r="Q76" s="28"/>
      <c r="AM76" s="3403"/>
      <c r="AN76" s="3403"/>
      <c r="AO76" s="3404"/>
      <c r="AP76" s="3404"/>
      <c r="AQ76" s="3405"/>
      <c r="AR76" s="3405"/>
      <c r="AS76" s="3406">
        <f>[31]原始记录!AS34</f>
        <v>0</v>
      </c>
      <c r="AT76" s="3406"/>
      <c r="AU76" s="3406"/>
      <c r="AV76" s="3407">
        <f>[31]原始记录!AY34</f>
        <v>0</v>
      </c>
      <c r="AW76" s="3407"/>
      <c r="AX76" s="3407"/>
      <c r="AY76" s="3408" t="s">
        <v>1598</v>
      </c>
      <c r="AZ76" s="3408"/>
      <c r="BA76" s="3408"/>
      <c r="BB76" s="3409">
        <f>[31]原始记录!BC34</f>
        <v>0</v>
      </c>
      <c r="BC76" s="3409"/>
      <c r="BD76" s="3409"/>
    </row>
    <row r="77" spans="1:56">
      <c r="AM77" s="3403"/>
      <c r="AN77" s="3403"/>
      <c r="AO77" s="3404"/>
      <c r="AP77" s="3404"/>
      <c r="AQ77" s="3405" t="s">
        <v>1601</v>
      </c>
      <c r="AR77" s="3405"/>
      <c r="AS77" s="3406">
        <f>[31]原始记录!AS35</f>
        <v>0</v>
      </c>
      <c r="AT77" s="3406"/>
      <c r="AU77" s="3406"/>
      <c r="AV77" s="3407">
        <f>[31]原始记录!AY35</f>
        <v>0</v>
      </c>
      <c r="AW77" s="3407"/>
      <c r="AX77" s="3407"/>
      <c r="AY77" s="3408" t="s">
        <v>1581</v>
      </c>
      <c r="AZ77" s="3408"/>
      <c r="BA77" s="3408"/>
      <c r="BB77" s="3409">
        <f>[31]原始记录!BC35</f>
        <v>0</v>
      </c>
      <c r="BC77" s="3409"/>
      <c r="BD77" s="3409"/>
    </row>
    <row r="78" spans="1:56">
      <c r="A78" s="3538" t="s">
        <v>1586</v>
      </c>
      <c r="B78" s="3539"/>
      <c r="C78" s="3539"/>
      <c r="D78" s="3539"/>
      <c r="E78" s="3539"/>
      <c r="F78" s="3539"/>
      <c r="G78" s="198"/>
      <c r="H78" s="198"/>
      <c r="I78" s="198"/>
      <c r="J78" s="198"/>
      <c r="K78" s="198"/>
      <c r="L78" s="198"/>
      <c r="M78" s="198"/>
      <c r="N78" s="198"/>
      <c r="O78" s="198"/>
      <c r="P78" s="198"/>
      <c r="Q78" s="198"/>
      <c r="R78" s="198"/>
    </row>
    <row r="79" spans="1:56">
      <c r="A79" s="554" t="s">
        <v>1606</v>
      </c>
      <c r="B79" s="195"/>
      <c r="C79" s="195"/>
      <c r="D79" s="195"/>
      <c r="E79" s="195"/>
      <c r="F79" s="195"/>
      <c r="G79" s="198"/>
      <c r="H79" s="198"/>
      <c r="I79" s="198"/>
      <c r="J79" s="198"/>
      <c r="K79" s="198"/>
      <c r="L79" s="198"/>
      <c r="M79" s="198"/>
      <c r="N79" s="198"/>
      <c r="O79" s="198"/>
      <c r="P79" s="198"/>
      <c r="Q79" s="198"/>
      <c r="R79" s="198"/>
      <c r="U79" s="157" t="s">
        <v>1609</v>
      </c>
    </row>
    <row r="80" spans="1:56" ht="18.75" outlineLevel="1">
      <c r="A80" s="3518" t="s">
        <v>609</v>
      </c>
      <c r="B80" s="3519"/>
      <c r="C80" s="3528" t="s">
        <v>610</v>
      </c>
      <c r="D80" s="3529"/>
      <c r="E80" s="3530" t="s">
        <v>615</v>
      </c>
      <c r="F80" s="3519"/>
      <c r="G80" s="3520" t="s">
        <v>209</v>
      </c>
      <c r="H80" s="3519"/>
      <c r="I80" s="3520" t="s">
        <v>210</v>
      </c>
      <c r="J80" s="3519"/>
      <c r="K80" s="3520" t="s">
        <v>211</v>
      </c>
      <c r="L80" s="3519"/>
      <c r="M80" s="3520" t="s">
        <v>212</v>
      </c>
      <c r="N80" s="3519"/>
      <c r="O80" s="3510" t="s">
        <v>632</v>
      </c>
      <c r="P80" s="3519"/>
      <c r="Q80" s="3510" t="s">
        <v>633</v>
      </c>
      <c r="R80" s="3519"/>
      <c r="S80" s="257"/>
      <c r="V80" s="157" t="s">
        <v>1608</v>
      </c>
    </row>
    <row r="81" spans="1:23" outlineLevel="1">
      <c r="A81" s="3533" t="s">
        <v>631</v>
      </c>
      <c r="B81" s="3534"/>
      <c r="C81" s="3537">
        <v>1</v>
      </c>
      <c r="D81" s="3537"/>
      <c r="E81" s="3532">
        <v>1.43E-2</v>
      </c>
      <c r="F81" s="3532"/>
      <c r="G81" s="3532">
        <v>1.8800000000000001E-2</v>
      </c>
      <c r="H81" s="3532"/>
      <c r="I81" s="3532">
        <v>1.43E-2</v>
      </c>
      <c r="J81" s="3532"/>
      <c r="K81" s="3532">
        <v>1.8800000000000001E-2</v>
      </c>
      <c r="L81" s="3532"/>
      <c r="M81" s="3532">
        <v>1.43E-2</v>
      </c>
      <c r="N81" s="3532"/>
      <c r="O81" s="3526">
        <f>STDEV(E81:N81)</f>
        <v>2.4647515087732478E-3</v>
      </c>
      <c r="P81" s="3526"/>
      <c r="Q81" s="3527" t="e">
        <f ca="1">IF(ISNUMBER(O81),修约化整(O81,$G$13/10),"/")</f>
        <v>#NAME?</v>
      </c>
      <c r="R81" s="3527"/>
      <c r="S81" s="257"/>
    </row>
    <row r="82" spans="1:23" outlineLevel="1">
      <c r="A82" s="3535"/>
      <c r="B82" s="3536"/>
      <c r="C82" s="3531" t="s">
        <v>182</v>
      </c>
      <c r="D82" s="3531"/>
      <c r="E82" s="3532">
        <v>1.4800000000000001E-2</v>
      </c>
      <c r="F82" s="3532"/>
      <c r="G82" s="3532">
        <v>1.61E-2</v>
      </c>
      <c r="H82" s="3532"/>
      <c r="I82" s="3532">
        <v>1.4800000000000001E-2</v>
      </c>
      <c r="J82" s="3532"/>
      <c r="K82" s="3532">
        <v>1.61E-2</v>
      </c>
      <c r="L82" s="3532"/>
      <c r="M82" s="3532">
        <v>1.4800000000000001E-2</v>
      </c>
      <c r="N82" s="3532"/>
      <c r="O82" s="3526">
        <f>STDEV(E82:N82)</f>
        <v>7.1203932475671537E-4</v>
      </c>
      <c r="P82" s="3526"/>
      <c r="Q82" s="3527" t="e">
        <f ca="1">IF(ISNUMBER(O82),修约化整(O82,$G$13/10),"/")</f>
        <v>#NAME?</v>
      </c>
      <c r="R82" s="3527"/>
    </row>
    <row r="84" spans="1:23">
      <c r="A84" s="642" t="s">
        <v>1639</v>
      </c>
      <c r="B84" s="196"/>
      <c r="C84" s="196"/>
      <c r="D84" s="196"/>
      <c r="E84" s="164"/>
      <c r="F84" s="163"/>
      <c r="G84" s="163"/>
      <c r="H84" s="163"/>
      <c r="I84" s="163"/>
      <c r="J84" s="163"/>
      <c r="K84" s="163"/>
      <c r="L84" s="163"/>
      <c r="M84" s="163"/>
      <c r="N84" s="163"/>
      <c r="O84" s="163"/>
      <c r="P84" s="163"/>
      <c r="Q84" s="163"/>
    </row>
    <row r="85" spans="1:23">
      <c r="A85" s="554" t="s">
        <v>1612</v>
      </c>
      <c r="B85" s="208"/>
      <c r="C85" s="208"/>
      <c r="D85" s="208"/>
      <c r="E85" s="164"/>
      <c r="F85" s="163"/>
      <c r="G85" s="163"/>
      <c r="H85" s="163"/>
      <c r="I85" s="163"/>
      <c r="J85" s="163"/>
      <c r="K85" s="163"/>
      <c r="L85" s="163"/>
      <c r="M85" s="163"/>
      <c r="N85" s="163"/>
      <c r="O85" s="163"/>
      <c r="P85" s="163"/>
      <c r="Q85" s="163"/>
    </row>
    <row r="86" spans="1:23" ht="18.75" outlineLevel="1">
      <c r="A86" s="209"/>
      <c r="B86" s="3518" t="s">
        <v>609</v>
      </c>
      <c r="C86" s="3519"/>
      <c r="D86" s="3528" t="s">
        <v>610</v>
      </c>
      <c r="E86" s="3529"/>
      <c r="F86" s="3530" t="s">
        <v>620</v>
      </c>
      <c r="G86" s="3519"/>
      <c r="H86" s="3518" t="s">
        <v>621</v>
      </c>
      <c r="I86" s="3519"/>
      <c r="J86" s="3519"/>
      <c r="K86" s="3518" t="s">
        <v>622</v>
      </c>
      <c r="L86" s="3519"/>
      <c r="M86" s="3519"/>
      <c r="N86" s="3512" t="s">
        <v>623</v>
      </c>
      <c r="O86" s="3519"/>
      <c r="P86" s="3519"/>
      <c r="Q86" s="3519"/>
      <c r="S86" s="257"/>
      <c r="U86" s="157" t="s">
        <v>1610</v>
      </c>
    </row>
    <row r="87" spans="1:23" outlineLevel="1">
      <c r="A87" s="209"/>
      <c r="B87" s="3513" t="s">
        <v>213</v>
      </c>
      <c r="C87" s="3514"/>
      <c r="D87" s="3525">
        <v>1</v>
      </c>
      <c r="E87" s="3525"/>
      <c r="F87" s="3517">
        <v>100</v>
      </c>
      <c r="G87" s="3517"/>
      <c r="H87" s="3505" t="s">
        <v>213</v>
      </c>
      <c r="I87" s="3505"/>
      <c r="J87" s="3505"/>
      <c r="K87" s="3505" t="s">
        <v>213</v>
      </c>
      <c r="L87" s="3505"/>
      <c r="M87" s="3505"/>
      <c r="N87" s="3505" t="s">
        <v>213</v>
      </c>
      <c r="O87" s="3505"/>
      <c r="P87" s="3505"/>
      <c r="Q87" s="3505"/>
      <c r="V87" s="157" t="s">
        <v>1613</v>
      </c>
      <c r="W87" s="636" t="s">
        <v>1611</v>
      </c>
    </row>
    <row r="88" spans="1:23" outlineLevel="1">
      <c r="A88" s="209"/>
      <c r="B88" s="3515"/>
      <c r="C88" s="3516"/>
      <c r="D88" s="3517" t="s">
        <v>123</v>
      </c>
      <c r="E88" s="3517"/>
      <c r="F88" s="3517">
        <v>100</v>
      </c>
      <c r="G88" s="3517"/>
      <c r="H88" s="3505" t="s">
        <v>213</v>
      </c>
      <c r="I88" s="3505"/>
      <c r="J88" s="3505"/>
      <c r="K88" s="3505" t="s">
        <v>213</v>
      </c>
      <c r="L88" s="3505"/>
      <c r="M88" s="3505"/>
      <c r="N88" s="3505" t="s">
        <v>213</v>
      </c>
      <c r="O88" s="3505"/>
      <c r="P88" s="3505"/>
      <c r="Q88" s="3505"/>
    </row>
    <row r="90" spans="1:23">
      <c r="A90" s="642" t="s">
        <v>1640</v>
      </c>
      <c r="B90" s="644"/>
      <c r="C90" s="196"/>
      <c r="D90" s="196"/>
      <c r="E90" s="164"/>
      <c r="F90" s="164"/>
      <c r="G90" s="164"/>
      <c r="H90" s="164"/>
      <c r="I90" s="164"/>
      <c r="J90" s="164"/>
      <c r="K90" s="164"/>
      <c r="L90" s="164"/>
      <c r="M90" s="164"/>
      <c r="N90" s="164"/>
      <c r="O90" s="164"/>
      <c r="P90" s="163"/>
      <c r="Q90" s="163"/>
      <c r="R90" s="163"/>
    </row>
    <row r="91" spans="1:23">
      <c r="A91" s="554" t="s">
        <v>1614</v>
      </c>
      <c r="B91" s="208"/>
      <c r="C91" s="208"/>
      <c r="D91" s="208"/>
      <c r="E91" s="164"/>
      <c r="F91" s="164"/>
      <c r="G91" s="164"/>
      <c r="H91" s="164"/>
      <c r="I91" s="164"/>
      <c r="J91" s="164"/>
      <c r="K91" s="164"/>
      <c r="L91" s="164"/>
      <c r="M91" s="164"/>
      <c r="N91" s="164"/>
      <c r="O91" s="164"/>
      <c r="P91" s="163"/>
      <c r="Q91" s="163"/>
      <c r="R91" s="163"/>
      <c r="U91" s="157" t="s">
        <v>1609</v>
      </c>
    </row>
    <row r="92" spans="1:23" ht="18.75" outlineLevel="1">
      <c r="A92" s="3518" t="s">
        <v>609</v>
      </c>
      <c r="B92" s="3519"/>
      <c r="C92" s="210" t="s">
        <v>214</v>
      </c>
      <c r="D92" s="3520" t="s">
        <v>215</v>
      </c>
      <c r="E92" s="3519"/>
      <c r="F92" s="3521" t="s">
        <v>624</v>
      </c>
      <c r="G92" s="3522"/>
      <c r="H92" s="3510" t="s">
        <v>625</v>
      </c>
      <c r="I92" s="3512"/>
      <c r="J92" s="3510" t="s">
        <v>626</v>
      </c>
      <c r="K92" s="3512"/>
      <c r="L92" s="3523" t="s">
        <v>627</v>
      </c>
      <c r="M92" s="3524"/>
      <c r="N92" s="3510" t="s">
        <v>628</v>
      </c>
      <c r="O92" s="3511"/>
      <c r="P92" s="3512" t="s">
        <v>1615</v>
      </c>
      <c r="Q92" s="3512"/>
      <c r="R92" s="3512"/>
    </row>
    <row r="93" spans="1:23" outlineLevel="1">
      <c r="A93" s="3505" t="s">
        <v>216</v>
      </c>
      <c r="B93" s="3505"/>
      <c r="C93" s="3517" t="s">
        <v>216</v>
      </c>
      <c r="D93" s="3506" t="s">
        <v>216</v>
      </c>
      <c r="E93" s="3507"/>
      <c r="F93" s="3508" t="s">
        <v>216</v>
      </c>
      <c r="G93" s="3509"/>
      <c r="H93" s="3508" t="s">
        <v>216</v>
      </c>
      <c r="I93" s="3509"/>
      <c r="J93" s="3508" t="s">
        <v>216</v>
      </c>
      <c r="K93" s="3509"/>
      <c r="L93" s="3508" t="s">
        <v>216</v>
      </c>
      <c r="M93" s="3509"/>
      <c r="N93" s="3508" t="s">
        <v>216</v>
      </c>
      <c r="O93" s="3509"/>
      <c r="P93" s="3505" t="s">
        <v>216</v>
      </c>
      <c r="Q93" s="3505"/>
      <c r="R93" s="3505"/>
      <c r="S93" s="257"/>
      <c r="V93" s="157" t="s">
        <v>1613</v>
      </c>
      <c r="W93" s="636" t="s">
        <v>1611</v>
      </c>
    </row>
    <row r="94" spans="1:23" outlineLevel="1">
      <c r="A94" s="3505"/>
      <c r="B94" s="3505"/>
      <c r="C94" s="3517"/>
      <c r="D94" s="3506" t="s">
        <v>216</v>
      </c>
      <c r="E94" s="3507"/>
      <c r="F94" s="3508" t="s">
        <v>216</v>
      </c>
      <c r="G94" s="3509"/>
      <c r="H94" s="3508" t="s">
        <v>216</v>
      </c>
      <c r="I94" s="3509"/>
      <c r="J94" s="3508" t="s">
        <v>216</v>
      </c>
      <c r="K94" s="3509"/>
      <c r="L94" s="3508" t="s">
        <v>216</v>
      </c>
      <c r="M94" s="3509"/>
      <c r="N94" s="3508"/>
      <c r="O94" s="3509"/>
      <c r="P94" s="3505"/>
      <c r="Q94" s="3505"/>
      <c r="R94" s="3505"/>
      <c r="S94" s="257"/>
    </row>
    <row r="95" spans="1:23" outlineLevel="1">
      <c r="A95" s="3505"/>
      <c r="B95" s="3505"/>
      <c r="C95" s="3517" t="s">
        <v>216</v>
      </c>
      <c r="D95" s="3506" t="s">
        <v>216</v>
      </c>
      <c r="E95" s="3507"/>
      <c r="F95" s="3508" t="s">
        <v>216</v>
      </c>
      <c r="G95" s="3509"/>
      <c r="H95" s="3508" t="s">
        <v>216</v>
      </c>
      <c r="I95" s="3509"/>
      <c r="J95" s="3508" t="s">
        <v>216</v>
      </c>
      <c r="K95" s="3509"/>
      <c r="L95" s="3508" t="s">
        <v>216</v>
      </c>
      <c r="M95" s="3509"/>
      <c r="N95" s="3508" t="s">
        <v>216</v>
      </c>
      <c r="O95" s="3509"/>
      <c r="P95" s="3505" t="s">
        <v>216</v>
      </c>
      <c r="Q95" s="3505"/>
      <c r="R95" s="3505"/>
    </row>
    <row r="96" spans="1:23" outlineLevel="1">
      <c r="A96" s="3505"/>
      <c r="B96" s="3505"/>
      <c r="C96" s="3517"/>
      <c r="D96" s="3506" t="s">
        <v>216</v>
      </c>
      <c r="E96" s="3507"/>
      <c r="F96" s="3508" t="s">
        <v>216</v>
      </c>
      <c r="G96" s="3509"/>
      <c r="H96" s="3508" t="s">
        <v>216</v>
      </c>
      <c r="I96" s="3509"/>
      <c r="J96" s="3508" t="s">
        <v>216</v>
      </c>
      <c r="K96" s="3509"/>
      <c r="L96" s="3508" t="s">
        <v>216</v>
      </c>
      <c r="M96" s="3509"/>
      <c r="N96" s="3508"/>
      <c r="O96" s="3509"/>
      <c r="P96" s="3505"/>
      <c r="Q96" s="3505"/>
      <c r="R96" s="3505"/>
    </row>
  </sheetData>
  <mergeCells count="836">
    <mergeCell ref="A20:B28"/>
    <mergeCell ref="C20:C28"/>
    <mergeCell ref="D20:D28"/>
    <mergeCell ref="E20:F22"/>
    <mergeCell ref="G20:H20"/>
    <mergeCell ref="I20:J20"/>
    <mergeCell ref="K20:L20"/>
    <mergeCell ref="A2:C2"/>
    <mergeCell ref="A19:B19"/>
    <mergeCell ref="C19:D19"/>
    <mergeCell ref="E19:F19"/>
    <mergeCell ref="G19:H19"/>
    <mergeCell ref="I19:J19"/>
    <mergeCell ref="G22:H22"/>
    <mergeCell ref="I22:J22"/>
    <mergeCell ref="K22:L22"/>
    <mergeCell ref="M20:N20"/>
    <mergeCell ref="O20:P20"/>
    <mergeCell ref="G21:H21"/>
    <mergeCell ref="I21:J21"/>
    <mergeCell ref="K21:L21"/>
    <mergeCell ref="M21:N21"/>
    <mergeCell ref="O21:P21"/>
    <mergeCell ref="K19:L19"/>
    <mergeCell ref="M19:N19"/>
    <mergeCell ref="O19:P19"/>
    <mergeCell ref="M22:N22"/>
    <mergeCell ref="O22:P22"/>
    <mergeCell ref="S22:T29"/>
    <mergeCell ref="O24:P24"/>
    <mergeCell ref="G25:H25"/>
    <mergeCell ref="I25:J25"/>
    <mergeCell ref="K25:L25"/>
    <mergeCell ref="E26:F28"/>
    <mergeCell ref="G26:H26"/>
    <mergeCell ref="I26:J26"/>
    <mergeCell ref="K26:L26"/>
    <mergeCell ref="M26:N26"/>
    <mergeCell ref="O26:P26"/>
    <mergeCell ref="G27:H27"/>
    <mergeCell ref="I27:J27"/>
    <mergeCell ref="E23:F25"/>
    <mergeCell ref="G23:H23"/>
    <mergeCell ref="I23:J23"/>
    <mergeCell ref="K23:L23"/>
    <mergeCell ref="M23:N23"/>
    <mergeCell ref="O23:P23"/>
    <mergeCell ref="G24:H24"/>
    <mergeCell ref="I24:J24"/>
    <mergeCell ref="K24:L24"/>
    <mergeCell ref="M24:N24"/>
    <mergeCell ref="K27:L27"/>
    <mergeCell ref="M27:N27"/>
    <mergeCell ref="O27:P27"/>
    <mergeCell ref="G28:H28"/>
    <mergeCell ref="I28:J28"/>
    <mergeCell ref="K28:L28"/>
    <mergeCell ref="M28:N28"/>
    <mergeCell ref="O28:P28"/>
    <mergeCell ref="M25:N25"/>
    <mergeCell ref="O25:P25"/>
    <mergeCell ref="K29:L29"/>
    <mergeCell ref="M29:N29"/>
    <mergeCell ref="O29:P29"/>
    <mergeCell ref="G30:H30"/>
    <mergeCell ref="I30:J30"/>
    <mergeCell ref="K30:L30"/>
    <mergeCell ref="M30:N30"/>
    <mergeCell ref="O30:P30"/>
    <mergeCell ref="A29:B31"/>
    <mergeCell ref="C29:C31"/>
    <mergeCell ref="D29:D31"/>
    <mergeCell ref="E29:F30"/>
    <mergeCell ref="G29:H29"/>
    <mergeCell ref="I29:J29"/>
    <mergeCell ref="E31:F31"/>
    <mergeCell ref="G31:H31"/>
    <mergeCell ref="I31:J31"/>
    <mergeCell ref="K31:L31"/>
    <mergeCell ref="M31:N31"/>
    <mergeCell ref="O31:P31"/>
    <mergeCell ref="M34:N34"/>
    <mergeCell ref="O34:P34"/>
    <mergeCell ref="M32:N32"/>
    <mergeCell ref="O32:P32"/>
    <mergeCell ref="G33:H33"/>
    <mergeCell ref="I33:J33"/>
    <mergeCell ref="K33:L33"/>
    <mergeCell ref="M33:N33"/>
    <mergeCell ref="O33:P33"/>
    <mergeCell ref="A37:B37"/>
    <mergeCell ref="C37:D37"/>
    <mergeCell ref="E37:F37"/>
    <mergeCell ref="G37:H37"/>
    <mergeCell ref="I37:J37"/>
    <mergeCell ref="K37:L37"/>
    <mergeCell ref="E34:F34"/>
    <mergeCell ref="G34:H34"/>
    <mergeCell ref="I34:J34"/>
    <mergeCell ref="K34:L34"/>
    <mergeCell ref="A32:B34"/>
    <mergeCell ref="C32:C34"/>
    <mergeCell ref="D32:D34"/>
    <mergeCell ref="E32:F33"/>
    <mergeCell ref="G32:H32"/>
    <mergeCell ref="I32:J32"/>
    <mergeCell ref="K32:L32"/>
    <mergeCell ref="M38:N38"/>
    <mergeCell ref="O38:P38"/>
    <mergeCell ref="Q38:R38"/>
    <mergeCell ref="I39:J39"/>
    <mergeCell ref="K39:L39"/>
    <mergeCell ref="M39:N39"/>
    <mergeCell ref="O39:P39"/>
    <mergeCell ref="Q39:R39"/>
    <mergeCell ref="M37:N37"/>
    <mergeCell ref="O37:P37"/>
    <mergeCell ref="Q37:R37"/>
    <mergeCell ref="I38:J38"/>
    <mergeCell ref="K38:L38"/>
    <mergeCell ref="Q41:R41"/>
    <mergeCell ref="E42:F45"/>
    <mergeCell ref="G42:H43"/>
    <mergeCell ref="I42:J42"/>
    <mergeCell ref="K42:L42"/>
    <mergeCell ref="M42:N42"/>
    <mergeCell ref="O42:P42"/>
    <mergeCell ref="Q42:R42"/>
    <mergeCell ref="I43:J43"/>
    <mergeCell ref="K43:L43"/>
    <mergeCell ref="G40:H41"/>
    <mergeCell ref="I40:J40"/>
    <mergeCell ref="K40:L40"/>
    <mergeCell ref="M40:N40"/>
    <mergeCell ref="O40:P40"/>
    <mergeCell ref="Q40:R40"/>
    <mergeCell ref="I41:J41"/>
    <mergeCell ref="K41:L41"/>
    <mergeCell ref="M41:N41"/>
    <mergeCell ref="O41:P41"/>
    <mergeCell ref="E38:F41"/>
    <mergeCell ref="G38:H39"/>
    <mergeCell ref="M43:N43"/>
    <mergeCell ref="O43:P43"/>
    <mergeCell ref="Q43:R43"/>
    <mergeCell ref="G44:H45"/>
    <mergeCell ref="I44:J44"/>
    <mergeCell ref="K44:L44"/>
    <mergeCell ref="M44:N44"/>
    <mergeCell ref="O44:P44"/>
    <mergeCell ref="Q44:R44"/>
    <mergeCell ref="I45:J45"/>
    <mergeCell ref="Q46:R46"/>
    <mergeCell ref="I47:J47"/>
    <mergeCell ref="K47:L47"/>
    <mergeCell ref="M47:N47"/>
    <mergeCell ref="O47:P47"/>
    <mergeCell ref="Q47:R47"/>
    <mergeCell ref="K45:L45"/>
    <mergeCell ref="M45:N45"/>
    <mergeCell ref="O45:P45"/>
    <mergeCell ref="Q45:R45"/>
    <mergeCell ref="I46:J46"/>
    <mergeCell ref="K46:L46"/>
    <mergeCell ref="M46:N46"/>
    <mergeCell ref="O46:P46"/>
    <mergeCell ref="K48:L48"/>
    <mergeCell ref="M48:N48"/>
    <mergeCell ref="O48:P48"/>
    <mergeCell ref="Q48:R48"/>
    <mergeCell ref="I49:J49"/>
    <mergeCell ref="K49:L49"/>
    <mergeCell ref="M49:N49"/>
    <mergeCell ref="O49:P49"/>
    <mergeCell ref="Q49:R49"/>
    <mergeCell ref="G48:H49"/>
    <mergeCell ref="A54:B71"/>
    <mergeCell ref="C54:C62"/>
    <mergeCell ref="D54:D62"/>
    <mergeCell ref="E54:F56"/>
    <mergeCell ref="G54:H54"/>
    <mergeCell ref="I54:J54"/>
    <mergeCell ref="G56:H56"/>
    <mergeCell ref="A53:B53"/>
    <mergeCell ref="C53:D53"/>
    <mergeCell ref="E53:F53"/>
    <mergeCell ref="G53:H53"/>
    <mergeCell ref="I53:J53"/>
    <mergeCell ref="I48:J48"/>
    <mergeCell ref="E46:F49"/>
    <mergeCell ref="G46:H47"/>
    <mergeCell ref="A38:B49"/>
    <mergeCell ref="C38:C49"/>
    <mergeCell ref="D38:D49"/>
    <mergeCell ref="C63:C65"/>
    <mergeCell ref="D63:D65"/>
    <mergeCell ref="E63:F64"/>
    <mergeCell ref="G63:H63"/>
    <mergeCell ref="I63:J63"/>
    <mergeCell ref="K54:L54"/>
    <mergeCell ref="M54:N54"/>
    <mergeCell ref="O54:P54"/>
    <mergeCell ref="G55:H55"/>
    <mergeCell ref="I55:J55"/>
    <mergeCell ref="K55:L55"/>
    <mergeCell ref="M55:N55"/>
    <mergeCell ref="M53:N53"/>
    <mergeCell ref="O53:P53"/>
    <mergeCell ref="K53:L53"/>
    <mergeCell ref="O55:P55"/>
    <mergeCell ref="K56:L56"/>
    <mergeCell ref="M56:N56"/>
    <mergeCell ref="O56:P56"/>
    <mergeCell ref="E57:F59"/>
    <mergeCell ref="G57:H57"/>
    <mergeCell ref="I57:J57"/>
    <mergeCell ref="K57:L57"/>
    <mergeCell ref="M57:N57"/>
    <mergeCell ref="O57:P57"/>
    <mergeCell ref="I56:J56"/>
    <mergeCell ref="I58:J58"/>
    <mergeCell ref="G58:H58"/>
    <mergeCell ref="K58:L58"/>
    <mergeCell ref="M58:N58"/>
    <mergeCell ref="O58:P58"/>
    <mergeCell ref="G59:H59"/>
    <mergeCell ref="I59:J59"/>
    <mergeCell ref="K59:L59"/>
    <mergeCell ref="M59:N59"/>
    <mergeCell ref="O59:P59"/>
    <mergeCell ref="E60:F62"/>
    <mergeCell ref="K63:L63"/>
    <mergeCell ref="M63:N63"/>
    <mergeCell ref="O63:P63"/>
    <mergeCell ref="G64:H64"/>
    <mergeCell ref="I64:J64"/>
    <mergeCell ref="K64:L64"/>
    <mergeCell ref="M64:N64"/>
    <mergeCell ref="O64:P64"/>
    <mergeCell ref="G62:H62"/>
    <mergeCell ref="I62:J62"/>
    <mergeCell ref="K62:L62"/>
    <mergeCell ref="M62:N62"/>
    <mergeCell ref="O62:P62"/>
    <mergeCell ref="O60:P60"/>
    <mergeCell ref="G61:H61"/>
    <mergeCell ref="I61:J61"/>
    <mergeCell ref="K61:L61"/>
    <mergeCell ref="M61:N61"/>
    <mergeCell ref="O61:P61"/>
    <mergeCell ref="G60:H60"/>
    <mergeCell ref="I60:J60"/>
    <mergeCell ref="K60:L60"/>
    <mergeCell ref="M60:N60"/>
    <mergeCell ref="G68:H68"/>
    <mergeCell ref="I68:J68"/>
    <mergeCell ref="K68:L68"/>
    <mergeCell ref="E65:F65"/>
    <mergeCell ref="G65:H65"/>
    <mergeCell ref="I65:J65"/>
    <mergeCell ref="K65:L65"/>
    <mergeCell ref="M65:N65"/>
    <mergeCell ref="O65:P65"/>
    <mergeCell ref="M68:N68"/>
    <mergeCell ref="O68:P68"/>
    <mergeCell ref="C69:C71"/>
    <mergeCell ref="D69:D71"/>
    <mergeCell ref="E69:F70"/>
    <mergeCell ref="G69:H69"/>
    <mergeCell ref="I69:J69"/>
    <mergeCell ref="K69:L69"/>
    <mergeCell ref="M69:N69"/>
    <mergeCell ref="O69:P69"/>
    <mergeCell ref="C66:C68"/>
    <mergeCell ref="M66:N66"/>
    <mergeCell ref="O66:P66"/>
    <mergeCell ref="G67:H67"/>
    <mergeCell ref="I67:J67"/>
    <mergeCell ref="K67:L67"/>
    <mergeCell ref="M67:N67"/>
    <mergeCell ref="O67:P67"/>
    <mergeCell ref="D66:D68"/>
    <mergeCell ref="E66:F67"/>
    <mergeCell ref="G66:H66"/>
    <mergeCell ref="I66:J66"/>
    <mergeCell ref="K66:L66"/>
    <mergeCell ref="E68:F68"/>
    <mergeCell ref="G70:H70"/>
    <mergeCell ref="I70:J70"/>
    <mergeCell ref="K70:L70"/>
    <mergeCell ref="M70:N70"/>
    <mergeCell ref="O70:P70"/>
    <mergeCell ref="E71:F71"/>
    <mergeCell ref="G71:H71"/>
    <mergeCell ref="I71:J71"/>
    <mergeCell ref="K71:L71"/>
    <mergeCell ref="M71:N71"/>
    <mergeCell ref="O71:P71"/>
    <mergeCell ref="A78:F78"/>
    <mergeCell ref="A80:B80"/>
    <mergeCell ref="C80:D80"/>
    <mergeCell ref="E80:F80"/>
    <mergeCell ref="G80:H80"/>
    <mergeCell ref="I80:J80"/>
    <mergeCell ref="K80:L80"/>
    <mergeCell ref="M80:N80"/>
    <mergeCell ref="O80:P80"/>
    <mergeCell ref="Q80:R80"/>
    <mergeCell ref="A81:B82"/>
    <mergeCell ref="C81:D81"/>
    <mergeCell ref="E81:F81"/>
    <mergeCell ref="G81:H81"/>
    <mergeCell ref="I81:J81"/>
    <mergeCell ref="K81:L81"/>
    <mergeCell ref="M81:N81"/>
    <mergeCell ref="O81:P81"/>
    <mergeCell ref="Q81:R81"/>
    <mergeCell ref="K88:M88"/>
    <mergeCell ref="N88:Q88"/>
    <mergeCell ref="O82:P82"/>
    <mergeCell ref="Q82:R82"/>
    <mergeCell ref="B86:C86"/>
    <mergeCell ref="D86:E86"/>
    <mergeCell ref="F86:G86"/>
    <mergeCell ref="H86:J86"/>
    <mergeCell ref="K86:M86"/>
    <mergeCell ref="N86:Q86"/>
    <mergeCell ref="C82:D82"/>
    <mergeCell ref="E82:F82"/>
    <mergeCell ref="G82:H82"/>
    <mergeCell ref="I82:J82"/>
    <mergeCell ref="K82:L82"/>
    <mergeCell ref="M82:N82"/>
    <mergeCell ref="N92:O92"/>
    <mergeCell ref="P92:R92"/>
    <mergeCell ref="B87:C88"/>
    <mergeCell ref="A93:B96"/>
    <mergeCell ref="C93:C94"/>
    <mergeCell ref="D93:E93"/>
    <mergeCell ref="F93:G93"/>
    <mergeCell ref="H93:I93"/>
    <mergeCell ref="J93:K93"/>
    <mergeCell ref="C95:C96"/>
    <mergeCell ref="A92:B92"/>
    <mergeCell ref="D92:E92"/>
    <mergeCell ref="F92:G92"/>
    <mergeCell ref="H92:I92"/>
    <mergeCell ref="J92:K92"/>
    <mergeCell ref="L92:M92"/>
    <mergeCell ref="D87:E87"/>
    <mergeCell ref="F87:G87"/>
    <mergeCell ref="H87:J87"/>
    <mergeCell ref="K87:M87"/>
    <mergeCell ref="N87:Q87"/>
    <mergeCell ref="D88:E88"/>
    <mergeCell ref="F88:G88"/>
    <mergeCell ref="H88:J88"/>
    <mergeCell ref="P95:R96"/>
    <mergeCell ref="D95:E95"/>
    <mergeCell ref="F95:G95"/>
    <mergeCell ref="H95:I95"/>
    <mergeCell ref="L93:M93"/>
    <mergeCell ref="N93:O93"/>
    <mergeCell ref="P93:R94"/>
    <mergeCell ref="D94:E94"/>
    <mergeCell ref="F94:G94"/>
    <mergeCell ref="H94:I94"/>
    <mergeCell ref="J94:K94"/>
    <mergeCell ref="D96:E96"/>
    <mergeCell ref="F96:G96"/>
    <mergeCell ref="H96:I96"/>
    <mergeCell ref="J96:K96"/>
    <mergeCell ref="L96:M96"/>
    <mergeCell ref="N96:O96"/>
    <mergeCell ref="L94:M94"/>
    <mergeCell ref="N94:O94"/>
    <mergeCell ref="J95:K95"/>
    <mergeCell ref="L95:M95"/>
    <mergeCell ref="N95:O95"/>
    <mergeCell ref="Z57:AB59"/>
    <mergeCell ref="AC57:AE57"/>
    <mergeCell ref="AF57:AH57"/>
    <mergeCell ref="AI57:AK57"/>
    <mergeCell ref="AC58:AE58"/>
    <mergeCell ref="AF58:AH58"/>
    <mergeCell ref="AI53:AK53"/>
    <mergeCell ref="T54:U74"/>
    <mergeCell ref="V54:W62"/>
    <mergeCell ref="X54:Y62"/>
    <mergeCell ref="Z54:AB56"/>
    <mergeCell ref="AC54:AE54"/>
    <mergeCell ref="AF54:AH54"/>
    <mergeCell ref="AI54:AK54"/>
    <mergeCell ref="AC55:AE55"/>
    <mergeCell ref="AF55:AH55"/>
    <mergeCell ref="T53:U53"/>
    <mergeCell ref="V53:W53"/>
    <mergeCell ref="X53:Y53"/>
    <mergeCell ref="Z53:AB53"/>
    <mergeCell ref="AC53:AE53"/>
    <mergeCell ref="AF53:AH53"/>
    <mergeCell ref="Z65:AB65"/>
    <mergeCell ref="AC65:AE65"/>
    <mergeCell ref="AC62:AE62"/>
    <mergeCell ref="AF62:AH62"/>
    <mergeCell ref="AI62:AK62"/>
    <mergeCell ref="V63:W65"/>
    <mergeCell ref="X63:Y65"/>
    <mergeCell ref="Z63:AB64"/>
    <mergeCell ref="AC63:AE63"/>
    <mergeCell ref="AF63:AH63"/>
    <mergeCell ref="AI63:AK63"/>
    <mergeCell ref="Z60:AB62"/>
    <mergeCell ref="AC60:AE60"/>
    <mergeCell ref="AF60:AH60"/>
    <mergeCell ref="AI60:AK60"/>
    <mergeCell ref="AC61:AE61"/>
    <mergeCell ref="AF61:AH61"/>
    <mergeCell ref="AC64:AE64"/>
    <mergeCell ref="Z71:AB71"/>
    <mergeCell ref="AC71:AE71"/>
    <mergeCell ref="AF71:AH71"/>
    <mergeCell ref="AI71:AK71"/>
    <mergeCell ref="AC68:AE68"/>
    <mergeCell ref="AF68:AH68"/>
    <mergeCell ref="AI68:AK68"/>
    <mergeCell ref="V69:W71"/>
    <mergeCell ref="X69:Y71"/>
    <mergeCell ref="Z69:AB70"/>
    <mergeCell ref="AC69:AE69"/>
    <mergeCell ref="AF69:AH69"/>
    <mergeCell ref="AI69:AK69"/>
    <mergeCell ref="AC70:AE70"/>
    <mergeCell ref="V66:W68"/>
    <mergeCell ref="X66:Y68"/>
    <mergeCell ref="Z66:AB67"/>
    <mergeCell ref="AC66:AE66"/>
    <mergeCell ref="AF66:AH66"/>
    <mergeCell ref="AI66:AK66"/>
    <mergeCell ref="AC67:AE67"/>
    <mergeCell ref="AF67:AH67"/>
    <mergeCell ref="AI67:AK67"/>
    <mergeCell ref="Z68:AB68"/>
    <mergeCell ref="V72:W74"/>
    <mergeCell ref="X72:Y74"/>
    <mergeCell ref="Z72:AB73"/>
    <mergeCell ref="AC72:AE72"/>
    <mergeCell ref="AF72:AH72"/>
    <mergeCell ref="AI72:AK72"/>
    <mergeCell ref="AC73:AE73"/>
    <mergeCell ref="AF73:AH73"/>
    <mergeCell ref="AI73:AK73"/>
    <mergeCell ref="Z74:AB74"/>
    <mergeCell ref="AC74:AE74"/>
    <mergeCell ref="AF74:AH74"/>
    <mergeCell ref="AI74:AK74"/>
    <mergeCell ref="AM63:AN65"/>
    <mergeCell ref="AF70:AH70"/>
    <mergeCell ref="AI70:AK70"/>
    <mergeCell ref="AF64:AH64"/>
    <mergeCell ref="AI64:AK64"/>
    <mergeCell ref="AI58:AK58"/>
    <mergeCell ref="AM66:AN68"/>
    <mergeCell ref="AO66:AO68"/>
    <mergeCell ref="AP66:AP68"/>
    <mergeCell ref="AF65:AH65"/>
    <mergeCell ref="AI65:AK65"/>
    <mergeCell ref="AI61:AK61"/>
    <mergeCell ref="AC59:AE59"/>
    <mergeCell ref="AF59:AH59"/>
    <mergeCell ref="AI59:AK59"/>
    <mergeCell ref="AI55:AK55"/>
    <mergeCell ref="AC56:AE56"/>
    <mergeCell ref="AF56:AH56"/>
    <mergeCell ref="AI56:AK56"/>
    <mergeCell ref="AV53:AX53"/>
    <mergeCell ref="AY53:BA53"/>
    <mergeCell ref="AV59:AX59"/>
    <mergeCell ref="AY59:BA59"/>
    <mergeCell ref="AM53:AN53"/>
    <mergeCell ref="AQ53:AR53"/>
    <mergeCell ref="AS53:AU53"/>
    <mergeCell ref="AQ57:AR59"/>
    <mergeCell ref="AS57:AU57"/>
    <mergeCell ref="AS59:AU59"/>
    <mergeCell ref="BB53:BD53"/>
    <mergeCell ref="AM54:AN62"/>
    <mergeCell ref="AO54:AO62"/>
    <mergeCell ref="AP54:AP62"/>
    <mergeCell ref="AQ54:AR56"/>
    <mergeCell ref="AS54:AU54"/>
    <mergeCell ref="AV54:AX54"/>
    <mergeCell ref="AY54:BA54"/>
    <mergeCell ref="AV57:AX57"/>
    <mergeCell ref="AY57:BA57"/>
    <mergeCell ref="BB57:BD57"/>
    <mergeCell ref="AS58:AU58"/>
    <mergeCell ref="AV58:AX58"/>
    <mergeCell ref="AY58:BA58"/>
    <mergeCell ref="BB58:BD58"/>
    <mergeCell ref="BB54:BD54"/>
    <mergeCell ref="AS55:AU55"/>
    <mergeCell ref="AV55:AX55"/>
    <mergeCell ref="AY55:BA55"/>
    <mergeCell ref="BB55:BD55"/>
    <mergeCell ref="AS56:AU56"/>
    <mergeCell ref="AV56:AX56"/>
    <mergeCell ref="AY56:BA56"/>
    <mergeCell ref="BB56:BD56"/>
    <mergeCell ref="BB59:BD59"/>
    <mergeCell ref="AQ60:AR62"/>
    <mergeCell ref="AS60:AU60"/>
    <mergeCell ref="AV60:AX60"/>
    <mergeCell ref="AY60:BA60"/>
    <mergeCell ref="BB60:BD60"/>
    <mergeCell ref="AS61:AU61"/>
    <mergeCell ref="AV61:AX61"/>
    <mergeCell ref="AO63:AO65"/>
    <mergeCell ref="AP63:AP65"/>
    <mergeCell ref="AQ63:AR64"/>
    <mergeCell ref="AS63:AU63"/>
    <mergeCell ref="AV63:AX63"/>
    <mergeCell ref="AY63:BA63"/>
    <mergeCell ref="AY61:BA61"/>
    <mergeCell ref="BB61:BD61"/>
    <mergeCell ref="AS62:AU62"/>
    <mergeCell ref="AV62:AX62"/>
    <mergeCell ref="AY62:BA62"/>
    <mergeCell ref="BB62:BD62"/>
    <mergeCell ref="BB63:BD63"/>
    <mergeCell ref="AS64:AU64"/>
    <mergeCell ref="AV64:AX64"/>
    <mergeCell ref="AY64:BA64"/>
    <mergeCell ref="BB64:BD64"/>
    <mergeCell ref="AQ65:AR65"/>
    <mergeCell ref="AS65:AU65"/>
    <mergeCell ref="AV65:AX65"/>
    <mergeCell ref="AY65:BA65"/>
    <mergeCell ref="BB65:BD65"/>
    <mergeCell ref="AY66:BA66"/>
    <mergeCell ref="BB66:BD66"/>
    <mergeCell ref="AS67:AU67"/>
    <mergeCell ref="AV67:AX67"/>
    <mergeCell ref="AY67:BA67"/>
    <mergeCell ref="BB67:BD67"/>
    <mergeCell ref="AQ66:AR67"/>
    <mergeCell ref="AS66:AU66"/>
    <mergeCell ref="AV66:AX66"/>
    <mergeCell ref="AV68:AX68"/>
    <mergeCell ref="AY68:BA68"/>
    <mergeCell ref="BB68:BD68"/>
    <mergeCell ref="AM69:AN71"/>
    <mergeCell ref="AO69:AO71"/>
    <mergeCell ref="AP69:AP71"/>
    <mergeCell ref="AQ69:AR70"/>
    <mergeCell ref="AS69:AU69"/>
    <mergeCell ref="AV69:AX69"/>
    <mergeCell ref="AY69:BA69"/>
    <mergeCell ref="BB69:BD69"/>
    <mergeCell ref="AS70:AU70"/>
    <mergeCell ref="AV70:AX70"/>
    <mergeCell ref="AY70:BA70"/>
    <mergeCell ref="BB70:BD70"/>
    <mergeCell ref="AQ71:AR71"/>
    <mergeCell ref="AS71:AU71"/>
    <mergeCell ref="AV71:AX71"/>
    <mergeCell ref="AY71:BA71"/>
    <mergeCell ref="BB71:BD71"/>
    <mergeCell ref="AQ68:AR68"/>
    <mergeCell ref="AS68:AU68"/>
    <mergeCell ref="AY72:BA72"/>
    <mergeCell ref="BB72:BD72"/>
    <mergeCell ref="AS73:AU73"/>
    <mergeCell ref="AV73:AX73"/>
    <mergeCell ref="AY73:BA73"/>
    <mergeCell ref="BB73:BD73"/>
    <mergeCell ref="AM72:AN74"/>
    <mergeCell ref="AO72:AO74"/>
    <mergeCell ref="AP72:AP74"/>
    <mergeCell ref="AQ72:AR73"/>
    <mergeCell ref="AS72:AU72"/>
    <mergeCell ref="AV72:AX72"/>
    <mergeCell ref="AQ74:AR74"/>
    <mergeCell ref="AS74:AU74"/>
    <mergeCell ref="AV74:AX74"/>
    <mergeCell ref="AY74:BA74"/>
    <mergeCell ref="BB74:BD74"/>
    <mergeCell ref="AM75:AN77"/>
    <mergeCell ref="AO75:AO77"/>
    <mergeCell ref="AP75:AP77"/>
    <mergeCell ref="AQ75:AR76"/>
    <mergeCell ref="AS75:AU75"/>
    <mergeCell ref="AV75:AX75"/>
    <mergeCell ref="AY75:BA75"/>
    <mergeCell ref="BB75:BD75"/>
    <mergeCell ref="AS76:AU76"/>
    <mergeCell ref="AV76:AX76"/>
    <mergeCell ref="AY76:BA76"/>
    <mergeCell ref="BB76:BD76"/>
    <mergeCell ref="AQ77:AR77"/>
    <mergeCell ref="AS77:AU77"/>
    <mergeCell ref="AV77:AX77"/>
    <mergeCell ref="AY77:BA77"/>
    <mergeCell ref="BB77:BD77"/>
    <mergeCell ref="AA23:AC25"/>
    <mergeCell ref="AD23:AF23"/>
    <mergeCell ref="AG23:AI23"/>
    <mergeCell ref="AJ23:AL23"/>
    <mergeCell ref="AD24:AF24"/>
    <mergeCell ref="AG24:AI24"/>
    <mergeCell ref="AJ19:AL19"/>
    <mergeCell ref="U20:V28"/>
    <mergeCell ref="W20:X28"/>
    <mergeCell ref="Y20:Z28"/>
    <mergeCell ref="AA20:AC22"/>
    <mergeCell ref="AD20:AF20"/>
    <mergeCell ref="AG20:AI20"/>
    <mergeCell ref="AJ20:AL20"/>
    <mergeCell ref="AD21:AF21"/>
    <mergeCell ref="AG21:AI21"/>
    <mergeCell ref="U19:V19"/>
    <mergeCell ref="W19:X19"/>
    <mergeCell ref="Y19:Z19"/>
    <mergeCell ref="AA19:AC19"/>
    <mergeCell ref="AD19:AF19"/>
    <mergeCell ref="AG19:AI19"/>
    <mergeCell ref="AA31:AC31"/>
    <mergeCell ref="AD31:AF31"/>
    <mergeCell ref="AG31:AI31"/>
    <mergeCell ref="AJ31:AL31"/>
    <mergeCell ref="AJ27:AL27"/>
    <mergeCell ref="AD28:AF28"/>
    <mergeCell ref="AG28:AI28"/>
    <mergeCell ref="AJ28:AL28"/>
    <mergeCell ref="U29:V31"/>
    <mergeCell ref="W29:X31"/>
    <mergeCell ref="Y29:Z31"/>
    <mergeCell ref="AA29:AC30"/>
    <mergeCell ref="AD29:AF29"/>
    <mergeCell ref="AG29:AI29"/>
    <mergeCell ref="AA26:AC28"/>
    <mergeCell ref="AD26:AF26"/>
    <mergeCell ref="AG26:AI26"/>
    <mergeCell ref="AJ26:AL26"/>
    <mergeCell ref="AD27:AF27"/>
    <mergeCell ref="AG27:AI27"/>
    <mergeCell ref="AA34:AC34"/>
    <mergeCell ref="AD34:AF34"/>
    <mergeCell ref="AG34:AI34"/>
    <mergeCell ref="AJ34:AL34"/>
    <mergeCell ref="U32:V34"/>
    <mergeCell ref="W32:X34"/>
    <mergeCell ref="Y32:Z34"/>
    <mergeCell ref="AA32:AC33"/>
    <mergeCell ref="AD32:AF32"/>
    <mergeCell ref="AG32:AI32"/>
    <mergeCell ref="AN19:AO19"/>
    <mergeCell ref="AR19:AS19"/>
    <mergeCell ref="AT19:AV19"/>
    <mergeCell ref="AW19:AY19"/>
    <mergeCell ref="AZ19:BB19"/>
    <mergeCell ref="BC19:BE19"/>
    <mergeCell ref="AJ32:AL32"/>
    <mergeCell ref="AD33:AF33"/>
    <mergeCell ref="AG33:AI33"/>
    <mergeCell ref="AJ33:AL33"/>
    <mergeCell ref="AJ29:AL29"/>
    <mergeCell ref="AD30:AF30"/>
    <mergeCell ref="AG30:AI30"/>
    <mergeCell ref="AJ30:AL30"/>
    <mergeCell ref="AJ24:AL24"/>
    <mergeCell ref="AD25:AF25"/>
    <mergeCell ref="AG25:AI25"/>
    <mergeCell ref="AJ25:AL25"/>
    <mergeCell ref="AJ21:AL21"/>
    <mergeCell ref="AD22:AF22"/>
    <mergeCell ref="AG22:AI22"/>
    <mergeCell ref="AJ22:AL22"/>
    <mergeCell ref="AZ20:BB20"/>
    <mergeCell ref="BC20:BE20"/>
    <mergeCell ref="AT21:AV21"/>
    <mergeCell ref="AW21:AY21"/>
    <mergeCell ref="AZ21:BB21"/>
    <mergeCell ref="BC21:BE21"/>
    <mergeCell ref="AN20:AO28"/>
    <mergeCell ref="AP20:AP28"/>
    <mergeCell ref="AQ20:AQ28"/>
    <mergeCell ref="AR20:AS22"/>
    <mergeCell ref="AT20:AV20"/>
    <mergeCell ref="AW20:AY20"/>
    <mergeCell ref="AT22:AV22"/>
    <mergeCell ref="AW22:AY22"/>
    <mergeCell ref="AT27:AV27"/>
    <mergeCell ref="AW27:AY27"/>
    <mergeCell ref="AR26:AS28"/>
    <mergeCell ref="AT26:AV26"/>
    <mergeCell ref="AW26:AY26"/>
    <mergeCell ref="AZ26:BB26"/>
    <mergeCell ref="BC26:BE26"/>
    <mergeCell ref="AZ22:BB22"/>
    <mergeCell ref="BC22:BE22"/>
    <mergeCell ref="AR23:AS25"/>
    <mergeCell ref="AT23:AV23"/>
    <mergeCell ref="AW23:AY23"/>
    <mergeCell ref="AZ23:BB23"/>
    <mergeCell ref="BC23:BE23"/>
    <mergeCell ref="AT24:AV24"/>
    <mergeCell ref="AW24:AY24"/>
    <mergeCell ref="AZ24:BB24"/>
    <mergeCell ref="AZ27:BB27"/>
    <mergeCell ref="BC27:BE27"/>
    <mergeCell ref="AT28:AV28"/>
    <mergeCell ref="AW28:AY28"/>
    <mergeCell ref="AZ28:BB28"/>
    <mergeCell ref="BC28:BE28"/>
    <mergeCell ref="BC24:BE24"/>
    <mergeCell ref="AT25:AV25"/>
    <mergeCell ref="AW25:AY25"/>
    <mergeCell ref="AZ25:BB25"/>
    <mergeCell ref="BC25:BE25"/>
    <mergeCell ref="AZ29:BB29"/>
    <mergeCell ref="BC29:BE29"/>
    <mergeCell ref="AT30:AV30"/>
    <mergeCell ref="AW30:AY30"/>
    <mergeCell ref="AZ30:BB30"/>
    <mergeCell ref="BC30:BE30"/>
    <mergeCell ref="AN29:AO31"/>
    <mergeCell ref="AP29:AP31"/>
    <mergeCell ref="AQ29:AQ31"/>
    <mergeCell ref="AR29:AS30"/>
    <mergeCell ref="AT29:AV29"/>
    <mergeCell ref="AW29:AY29"/>
    <mergeCell ref="AR31:AS31"/>
    <mergeCell ref="AT31:AV31"/>
    <mergeCell ref="AW31:AY31"/>
    <mergeCell ref="AZ31:BB31"/>
    <mergeCell ref="BC31:BE31"/>
    <mergeCell ref="AN32:AO34"/>
    <mergeCell ref="AP32:AP34"/>
    <mergeCell ref="AQ32:AQ34"/>
    <mergeCell ref="AR32:AS33"/>
    <mergeCell ref="AT32:AV32"/>
    <mergeCell ref="AW32:AY32"/>
    <mergeCell ref="AZ32:BB32"/>
    <mergeCell ref="BC32:BE32"/>
    <mergeCell ref="AT33:AV33"/>
    <mergeCell ref="AW33:AY33"/>
    <mergeCell ref="AZ33:BB33"/>
    <mergeCell ref="BC33:BE33"/>
    <mergeCell ref="AR34:AS34"/>
    <mergeCell ref="AT34:AV34"/>
    <mergeCell ref="AW34:AY34"/>
    <mergeCell ref="AZ34:BB34"/>
    <mergeCell ref="BC34:BE34"/>
    <mergeCell ref="AA37:AC37"/>
    <mergeCell ref="AF37:AH37"/>
    <mergeCell ref="U39:Z41"/>
    <mergeCell ref="AA39:AD39"/>
    <mergeCell ref="AE39:AH39"/>
    <mergeCell ref="AI39:AL39"/>
    <mergeCell ref="AA40:AL40"/>
    <mergeCell ref="AA41:AB41"/>
    <mergeCell ref="AC41:AD41"/>
    <mergeCell ref="AE41:AF41"/>
    <mergeCell ref="AG41:AH41"/>
    <mergeCell ref="AI41:AJ41"/>
    <mergeCell ref="AK41:AL41"/>
    <mergeCell ref="U42:Z42"/>
    <mergeCell ref="AA42:AB42"/>
    <mergeCell ref="AC42:AD42"/>
    <mergeCell ref="AE42:AF42"/>
    <mergeCell ref="AG42:AH42"/>
    <mergeCell ref="AI42:AJ42"/>
    <mergeCell ref="AK42:AL42"/>
    <mergeCell ref="U45:Z45"/>
    <mergeCell ref="AA45:AB45"/>
    <mergeCell ref="AC45:AD45"/>
    <mergeCell ref="AE45:AF45"/>
    <mergeCell ref="AG45:AH45"/>
    <mergeCell ref="AI45:AJ45"/>
    <mergeCell ref="AK43:AL43"/>
    <mergeCell ref="U44:Z44"/>
    <mergeCell ref="AA44:AB44"/>
    <mergeCell ref="AC44:AD44"/>
    <mergeCell ref="AE44:AF44"/>
    <mergeCell ref="AG44:AH44"/>
    <mergeCell ref="AI44:AJ44"/>
    <mergeCell ref="AK44:AL44"/>
    <mergeCell ref="U43:Z43"/>
    <mergeCell ref="AA43:AB43"/>
    <mergeCell ref="AC43:AD43"/>
    <mergeCell ref="AE43:AF43"/>
    <mergeCell ref="AG43:AH43"/>
    <mergeCell ref="AI43:AJ43"/>
    <mergeCell ref="AT37:AV37"/>
    <mergeCell ref="AY37:BA37"/>
    <mergeCell ref="AN39:AS41"/>
    <mergeCell ref="AT39:AW39"/>
    <mergeCell ref="AX39:BA39"/>
    <mergeCell ref="AN42:AS42"/>
    <mergeCell ref="AT42:AU42"/>
    <mergeCell ref="AV42:AW42"/>
    <mergeCell ref="AX42:AY42"/>
    <mergeCell ref="BB39:BE39"/>
    <mergeCell ref="AT40:BE40"/>
    <mergeCell ref="AT41:AU41"/>
    <mergeCell ref="AV41:AW41"/>
    <mergeCell ref="AX41:AY41"/>
    <mergeCell ref="AZ41:BA41"/>
    <mergeCell ref="BB41:BC41"/>
    <mergeCell ref="BD41:BE41"/>
    <mergeCell ref="AK45:AL45"/>
    <mergeCell ref="AZ42:BA42"/>
    <mergeCell ref="BB42:BC42"/>
    <mergeCell ref="BD42:BE42"/>
    <mergeCell ref="AN43:AS43"/>
    <mergeCell ref="AT43:AU43"/>
    <mergeCell ref="AV43:AW43"/>
    <mergeCell ref="AX43:AY43"/>
    <mergeCell ref="AZ43:BA43"/>
    <mergeCell ref="BB43:BC43"/>
    <mergeCell ref="BD43:BE43"/>
    <mergeCell ref="BD44:BE44"/>
    <mergeCell ref="AN45:AS45"/>
    <mergeCell ref="AT45:AU45"/>
    <mergeCell ref="AV45:AW45"/>
    <mergeCell ref="AX45:AY45"/>
    <mergeCell ref="AZ45:BA45"/>
    <mergeCell ref="BB45:BC45"/>
    <mergeCell ref="BD45:BE45"/>
    <mergeCell ref="AN44:AS44"/>
    <mergeCell ref="AT44:AU44"/>
    <mergeCell ref="AV44:AW44"/>
    <mergeCell ref="AX44:AY44"/>
    <mergeCell ref="AZ44:BA44"/>
    <mergeCell ref="BB44:BC44"/>
  </mergeCells>
  <phoneticPr fontId="31" type="noConversion"/>
  <pageMargins left="0.75" right="0.75" top="1" bottom="1" header="0.5" footer="0.5"/>
  <drawing r:id="rId1"/>
  <legacyDrawing r:id="rId2"/>
  <oleObjects>
    <oleObject progId="Equation.3" shapeId="28673" r:id="rId3"/>
    <oleObject progId="Equation.3" shapeId="28674" r:id="rId4"/>
    <oleObject progId="Equation.3" shapeId="28675" r:id="rId5"/>
    <oleObject progId="Equation.3" shapeId="28676" r:id="rId6"/>
    <oleObject progId="Equation.3" shapeId="28677" r:id="rId7"/>
    <oleObject progId="Equation.3" shapeId="28678" r:id="rId8"/>
    <oleObject progId="Equation.3" shapeId="28679" r:id="rId9"/>
    <oleObject progId="Equation.3" shapeId="28680" r:id="rId10"/>
    <oleObject progId="Equation.3" shapeId="29175" r:id="rId11"/>
    <oleObject progId="Equation.3" shapeId="29187" r:id="rId12"/>
    <oleObject progId="Equation.3" shapeId="29188" r:id="rId13"/>
    <oleObject progId="Equation.3" shapeId="80494" r:id="rId14"/>
    <oleObject progId="Equation.3" shapeId="80498" r:id="rId15"/>
    <oleObject progId="Equation.3" shapeId="80499" r:id="rId16"/>
    <oleObject progId="Equation.3" shapeId="80500" r:id="rId17"/>
    <oleObject progId="Equation.3" shapeId="80501" r:id="rId18"/>
    <oleObject progId="Equation.3" shapeId="80515" r:id="rId19"/>
    <oleObject progId="Equation.3" shapeId="80521" r:id="rId20"/>
  </oleObjects>
</worksheet>
</file>

<file path=xl/worksheets/sheet66.xml><?xml version="1.0" encoding="utf-8"?>
<worksheet xmlns="http://schemas.openxmlformats.org/spreadsheetml/2006/main" xmlns:r="http://schemas.openxmlformats.org/officeDocument/2006/relationships">
  <sheetPr>
    <tabColor rgb="FFC00000"/>
  </sheetPr>
  <dimension ref="A1:BT309"/>
  <sheetViews>
    <sheetView topLeftCell="A49" workbookViewId="0"/>
  </sheetViews>
  <sheetFormatPr defaultRowHeight="14.25" outlineLevelRow="2"/>
  <cols>
    <col min="1" max="1" width="22.5" customWidth="1"/>
    <col min="2" max="2" width="29" customWidth="1"/>
    <col min="3" max="3" width="9" customWidth="1"/>
    <col min="4" max="4" width="17.375" customWidth="1"/>
    <col min="5" max="5" width="18.75" customWidth="1"/>
    <col min="6" max="6" width="9.375" customWidth="1"/>
    <col min="8" max="8" width="0.125" customWidth="1"/>
    <col min="9" max="9" width="9" hidden="1" customWidth="1"/>
    <col min="11" max="11" width="4" customWidth="1"/>
    <col min="12" max="14" width="9" hidden="1" customWidth="1"/>
    <col min="16" max="16" width="1.625" customWidth="1"/>
    <col min="17" max="17" width="9" hidden="1" customWidth="1"/>
    <col min="19" max="19" width="1.125" customWidth="1"/>
    <col min="20" max="20" width="9" hidden="1" customWidth="1"/>
    <col min="22" max="22" width="6" customWidth="1"/>
    <col min="23" max="25" width="9" hidden="1" customWidth="1"/>
    <col min="26" max="26" width="9" customWidth="1"/>
    <col min="27" max="27" width="0.5" customWidth="1"/>
    <col min="28" max="28" width="9" hidden="1" customWidth="1"/>
    <col min="30" max="30" width="2.375" customWidth="1"/>
    <col min="31" max="31" width="9" hidden="1" customWidth="1"/>
    <col min="32" max="32" width="8.5" customWidth="1"/>
    <col min="33" max="33" width="6.25" hidden="1" customWidth="1"/>
    <col min="34" max="36" width="9" hidden="1" customWidth="1"/>
  </cols>
  <sheetData>
    <row r="1" spans="1:8">
      <c r="A1" s="169" t="s">
        <v>218</v>
      </c>
      <c r="B1" s="643" t="s">
        <v>1497</v>
      </c>
      <c r="E1" s="649" t="s">
        <v>813</v>
      </c>
    </row>
    <row r="2" spans="1:8" outlineLevel="1"/>
    <row r="3" spans="1:8" outlineLevel="1">
      <c r="A3" s="1814" t="s">
        <v>32</v>
      </c>
      <c r="B3" s="1713"/>
      <c r="C3" s="1713"/>
      <c r="D3" s="1970"/>
      <c r="E3" s="1970"/>
      <c r="F3" s="1832"/>
      <c r="G3" s="257"/>
    </row>
    <row r="4" spans="1:8" ht="18.75" outlineLevel="1">
      <c r="A4" s="159" t="s">
        <v>117</v>
      </c>
      <c r="B4" s="159"/>
      <c r="C4" s="6" t="s">
        <v>69</v>
      </c>
      <c r="D4" s="6" t="s">
        <v>70</v>
      </c>
      <c r="E4" s="158" t="s">
        <v>219</v>
      </c>
      <c r="F4" s="654" t="s">
        <v>1690</v>
      </c>
      <c r="H4" s="272"/>
    </row>
    <row r="5" spans="1:8" outlineLevel="1">
      <c r="A5" s="6" t="s">
        <v>155</v>
      </c>
      <c r="B5" s="6"/>
      <c r="C5" s="6" t="s">
        <v>72</v>
      </c>
      <c r="D5" s="6" t="s">
        <v>72</v>
      </c>
      <c r="E5" s="161" t="s">
        <v>220</v>
      </c>
      <c r="F5" s="3768" t="s">
        <v>1689</v>
      </c>
    </row>
    <row r="6" spans="1:8" outlineLevel="1">
      <c r="A6" s="6" t="s">
        <v>221</v>
      </c>
      <c r="B6" s="6"/>
      <c r="C6" s="6" t="s">
        <v>72</v>
      </c>
      <c r="D6" s="6" t="s">
        <v>84</v>
      </c>
      <c r="E6" s="161" t="s">
        <v>220</v>
      </c>
      <c r="F6" s="1735"/>
    </row>
    <row r="7" spans="1:8" outlineLevel="1">
      <c r="A7" s="6" t="s">
        <v>1481</v>
      </c>
      <c r="B7" s="6"/>
      <c r="C7" s="6" t="s">
        <v>72</v>
      </c>
      <c r="D7" s="6" t="s">
        <v>72</v>
      </c>
      <c r="E7" s="161" t="s">
        <v>220</v>
      </c>
      <c r="F7" s="1735"/>
    </row>
    <row r="8" spans="1:8" outlineLevel="1">
      <c r="A8" s="6" t="s">
        <v>1482</v>
      </c>
      <c r="B8" s="6"/>
      <c r="C8" s="6" t="s">
        <v>72</v>
      </c>
      <c r="D8" s="6" t="s">
        <v>72</v>
      </c>
      <c r="E8" s="161" t="s">
        <v>220</v>
      </c>
      <c r="F8" s="1735"/>
    </row>
    <row r="9" spans="1:8" outlineLevel="1">
      <c r="A9" s="7" t="s">
        <v>118</v>
      </c>
      <c r="B9" s="7"/>
      <c r="C9" s="6" t="s">
        <v>72</v>
      </c>
      <c r="D9" s="6" t="s">
        <v>72</v>
      </c>
      <c r="E9" s="161" t="s">
        <v>222</v>
      </c>
      <c r="F9" s="1735"/>
    </row>
    <row r="10" spans="1:8" outlineLevel="1">
      <c r="A10" s="7"/>
      <c r="B10" s="645" t="s">
        <v>1647</v>
      </c>
      <c r="C10" s="6"/>
      <c r="D10" s="6"/>
      <c r="E10" s="161"/>
      <c r="F10" s="1735"/>
    </row>
    <row r="11" spans="1:8" outlineLevel="1">
      <c r="A11" s="7"/>
      <c r="B11" s="645" t="s">
        <v>1648</v>
      </c>
      <c r="C11" s="6"/>
      <c r="D11" s="6"/>
      <c r="E11" s="161"/>
      <c r="F11" s="1735"/>
    </row>
    <row r="12" spans="1:8" outlineLevel="1">
      <c r="A12" s="7"/>
      <c r="B12" s="645" t="s">
        <v>1649</v>
      </c>
      <c r="C12" s="6"/>
      <c r="D12" s="6"/>
      <c r="E12" s="161"/>
      <c r="F12" s="1735"/>
    </row>
    <row r="13" spans="1:8" outlineLevel="1">
      <c r="A13" s="7"/>
      <c r="B13" s="645" t="s">
        <v>1650</v>
      </c>
      <c r="C13" s="6"/>
      <c r="D13" s="6"/>
      <c r="E13" s="161"/>
      <c r="F13" s="1735"/>
    </row>
    <row r="14" spans="1:8" outlineLevel="1">
      <c r="A14" s="7"/>
      <c r="B14" s="645" t="s">
        <v>1651</v>
      </c>
      <c r="C14" s="6"/>
      <c r="D14" s="6"/>
      <c r="E14" s="161"/>
      <c r="F14" s="1735"/>
    </row>
    <row r="15" spans="1:8" outlineLevel="1">
      <c r="A15" s="7"/>
      <c r="B15" s="645" t="s">
        <v>1652</v>
      </c>
      <c r="C15" s="6"/>
      <c r="D15" s="6"/>
      <c r="E15" s="161"/>
      <c r="F15" s="1735"/>
    </row>
    <row r="16" spans="1:8" outlineLevel="1">
      <c r="A16" s="7"/>
      <c r="B16" s="645" t="s">
        <v>1653</v>
      </c>
      <c r="C16" s="6"/>
      <c r="D16" s="6"/>
      <c r="E16" s="161"/>
      <c r="F16" s="1735"/>
    </row>
    <row r="17" spans="1:72" outlineLevel="1">
      <c r="A17" s="7"/>
      <c r="B17" s="645" t="s">
        <v>1654</v>
      </c>
      <c r="C17" s="6"/>
      <c r="D17" s="6"/>
      <c r="E17" s="161"/>
      <c r="F17" s="1735"/>
    </row>
    <row r="18" spans="1:72" outlineLevel="1">
      <c r="A18" s="7" t="s">
        <v>1483</v>
      </c>
      <c r="B18" s="7"/>
      <c r="C18" s="6" t="s">
        <v>72</v>
      </c>
      <c r="D18" s="6" t="s">
        <v>72</v>
      </c>
      <c r="E18" s="161" t="s">
        <v>220</v>
      </c>
      <c r="F18" s="1735"/>
    </row>
    <row r="19" spans="1:72" outlineLevel="1">
      <c r="A19" s="6" t="s">
        <v>1484</v>
      </c>
      <c r="B19" s="6"/>
      <c r="C19" s="6" t="s">
        <v>72</v>
      </c>
      <c r="D19" s="6" t="s">
        <v>72</v>
      </c>
      <c r="E19" s="161" t="s">
        <v>222</v>
      </c>
      <c r="F19" s="1735"/>
    </row>
    <row r="20" spans="1:72" outlineLevel="1">
      <c r="A20" s="6"/>
      <c r="B20" s="6"/>
      <c r="C20" s="6"/>
      <c r="D20" s="158"/>
      <c r="E20" s="2"/>
      <c r="F20" s="1735"/>
    </row>
    <row r="21" spans="1:72" outlineLevel="1">
      <c r="A21" s="6"/>
      <c r="B21" s="6"/>
      <c r="C21" s="6"/>
      <c r="D21" s="158"/>
      <c r="E21" s="2"/>
      <c r="F21" s="1735"/>
    </row>
    <row r="22" spans="1:72" outlineLevel="1">
      <c r="A22" s="6"/>
      <c r="B22" s="6"/>
      <c r="C22" s="6"/>
      <c r="D22" s="6"/>
      <c r="E22" s="2"/>
      <c r="F22" s="1735"/>
    </row>
    <row r="23" spans="1:72" outlineLevel="1">
      <c r="A23" s="6"/>
      <c r="B23" s="6"/>
      <c r="C23" s="6"/>
      <c r="D23" s="6"/>
      <c r="E23" s="2"/>
      <c r="F23" s="1735"/>
    </row>
    <row r="24" spans="1:72" outlineLevel="1">
      <c r="A24" s="6"/>
      <c r="B24" s="6"/>
      <c r="C24" s="6"/>
      <c r="D24" s="6"/>
      <c r="E24" s="2"/>
      <c r="F24" s="1735"/>
    </row>
    <row r="25" spans="1:72" outlineLevel="1">
      <c r="A25" s="6"/>
      <c r="B25" s="6"/>
      <c r="C25" s="6"/>
      <c r="D25" s="6"/>
      <c r="E25" s="2"/>
      <c r="F25" s="1736"/>
    </row>
    <row r="26" spans="1:72" outlineLevel="1">
      <c r="A26" t="s">
        <v>73</v>
      </c>
    </row>
    <row r="29" spans="1:72" ht="15.75">
      <c r="A29" s="211" t="s">
        <v>223</v>
      </c>
      <c r="B29" s="650"/>
      <c r="C29" s="212"/>
      <c r="D29" s="212"/>
      <c r="E29" s="212"/>
      <c r="F29" s="213"/>
      <c r="G29" s="3694"/>
      <c r="H29" s="3694"/>
      <c r="I29" s="3694"/>
      <c r="J29" s="3694"/>
      <c r="K29" s="3694"/>
      <c r="L29" s="3694"/>
      <c r="M29" s="3694"/>
      <c r="N29" s="3694"/>
      <c r="O29" s="3694"/>
      <c r="P29" s="3694"/>
      <c r="Q29" s="214"/>
      <c r="R29" s="213"/>
      <c r="S29" s="215"/>
      <c r="T29" s="213"/>
      <c r="U29" s="213"/>
      <c r="V29" s="213"/>
      <c r="W29" s="213"/>
      <c r="X29" s="213"/>
      <c r="Y29" s="213"/>
      <c r="Z29" s="213"/>
      <c r="AA29" s="213"/>
      <c r="AB29" s="212"/>
      <c r="AC29" s="212"/>
      <c r="AD29" s="212"/>
      <c r="AE29" s="212"/>
      <c r="AF29" s="212"/>
      <c r="AG29" s="212"/>
      <c r="AH29" s="212"/>
      <c r="AI29" s="212"/>
      <c r="AJ29" s="212"/>
    </row>
    <row r="30" spans="1:72" ht="15.75" outlineLevel="1">
      <c r="A30" s="649" t="s">
        <v>1662</v>
      </c>
      <c r="L30" s="212"/>
      <c r="M30" s="212"/>
      <c r="N30" s="212"/>
      <c r="O30" s="212"/>
      <c r="P30" s="212"/>
      <c r="Q30" s="212"/>
      <c r="R30" s="212"/>
      <c r="S30" s="212"/>
      <c r="T30" s="212"/>
      <c r="U30" s="212"/>
      <c r="V30" s="212"/>
      <c r="W30" s="212"/>
      <c r="X30" s="212"/>
      <c r="Y30" s="212"/>
      <c r="Z30" s="212"/>
      <c r="AA30" s="212"/>
      <c r="AB30" s="212"/>
      <c r="AC30" s="212"/>
      <c r="AD30" s="212"/>
      <c r="AE30" s="212"/>
      <c r="AF30" s="212"/>
      <c r="AG30" s="212"/>
      <c r="AH30" s="212"/>
      <c r="AI30" s="212"/>
      <c r="AJ30" s="212"/>
      <c r="AL30" s="649" t="s">
        <v>1691</v>
      </c>
    </row>
    <row r="31" spans="1:72" ht="15.75" outlineLevel="1">
      <c r="A31" s="211" t="s">
        <v>1656</v>
      </c>
      <c r="B31" s="212"/>
      <c r="C31" s="212"/>
      <c r="D31" s="212"/>
      <c r="E31" s="212"/>
      <c r="F31" s="212"/>
      <c r="G31" s="212"/>
      <c r="H31" s="216" t="s">
        <v>1657</v>
      </c>
      <c r="I31" s="212"/>
      <c r="J31" s="212"/>
      <c r="K31" s="212"/>
      <c r="L31" s="212"/>
      <c r="M31" s="212"/>
      <c r="N31" s="212"/>
      <c r="O31" s="212"/>
      <c r="P31" s="212"/>
      <c r="Q31" s="212"/>
      <c r="R31" s="212"/>
      <c r="S31" s="212"/>
      <c r="T31" s="212"/>
      <c r="U31" s="212"/>
      <c r="V31" s="212"/>
      <c r="W31" s="212"/>
      <c r="X31" s="212"/>
      <c r="Y31" s="212"/>
      <c r="Z31" s="212"/>
      <c r="AA31" s="212"/>
      <c r="AB31" s="212"/>
      <c r="AC31" s="212"/>
      <c r="AD31" s="212"/>
      <c r="AE31" s="212"/>
      <c r="AF31" s="212"/>
      <c r="AG31" s="212"/>
      <c r="AH31" s="212"/>
      <c r="AI31" s="212"/>
      <c r="AJ31" s="212"/>
      <c r="AL31" s="3769" t="s">
        <v>1712</v>
      </c>
      <c r="AM31" s="3769"/>
      <c r="AN31" s="3770"/>
      <c r="AO31" s="3769"/>
      <c r="AP31" s="3769"/>
      <c r="AQ31" s="3769"/>
      <c r="AR31" s="3745"/>
      <c r="AS31" s="3745"/>
      <c r="AT31" s="3745"/>
      <c r="AU31" s="3745"/>
      <c r="AV31" s="3745"/>
      <c r="AW31" s="3745"/>
      <c r="AX31" s="3745"/>
      <c r="AY31" s="3745"/>
      <c r="AZ31" s="3745"/>
      <c r="BA31" s="3745"/>
      <c r="BB31" s="3745"/>
      <c r="BC31" s="3745"/>
      <c r="BD31" s="3745"/>
      <c r="BE31" s="3745"/>
      <c r="BF31" s="3745"/>
      <c r="BG31" s="3745"/>
      <c r="BH31" s="3745"/>
      <c r="BI31" s="3745"/>
      <c r="BJ31" s="3745"/>
      <c r="BK31" s="3745"/>
      <c r="BL31" s="204"/>
      <c r="BM31" s="204"/>
      <c r="BN31" s="651"/>
      <c r="BO31" s="651"/>
      <c r="BP31" s="651"/>
      <c r="BQ31" s="651"/>
      <c r="BR31" s="651"/>
      <c r="BS31" s="652"/>
      <c r="BT31" s="217"/>
    </row>
    <row r="32" spans="1:72" ht="15" customHeight="1" outlineLevel="1">
      <c r="A32" s="3685" t="s">
        <v>225</v>
      </c>
      <c r="B32" s="3686"/>
      <c r="C32" s="3686"/>
      <c r="D32" s="3686"/>
      <c r="E32" s="3686"/>
      <c r="F32" s="3686"/>
      <c r="G32" s="3686"/>
      <c r="H32" s="3686"/>
      <c r="I32" s="3686"/>
      <c r="J32" s="3686"/>
      <c r="K32" s="3686"/>
      <c r="L32" s="3686"/>
      <c r="M32" s="3686"/>
      <c r="N32" s="3686"/>
      <c r="O32" s="3686"/>
      <c r="P32" s="3686"/>
      <c r="Q32" s="3686"/>
      <c r="R32" s="3686"/>
      <c r="S32" s="3686"/>
      <c r="T32" s="3686"/>
      <c r="U32" s="3686"/>
      <c r="V32" s="3686"/>
      <c r="W32" s="3686"/>
      <c r="X32" s="3686"/>
      <c r="Y32" s="3686"/>
      <c r="Z32" s="3686"/>
      <c r="AA32" s="3686"/>
      <c r="AB32" s="3686"/>
      <c r="AC32" s="3686"/>
      <c r="AD32" s="3686"/>
      <c r="AE32" s="3686"/>
      <c r="AF32" s="3686"/>
      <c r="AG32" s="3686"/>
      <c r="AH32" s="3686"/>
      <c r="AI32" s="3686"/>
      <c r="AJ32" s="3687"/>
      <c r="AL32" s="3750" t="s">
        <v>1663</v>
      </c>
      <c r="AM32" s="3512"/>
      <c r="AN32" s="3512"/>
      <c r="AO32" s="3512"/>
      <c r="AP32" s="3512"/>
      <c r="AQ32" s="3512"/>
      <c r="AR32" s="3512"/>
      <c r="AS32" s="3512"/>
      <c r="AT32" s="3512"/>
      <c r="AU32" s="3512"/>
      <c r="AV32" s="3512"/>
      <c r="AW32" s="3512"/>
      <c r="AX32" s="3512"/>
      <c r="AY32" s="3512"/>
      <c r="AZ32" s="3512"/>
      <c r="BA32" s="3512"/>
      <c r="BB32" s="3512"/>
      <c r="BC32" s="3512"/>
      <c r="BD32" s="3512"/>
      <c r="BE32" s="3512"/>
      <c r="BF32" s="3512"/>
      <c r="BG32" s="3512"/>
      <c r="BH32" s="3512"/>
      <c r="BI32" s="3512"/>
      <c r="BJ32" s="3512"/>
      <c r="BK32" s="3512"/>
      <c r="BL32" s="3512"/>
      <c r="BM32" s="3512"/>
      <c r="BN32" s="3512"/>
      <c r="BO32" s="3512"/>
      <c r="BP32" s="3512"/>
      <c r="BQ32" s="3512"/>
      <c r="BR32" s="3512"/>
      <c r="BS32" s="3512"/>
      <c r="BT32" s="3512"/>
    </row>
    <row r="33" spans="1:72" ht="15" customHeight="1" outlineLevel="1">
      <c r="A33" s="3688" t="s">
        <v>226</v>
      </c>
      <c r="B33" s="3682"/>
      <c r="C33" s="3682"/>
      <c r="D33" s="1708" t="s">
        <v>227</v>
      </c>
      <c r="E33" s="1708"/>
      <c r="F33" s="1708"/>
      <c r="G33" s="1708"/>
      <c r="H33" s="1708"/>
      <c r="I33" s="1708"/>
      <c r="J33" s="1708"/>
      <c r="K33" s="1708"/>
      <c r="L33" s="1708"/>
      <c r="M33" s="1708"/>
      <c r="N33" s="1708"/>
      <c r="O33" s="1708" t="s">
        <v>228</v>
      </c>
      <c r="P33" s="1708"/>
      <c r="Q33" s="1708"/>
      <c r="R33" s="1708"/>
      <c r="S33" s="1708"/>
      <c r="T33" s="1708"/>
      <c r="U33" s="1708"/>
      <c r="V33" s="1708"/>
      <c r="W33" s="1708"/>
      <c r="X33" s="1708"/>
      <c r="Y33" s="1708"/>
      <c r="Z33" s="1708" t="s">
        <v>229</v>
      </c>
      <c r="AA33" s="1708"/>
      <c r="AB33" s="1708"/>
      <c r="AC33" s="1708"/>
      <c r="AD33" s="1708"/>
      <c r="AE33" s="1708"/>
      <c r="AF33" s="1708"/>
      <c r="AG33" s="1708"/>
      <c r="AH33" s="1708"/>
      <c r="AI33" s="1708"/>
      <c r="AJ33" s="1708"/>
      <c r="AL33" s="3750" t="s">
        <v>1664</v>
      </c>
      <c r="AM33" s="3512"/>
      <c r="AN33" s="3512"/>
      <c r="AO33" s="3512"/>
      <c r="AP33" s="3512"/>
      <c r="AQ33" s="3512"/>
      <c r="AR33" s="3512"/>
      <c r="AS33" s="3512"/>
      <c r="AT33" s="3512"/>
      <c r="AU33" s="3512"/>
      <c r="AV33" s="3512"/>
      <c r="AW33" s="3512" t="s">
        <v>1665</v>
      </c>
      <c r="AX33" s="3510"/>
      <c r="AY33" s="3510"/>
      <c r="AZ33" s="3510"/>
      <c r="BA33" s="3510"/>
      <c r="BB33" s="3510"/>
      <c r="BC33" s="3510"/>
      <c r="BD33" s="3510"/>
      <c r="BE33" s="3512" t="s">
        <v>1666</v>
      </c>
      <c r="BF33" s="3510"/>
      <c r="BG33" s="3510"/>
      <c r="BH33" s="3510"/>
      <c r="BI33" s="3510"/>
      <c r="BJ33" s="3510"/>
      <c r="BK33" s="3510"/>
      <c r="BL33" s="3510"/>
      <c r="BM33" s="3512" t="s">
        <v>1667</v>
      </c>
      <c r="BN33" s="3510"/>
      <c r="BO33" s="3510"/>
      <c r="BP33" s="3510"/>
      <c r="BQ33" s="3510"/>
      <c r="BR33" s="3510"/>
      <c r="BS33" s="3510"/>
      <c r="BT33" s="3510"/>
    </row>
    <row r="34" spans="1:72" ht="18.75" outlineLevel="1">
      <c r="A34" s="3682"/>
      <c r="B34" s="3682"/>
      <c r="C34" s="3682"/>
      <c r="D34" s="3683">
        <v>1</v>
      </c>
      <c r="E34" s="1708"/>
      <c r="F34" s="1708"/>
      <c r="G34" s="1708">
        <v>2</v>
      </c>
      <c r="H34" s="1708"/>
      <c r="I34" s="1708"/>
      <c r="J34" s="3682" t="s">
        <v>230</v>
      </c>
      <c r="K34" s="1708"/>
      <c r="L34" s="1708"/>
      <c r="M34" s="1708"/>
      <c r="N34" s="1708"/>
      <c r="O34" s="3683">
        <v>1</v>
      </c>
      <c r="P34" s="1708"/>
      <c r="Q34" s="1708"/>
      <c r="R34" s="1708">
        <v>2</v>
      </c>
      <c r="S34" s="1708"/>
      <c r="T34" s="1708"/>
      <c r="U34" s="3682" t="s">
        <v>230</v>
      </c>
      <c r="V34" s="1708"/>
      <c r="W34" s="1708"/>
      <c r="X34" s="1708"/>
      <c r="Y34" s="1708"/>
      <c r="Z34" s="3683">
        <v>1</v>
      </c>
      <c r="AA34" s="1708"/>
      <c r="AB34" s="1708"/>
      <c r="AC34" s="1708">
        <v>2</v>
      </c>
      <c r="AD34" s="1708"/>
      <c r="AE34" s="1708"/>
      <c r="AF34" s="3682" t="s">
        <v>230</v>
      </c>
      <c r="AG34" s="1708"/>
      <c r="AH34" s="1708"/>
      <c r="AI34" s="1708"/>
      <c r="AJ34" s="1708"/>
      <c r="AL34" s="3748" t="s">
        <v>1668</v>
      </c>
      <c r="AM34" s="3634"/>
      <c r="AN34" s="3634"/>
      <c r="AO34" s="3634"/>
      <c r="AP34" s="3634"/>
      <c r="AQ34" s="3634"/>
      <c r="AR34" s="3634"/>
      <c r="AS34" s="3634"/>
      <c r="AT34" s="3634"/>
      <c r="AU34" s="3634"/>
      <c r="AV34" s="3634"/>
      <c r="AW34" s="3742" t="s">
        <v>1669</v>
      </c>
      <c r="AX34" s="3634"/>
      <c r="AY34" s="3634"/>
      <c r="AZ34" s="3634"/>
      <c r="BA34" s="3634"/>
      <c r="BB34" s="3634"/>
      <c r="BC34" s="3634"/>
      <c r="BD34" s="3634"/>
      <c r="BE34" s="3742" t="s">
        <v>1670</v>
      </c>
      <c r="BF34" s="3634"/>
      <c r="BG34" s="3634"/>
      <c r="BH34" s="3634"/>
      <c r="BI34" s="3634"/>
      <c r="BJ34" s="3634"/>
      <c r="BK34" s="3634"/>
      <c r="BL34" s="3634"/>
      <c r="BM34" s="3742" t="s">
        <v>1671</v>
      </c>
      <c r="BN34" s="3634"/>
      <c r="BO34" s="3634"/>
      <c r="BP34" s="3634"/>
      <c r="BQ34" s="3634"/>
      <c r="BR34" s="3634"/>
      <c r="BS34" s="3634"/>
      <c r="BT34" s="3634"/>
    </row>
    <row r="35" spans="1:72" ht="18.75" outlineLevel="1">
      <c r="A35" s="3673" t="s">
        <v>231</v>
      </c>
      <c r="B35" s="1708"/>
      <c r="C35" s="1708"/>
      <c r="D35" s="3684" t="s">
        <v>249</v>
      </c>
      <c r="E35" s="3684"/>
      <c r="F35" s="3684"/>
      <c r="G35" s="3684" t="s">
        <v>249</v>
      </c>
      <c r="H35" s="3684"/>
      <c r="I35" s="3684"/>
      <c r="J35" s="3684" t="s">
        <v>767</v>
      </c>
      <c r="K35" s="3684"/>
      <c r="L35" s="3684"/>
      <c r="M35" s="3684"/>
      <c r="N35" s="3684"/>
      <c r="O35" s="3684" t="s">
        <v>232</v>
      </c>
      <c r="P35" s="3684"/>
      <c r="Q35" s="3684"/>
      <c r="R35" s="3684" t="s">
        <v>233</v>
      </c>
      <c r="S35" s="3684"/>
      <c r="T35" s="3684"/>
      <c r="U35" s="3684" t="s">
        <v>234</v>
      </c>
      <c r="V35" s="3684"/>
      <c r="W35" s="3684"/>
      <c r="X35" s="3684"/>
      <c r="Y35" s="3684"/>
      <c r="Z35" s="3684" t="s">
        <v>235</v>
      </c>
      <c r="AA35" s="3684"/>
      <c r="AB35" s="3684"/>
      <c r="AC35" s="3684" t="s">
        <v>236</v>
      </c>
      <c r="AD35" s="3684"/>
      <c r="AE35" s="3684"/>
      <c r="AF35" s="3684" t="s">
        <v>237</v>
      </c>
      <c r="AG35" s="3684"/>
      <c r="AH35" s="3684"/>
      <c r="AI35" s="3684"/>
      <c r="AJ35" s="3684"/>
      <c r="AL35" s="3748" t="s">
        <v>1672</v>
      </c>
      <c r="AM35" s="3634"/>
      <c r="AN35" s="3634"/>
      <c r="AO35" s="3634"/>
      <c r="AP35" s="3634"/>
      <c r="AQ35" s="3634"/>
      <c r="AR35" s="3634"/>
      <c r="AS35" s="3634"/>
      <c r="AT35" s="3634"/>
      <c r="AU35" s="3634"/>
      <c r="AV35" s="3634"/>
      <c r="AW35" s="3742" t="s">
        <v>1669</v>
      </c>
      <c r="AX35" s="3634"/>
      <c r="AY35" s="3634"/>
      <c r="AZ35" s="3634"/>
      <c r="BA35" s="3634"/>
      <c r="BB35" s="3634"/>
      <c r="BC35" s="3634"/>
      <c r="BD35" s="3634"/>
      <c r="BE35" s="3742" t="s">
        <v>1670</v>
      </c>
      <c r="BF35" s="3634"/>
      <c r="BG35" s="3634"/>
      <c r="BH35" s="3634"/>
      <c r="BI35" s="3634"/>
      <c r="BJ35" s="3634"/>
      <c r="BK35" s="3634"/>
      <c r="BL35" s="3634"/>
      <c r="BM35" s="3742" t="s">
        <v>1671</v>
      </c>
      <c r="BN35" s="3634"/>
      <c r="BO35" s="3634"/>
      <c r="BP35" s="3634"/>
      <c r="BQ35" s="3634"/>
      <c r="BR35" s="3634"/>
      <c r="BS35" s="3634"/>
      <c r="BT35" s="3634"/>
    </row>
    <row r="36" spans="1:72" ht="18.75" outlineLevel="1">
      <c r="A36" s="3673" t="s">
        <v>238</v>
      </c>
      <c r="B36" s="1708"/>
      <c r="C36" s="1708"/>
      <c r="D36" s="3684" t="s">
        <v>239</v>
      </c>
      <c r="E36" s="3684"/>
      <c r="F36" s="3684"/>
      <c r="G36" s="3684" t="s">
        <v>240</v>
      </c>
      <c r="H36" s="3684"/>
      <c r="I36" s="3684"/>
      <c r="J36" s="3684" t="s">
        <v>241</v>
      </c>
      <c r="K36" s="3684"/>
      <c r="L36" s="3684"/>
      <c r="M36" s="3684"/>
      <c r="N36" s="3684"/>
      <c r="O36" s="3684" t="s">
        <v>242</v>
      </c>
      <c r="P36" s="3684"/>
      <c r="Q36" s="3684"/>
      <c r="R36" s="3684" t="s">
        <v>243</v>
      </c>
      <c r="S36" s="3684"/>
      <c r="T36" s="3684"/>
      <c r="U36" s="3684" t="s">
        <v>244</v>
      </c>
      <c r="V36" s="3684"/>
      <c r="W36" s="3684"/>
      <c r="X36" s="3684"/>
      <c r="Y36" s="3684"/>
      <c r="Z36" s="3684" t="s">
        <v>245</v>
      </c>
      <c r="AA36" s="3684"/>
      <c r="AB36" s="3684"/>
      <c r="AC36" s="3684" t="s">
        <v>246</v>
      </c>
      <c r="AD36" s="3684"/>
      <c r="AE36" s="3684"/>
      <c r="AF36" s="3684" t="s">
        <v>247</v>
      </c>
      <c r="AG36" s="3684"/>
      <c r="AH36" s="3684"/>
      <c r="AI36" s="3684"/>
      <c r="AJ36" s="3684"/>
      <c r="AL36" s="3634" t="s">
        <v>1673</v>
      </c>
      <c r="AM36" s="3634"/>
      <c r="AN36" s="3634"/>
      <c r="AO36" s="3634"/>
      <c r="AP36" s="3634"/>
      <c r="AQ36" s="3634"/>
      <c r="AR36" s="3634"/>
      <c r="AS36" s="3634"/>
      <c r="AT36" s="3634"/>
      <c r="AU36" s="3634"/>
      <c r="AV36" s="3634"/>
      <c r="AW36" s="3742" t="s">
        <v>1655</v>
      </c>
      <c r="AX36" s="3634"/>
      <c r="AY36" s="3634"/>
      <c r="AZ36" s="3634"/>
      <c r="BA36" s="3634"/>
      <c r="BB36" s="3634"/>
      <c r="BC36" s="3634"/>
      <c r="BD36" s="3634"/>
      <c r="BE36" s="3742" t="s">
        <v>1670</v>
      </c>
      <c r="BF36" s="3634"/>
      <c r="BG36" s="3634"/>
      <c r="BH36" s="3634"/>
      <c r="BI36" s="3634"/>
      <c r="BJ36" s="3634"/>
      <c r="BK36" s="3634"/>
      <c r="BL36" s="3634"/>
      <c r="BM36" s="3742" t="s">
        <v>1671</v>
      </c>
      <c r="BN36" s="3634"/>
      <c r="BO36" s="3634"/>
      <c r="BP36" s="3634"/>
      <c r="BQ36" s="3634"/>
      <c r="BR36" s="3634"/>
      <c r="BS36" s="3634"/>
      <c r="BT36" s="3634"/>
    </row>
    <row r="37" spans="1:72" ht="18.75" outlineLevel="1">
      <c r="A37" s="1708" t="s">
        <v>248</v>
      </c>
      <c r="B37" s="1708"/>
      <c r="C37" s="1708"/>
      <c r="D37" s="3684" t="s">
        <v>249</v>
      </c>
      <c r="E37" s="3684"/>
      <c r="F37" s="3684"/>
      <c r="G37" s="3684" t="s">
        <v>249</v>
      </c>
      <c r="H37" s="3684"/>
      <c r="I37" s="3684"/>
      <c r="J37" s="3684" t="s">
        <v>249</v>
      </c>
      <c r="K37" s="3684"/>
      <c r="L37" s="3684"/>
      <c r="M37" s="3684"/>
      <c r="N37" s="3684"/>
      <c r="O37" s="3684" t="s">
        <v>250</v>
      </c>
      <c r="P37" s="3684"/>
      <c r="Q37" s="3684"/>
      <c r="R37" s="3684" t="s">
        <v>250</v>
      </c>
      <c r="S37" s="3684"/>
      <c r="T37" s="3684"/>
      <c r="U37" s="3684" t="s">
        <v>250</v>
      </c>
      <c r="V37" s="3684"/>
      <c r="W37" s="3684"/>
      <c r="X37" s="3684"/>
      <c r="Y37" s="3684"/>
      <c r="Z37" s="3684" t="s">
        <v>241</v>
      </c>
      <c r="AA37" s="3684"/>
      <c r="AB37" s="3684"/>
      <c r="AC37" s="3684" t="s">
        <v>251</v>
      </c>
      <c r="AD37" s="3684"/>
      <c r="AE37" s="3684"/>
      <c r="AF37" s="3684" t="s">
        <v>252</v>
      </c>
      <c r="AG37" s="3684"/>
      <c r="AH37" s="3684"/>
      <c r="AI37" s="3684"/>
      <c r="AJ37" s="3684"/>
      <c r="AL37" s="3634" t="s">
        <v>1674</v>
      </c>
      <c r="AM37" s="3634"/>
      <c r="AN37" s="3634"/>
      <c r="AO37" s="3634"/>
      <c r="AP37" s="3634"/>
      <c r="AQ37" s="3634"/>
      <c r="AR37" s="3634"/>
      <c r="AS37" s="3634"/>
      <c r="AT37" s="3634"/>
      <c r="AU37" s="3634"/>
      <c r="AV37" s="3634"/>
      <c r="AW37" s="3742" t="s">
        <v>1675</v>
      </c>
      <c r="AX37" s="3634"/>
      <c r="AY37" s="3634"/>
      <c r="AZ37" s="3634"/>
      <c r="BA37" s="3634"/>
      <c r="BB37" s="3634"/>
      <c r="BC37" s="3634"/>
      <c r="BD37" s="3634"/>
      <c r="BE37" s="3742" t="s">
        <v>1655</v>
      </c>
      <c r="BF37" s="3634"/>
      <c r="BG37" s="3634"/>
      <c r="BH37" s="3634"/>
      <c r="BI37" s="3634"/>
      <c r="BJ37" s="3634"/>
      <c r="BK37" s="3634"/>
      <c r="BL37" s="3634"/>
      <c r="BM37" s="3742" t="s">
        <v>1655</v>
      </c>
      <c r="BN37" s="3634"/>
      <c r="BO37" s="3634"/>
      <c r="BP37" s="3634"/>
      <c r="BQ37" s="3634"/>
      <c r="BR37" s="3634"/>
      <c r="BS37" s="3634"/>
      <c r="BT37" s="3634"/>
    </row>
    <row r="38" spans="1:72" ht="18.75" outlineLevel="1">
      <c r="A38" s="1708" t="s">
        <v>253</v>
      </c>
      <c r="B38" s="1708"/>
      <c r="C38" s="1708"/>
      <c r="D38" s="3684" t="s">
        <v>241</v>
      </c>
      <c r="E38" s="3684"/>
      <c r="F38" s="3684"/>
      <c r="G38" s="3684" t="s">
        <v>254</v>
      </c>
      <c r="H38" s="3684"/>
      <c r="I38" s="3684"/>
      <c r="J38" s="3684" t="s">
        <v>255</v>
      </c>
      <c r="K38" s="3684"/>
      <c r="L38" s="3684"/>
      <c r="M38" s="3684"/>
      <c r="N38" s="3684"/>
      <c r="O38" s="3684" t="s">
        <v>249</v>
      </c>
      <c r="P38" s="3684"/>
      <c r="Q38" s="3684"/>
      <c r="R38" s="3684" t="s">
        <v>249</v>
      </c>
      <c r="S38" s="3684"/>
      <c r="T38" s="3684"/>
      <c r="U38" s="3684" t="s">
        <v>249</v>
      </c>
      <c r="V38" s="3684"/>
      <c r="W38" s="3684"/>
      <c r="X38" s="3684"/>
      <c r="Y38" s="3684"/>
      <c r="Z38" s="3684" t="s">
        <v>249</v>
      </c>
      <c r="AA38" s="3684"/>
      <c r="AB38" s="3684"/>
      <c r="AC38" s="3684" t="s">
        <v>249</v>
      </c>
      <c r="AD38" s="3684"/>
      <c r="AE38" s="3684"/>
      <c r="AF38" s="3684" t="s">
        <v>249</v>
      </c>
      <c r="AG38" s="3684"/>
      <c r="AH38" s="3684"/>
      <c r="AI38" s="3684"/>
      <c r="AJ38" s="3684"/>
      <c r="AL38" s="3634" t="s">
        <v>1676</v>
      </c>
      <c r="AM38" s="3634"/>
      <c r="AN38" s="3634"/>
      <c r="AO38" s="3634"/>
      <c r="AP38" s="3634"/>
      <c r="AQ38" s="3634"/>
      <c r="AR38" s="3634"/>
      <c r="AS38" s="3634"/>
      <c r="AT38" s="3634"/>
      <c r="AU38" s="3634"/>
      <c r="AV38" s="3634"/>
      <c r="AW38" s="3742" t="s">
        <v>1655</v>
      </c>
      <c r="AX38" s="3634"/>
      <c r="AY38" s="3634"/>
      <c r="AZ38" s="3634"/>
      <c r="BA38" s="3634"/>
      <c r="BB38" s="3634"/>
      <c r="BC38" s="3634"/>
      <c r="BD38" s="3634"/>
      <c r="BE38" s="3742" t="s">
        <v>1670</v>
      </c>
      <c r="BF38" s="3634"/>
      <c r="BG38" s="3634"/>
      <c r="BH38" s="3634"/>
      <c r="BI38" s="3634"/>
      <c r="BJ38" s="3634"/>
      <c r="BK38" s="3634"/>
      <c r="BL38" s="3634"/>
      <c r="BM38" s="3741" t="s">
        <v>1669</v>
      </c>
      <c r="BN38" s="3476"/>
      <c r="BO38" s="3476"/>
      <c r="BP38" s="3476"/>
      <c r="BQ38" s="3476"/>
      <c r="BR38" s="3476"/>
      <c r="BS38" s="3476"/>
      <c r="BT38" s="3476"/>
    </row>
    <row r="39" spans="1:72" ht="18.75" outlineLevel="1">
      <c r="A39" s="1708" t="s">
        <v>256</v>
      </c>
      <c r="B39" s="1708"/>
      <c r="C39" s="1708"/>
      <c r="D39" s="3684" t="s">
        <v>249</v>
      </c>
      <c r="E39" s="3684"/>
      <c r="F39" s="3684"/>
      <c r="G39" s="3684" t="s">
        <v>249</v>
      </c>
      <c r="H39" s="3684"/>
      <c r="I39" s="3684"/>
      <c r="J39" s="3684" t="s">
        <v>249</v>
      </c>
      <c r="K39" s="3684"/>
      <c r="L39" s="3684"/>
      <c r="M39" s="3684"/>
      <c r="N39" s="3684"/>
      <c r="O39" s="3684" t="s">
        <v>257</v>
      </c>
      <c r="P39" s="3684"/>
      <c r="Q39" s="3684"/>
      <c r="R39" s="3684" t="s">
        <v>258</v>
      </c>
      <c r="S39" s="3684"/>
      <c r="T39" s="3684"/>
      <c r="U39" s="3684" t="s">
        <v>259</v>
      </c>
      <c r="V39" s="3684"/>
      <c r="W39" s="3684"/>
      <c r="X39" s="3684"/>
      <c r="Y39" s="3684"/>
      <c r="Z39" s="3684" t="s">
        <v>257</v>
      </c>
      <c r="AA39" s="3684"/>
      <c r="AB39" s="3684"/>
      <c r="AC39" s="3684" t="s">
        <v>257</v>
      </c>
      <c r="AD39" s="3684"/>
      <c r="AE39" s="3684"/>
      <c r="AF39" s="3684" t="s">
        <v>257</v>
      </c>
      <c r="AG39" s="3684"/>
      <c r="AH39" s="3684"/>
      <c r="AI39" s="3684"/>
      <c r="AJ39" s="3684"/>
      <c r="AL39" s="3634" t="s">
        <v>1677</v>
      </c>
      <c r="AM39" s="3634"/>
      <c r="AN39" s="3634"/>
      <c r="AO39" s="3634"/>
      <c r="AP39" s="3634"/>
      <c r="AQ39" s="3634"/>
      <c r="AR39" s="3634"/>
      <c r="AS39" s="3634"/>
      <c r="AT39" s="3634"/>
      <c r="AU39" s="3634"/>
      <c r="AV39" s="3634"/>
      <c r="AW39" s="3741" t="s">
        <v>1669</v>
      </c>
      <c r="AX39" s="3476"/>
      <c r="AY39" s="3476"/>
      <c r="AZ39" s="3476"/>
      <c r="BA39" s="3476"/>
      <c r="BB39" s="3476"/>
      <c r="BC39" s="3476"/>
      <c r="BD39" s="3476"/>
      <c r="BE39" s="3742" t="s">
        <v>1655</v>
      </c>
      <c r="BF39" s="3634"/>
      <c r="BG39" s="3634"/>
      <c r="BH39" s="3634"/>
      <c r="BI39" s="3634"/>
      <c r="BJ39" s="3634"/>
      <c r="BK39" s="3634"/>
      <c r="BL39" s="3634"/>
      <c r="BM39" s="3742" t="s">
        <v>1655</v>
      </c>
      <c r="BN39" s="3634"/>
      <c r="BO39" s="3634"/>
      <c r="BP39" s="3634"/>
      <c r="BQ39" s="3634"/>
      <c r="BR39" s="3634"/>
      <c r="BS39" s="3634"/>
      <c r="BT39" s="3634"/>
    </row>
    <row r="40" spans="1:72" ht="16.5" outlineLevel="1">
      <c r="A40" s="1708" t="s">
        <v>1475</v>
      </c>
      <c r="B40" s="1708"/>
      <c r="C40" s="1708"/>
      <c r="D40" s="3684" t="s">
        <v>257</v>
      </c>
      <c r="E40" s="3684"/>
      <c r="F40" s="3684"/>
      <c r="G40" s="3684" t="s">
        <v>257</v>
      </c>
      <c r="H40" s="3684"/>
      <c r="I40" s="3684"/>
      <c r="J40" s="3684" t="s">
        <v>257</v>
      </c>
      <c r="K40" s="3684"/>
      <c r="L40" s="3684"/>
      <c r="M40" s="3684"/>
      <c r="N40" s="3684"/>
      <c r="O40" s="3684" t="s">
        <v>249</v>
      </c>
      <c r="P40" s="3684"/>
      <c r="Q40" s="3684"/>
      <c r="R40" s="3684" t="s">
        <v>249</v>
      </c>
      <c r="S40" s="3684"/>
      <c r="T40" s="3684"/>
      <c r="U40" s="3684" t="s">
        <v>249</v>
      </c>
      <c r="V40" s="3684"/>
      <c r="W40" s="3684"/>
      <c r="X40" s="3684"/>
      <c r="Y40" s="3684"/>
      <c r="Z40" s="3684" t="s">
        <v>249</v>
      </c>
      <c r="AA40" s="3684"/>
      <c r="AB40" s="3684"/>
      <c r="AC40" s="3684" t="s">
        <v>249</v>
      </c>
      <c r="AD40" s="3684"/>
      <c r="AE40" s="3684"/>
      <c r="AF40" s="3684" t="s">
        <v>249</v>
      </c>
      <c r="AG40" s="3684"/>
      <c r="AH40" s="3684"/>
      <c r="AI40" s="3684"/>
      <c r="AJ40" s="3684"/>
      <c r="AL40" s="3750" t="s">
        <v>1678</v>
      </c>
      <c r="AM40" s="3512"/>
      <c r="AN40" s="3512"/>
      <c r="AO40" s="3512"/>
      <c r="AP40" s="3512"/>
      <c r="AQ40" s="3512"/>
      <c r="AR40" s="3512"/>
      <c r="AS40" s="3512"/>
      <c r="AT40" s="3512"/>
      <c r="AU40" s="3512"/>
      <c r="AV40" s="3512"/>
      <c r="AW40" s="3512"/>
      <c r="AX40" s="3512"/>
      <c r="AY40" s="3512"/>
      <c r="AZ40" s="3512"/>
      <c r="BA40" s="3512"/>
      <c r="BB40" s="3512"/>
      <c r="BC40" s="3512"/>
      <c r="BD40" s="3512"/>
      <c r="BE40" s="3512"/>
      <c r="BF40" s="3512"/>
      <c r="BG40" s="3512"/>
      <c r="BH40" s="3512"/>
      <c r="BI40" s="3512"/>
      <c r="BJ40" s="3512"/>
      <c r="BK40" s="3512"/>
      <c r="BL40" s="3512"/>
      <c r="BM40" s="3512"/>
      <c r="BN40" s="3512"/>
      <c r="BO40" s="3512"/>
      <c r="BP40" s="3512"/>
      <c r="BQ40" s="3512"/>
      <c r="BR40" s="3512"/>
      <c r="BS40" s="3512"/>
      <c r="BT40" s="3512"/>
    </row>
    <row r="41" spans="1:72" ht="15" customHeight="1" outlineLevel="1">
      <c r="A41" s="3685" t="s">
        <v>260</v>
      </c>
      <c r="B41" s="3686"/>
      <c r="C41" s="3686"/>
      <c r="D41" s="3686"/>
      <c r="E41" s="3686"/>
      <c r="F41" s="3686"/>
      <c r="G41" s="3686"/>
      <c r="H41" s="3686"/>
      <c r="I41" s="3686"/>
      <c r="J41" s="3686"/>
      <c r="K41" s="3686"/>
      <c r="L41" s="3686"/>
      <c r="M41" s="3686"/>
      <c r="N41" s="3686"/>
      <c r="O41" s="3686"/>
      <c r="P41" s="3686"/>
      <c r="Q41" s="3686"/>
      <c r="R41" s="3686"/>
      <c r="S41" s="3686"/>
      <c r="T41" s="3686"/>
      <c r="U41" s="3686"/>
      <c r="V41" s="3686"/>
      <c r="W41" s="3686"/>
      <c r="X41" s="3686"/>
      <c r="Y41" s="3686"/>
      <c r="Z41" s="3686"/>
      <c r="AA41" s="3686"/>
      <c r="AB41" s="3686"/>
      <c r="AC41" s="3686"/>
      <c r="AD41" s="3686"/>
      <c r="AE41" s="3686"/>
      <c r="AF41" s="3686"/>
      <c r="AG41" s="3686"/>
      <c r="AH41" s="3686"/>
      <c r="AI41" s="3686"/>
      <c r="AJ41" s="3687"/>
      <c r="AL41" s="3750" t="s">
        <v>1664</v>
      </c>
      <c r="AM41" s="3512"/>
      <c r="AN41" s="3512"/>
      <c r="AO41" s="3512"/>
      <c r="AP41" s="3512"/>
      <c r="AQ41" s="3512" t="s">
        <v>1679</v>
      </c>
      <c r="AR41" s="3512"/>
      <c r="AS41" s="3512"/>
      <c r="AT41" s="3512"/>
      <c r="AU41" s="3512"/>
      <c r="AV41" s="3512"/>
      <c r="AW41" s="3512"/>
      <c r="AX41" s="3512"/>
      <c r="AY41" s="3512"/>
      <c r="AZ41" s="3512"/>
      <c r="BA41" s="3512" t="s">
        <v>1680</v>
      </c>
      <c r="BB41" s="3512"/>
      <c r="BC41" s="3512"/>
      <c r="BD41" s="3512"/>
      <c r="BE41" s="3512"/>
      <c r="BF41" s="3512"/>
      <c r="BG41" s="3512"/>
      <c r="BH41" s="3512"/>
      <c r="BI41" s="3512"/>
      <c r="BJ41" s="3512"/>
      <c r="BK41" s="3749" t="s">
        <v>1681</v>
      </c>
      <c r="BL41" s="3749"/>
      <c r="BM41" s="3749"/>
      <c r="BN41" s="3749"/>
      <c r="BO41" s="3749"/>
      <c r="BP41" s="3749"/>
      <c r="BQ41" s="3749"/>
      <c r="BR41" s="3749"/>
      <c r="BS41" s="3749"/>
      <c r="BT41" s="3749"/>
    </row>
    <row r="42" spans="1:72" ht="15" customHeight="1" outlineLevel="1">
      <c r="A42" s="3688" t="s">
        <v>261</v>
      </c>
      <c r="B42" s="1708"/>
      <c r="C42" s="1708"/>
      <c r="D42" s="1708" t="s">
        <v>262</v>
      </c>
      <c r="E42" s="1708"/>
      <c r="F42" s="1708"/>
      <c r="G42" s="1708"/>
      <c r="H42" s="1708"/>
      <c r="I42" s="1708"/>
      <c r="J42" s="1708"/>
      <c r="K42" s="1708"/>
      <c r="L42" s="1708"/>
      <c r="M42" s="1708"/>
      <c r="N42" s="1708"/>
      <c r="O42" s="1708" t="s">
        <v>263</v>
      </c>
      <c r="P42" s="1708"/>
      <c r="Q42" s="1708"/>
      <c r="R42" s="1708"/>
      <c r="S42" s="1708"/>
      <c r="T42" s="1708"/>
      <c r="U42" s="1708"/>
      <c r="V42" s="1708"/>
      <c r="W42" s="1708"/>
      <c r="X42" s="1708"/>
      <c r="Y42" s="1708"/>
      <c r="Z42" s="1708" t="s">
        <v>264</v>
      </c>
      <c r="AA42" s="1708"/>
      <c r="AB42" s="1708"/>
      <c r="AC42" s="1708"/>
      <c r="AD42" s="1708"/>
      <c r="AE42" s="1708"/>
      <c r="AF42" s="1708"/>
      <c r="AG42" s="1708"/>
      <c r="AH42" s="1708"/>
      <c r="AI42" s="1708"/>
      <c r="AJ42" s="1708"/>
      <c r="AL42" s="3512"/>
      <c r="AM42" s="3512"/>
      <c r="AN42" s="3512"/>
      <c r="AO42" s="3512"/>
      <c r="AP42" s="3512"/>
      <c r="AQ42" s="3765" t="s">
        <v>1682</v>
      </c>
      <c r="AR42" s="3766"/>
      <c r="AS42" s="3766"/>
      <c r="AT42" s="3766"/>
      <c r="AU42" s="3767"/>
      <c r="AV42" s="3765" t="s">
        <v>1683</v>
      </c>
      <c r="AW42" s="3766"/>
      <c r="AX42" s="3766"/>
      <c r="AY42" s="3766"/>
      <c r="AZ42" s="3767"/>
      <c r="BA42" s="3765" t="s">
        <v>1682</v>
      </c>
      <c r="BB42" s="3766"/>
      <c r="BC42" s="3766"/>
      <c r="BD42" s="3766"/>
      <c r="BE42" s="3767"/>
      <c r="BF42" s="3765" t="s">
        <v>1683</v>
      </c>
      <c r="BG42" s="3766"/>
      <c r="BH42" s="3766"/>
      <c r="BI42" s="3766"/>
      <c r="BJ42" s="3767"/>
      <c r="BK42" s="3765" t="s">
        <v>1682</v>
      </c>
      <c r="BL42" s="3766"/>
      <c r="BM42" s="3766"/>
      <c r="BN42" s="3766"/>
      <c r="BO42" s="3767"/>
      <c r="BP42" s="3765" t="s">
        <v>1683</v>
      </c>
      <c r="BQ42" s="3766"/>
      <c r="BR42" s="3766"/>
      <c r="BS42" s="3766"/>
      <c r="BT42" s="3767"/>
    </row>
    <row r="43" spans="1:72" ht="18.75" outlineLevel="1">
      <c r="A43" s="1708"/>
      <c r="B43" s="1708"/>
      <c r="C43" s="1708"/>
      <c r="D43" s="3683">
        <v>1</v>
      </c>
      <c r="E43" s="1708"/>
      <c r="F43" s="1708"/>
      <c r="G43" s="1708">
        <v>2</v>
      </c>
      <c r="H43" s="1708"/>
      <c r="I43" s="1708"/>
      <c r="J43" s="3682" t="s">
        <v>265</v>
      </c>
      <c r="K43" s="1708"/>
      <c r="L43" s="1708"/>
      <c r="M43" s="1708"/>
      <c r="N43" s="1708"/>
      <c r="O43" s="3683">
        <v>1</v>
      </c>
      <c r="P43" s="1708"/>
      <c r="Q43" s="1708"/>
      <c r="R43" s="1708">
        <v>2</v>
      </c>
      <c r="S43" s="1708"/>
      <c r="T43" s="1708"/>
      <c r="U43" s="3682" t="s">
        <v>265</v>
      </c>
      <c r="V43" s="1708"/>
      <c r="W43" s="1708"/>
      <c r="X43" s="1708"/>
      <c r="Y43" s="1708"/>
      <c r="Z43" s="3683">
        <v>1</v>
      </c>
      <c r="AA43" s="1708"/>
      <c r="AB43" s="1708"/>
      <c r="AC43" s="1708">
        <v>2</v>
      </c>
      <c r="AD43" s="1708"/>
      <c r="AE43" s="1708"/>
      <c r="AF43" s="3682" t="s">
        <v>265</v>
      </c>
      <c r="AG43" s="1708"/>
      <c r="AH43" s="1708"/>
      <c r="AI43" s="1708"/>
      <c r="AJ43" s="1708"/>
      <c r="AL43" s="3748" t="s">
        <v>1668</v>
      </c>
      <c r="AM43" s="3634"/>
      <c r="AN43" s="3634"/>
      <c r="AO43" s="3634"/>
      <c r="AP43" s="3634"/>
      <c r="AQ43" s="3727" t="s">
        <v>1669</v>
      </c>
      <c r="AR43" s="3728"/>
      <c r="AS43" s="3728"/>
      <c r="AT43" s="3728"/>
      <c r="AU43" s="3729"/>
      <c r="AV43" s="3727" t="s">
        <v>1670</v>
      </c>
      <c r="AW43" s="3728"/>
      <c r="AX43" s="3728"/>
      <c r="AY43" s="3728"/>
      <c r="AZ43" s="3729"/>
      <c r="BA43" s="3727" t="s">
        <v>1671</v>
      </c>
      <c r="BB43" s="3728"/>
      <c r="BC43" s="3728"/>
      <c r="BD43" s="3728"/>
      <c r="BE43" s="3729"/>
      <c r="BF43" s="3727" t="s">
        <v>1670</v>
      </c>
      <c r="BG43" s="3728"/>
      <c r="BH43" s="3728"/>
      <c r="BI43" s="3728"/>
      <c r="BJ43" s="3729"/>
      <c r="BK43" s="3727" t="s">
        <v>1669</v>
      </c>
      <c r="BL43" s="3728"/>
      <c r="BM43" s="3728"/>
      <c r="BN43" s="3728"/>
      <c r="BO43" s="3729"/>
      <c r="BP43" s="3727" t="s">
        <v>1684</v>
      </c>
      <c r="BQ43" s="3728"/>
      <c r="BR43" s="3728"/>
      <c r="BS43" s="3728"/>
      <c r="BT43" s="3729"/>
    </row>
    <row r="44" spans="1:72" ht="18.75" outlineLevel="1">
      <c r="A44" s="3674" t="s">
        <v>266</v>
      </c>
      <c r="B44" s="3675"/>
      <c r="C44" s="3675"/>
      <c r="D44" s="3675"/>
      <c r="E44" s="3675"/>
      <c r="F44" s="3675"/>
      <c r="G44" s="3675"/>
      <c r="H44" s="3675"/>
      <c r="I44" s="3675"/>
      <c r="J44" s="3675"/>
      <c r="K44" s="3675"/>
      <c r="L44" s="3675"/>
      <c r="M44" s="3675"/>
      <c r="N44" s="3675"/>
      <c r="O44" s="3675"/>
      <c r="P44" s="3675"/>
      <c r="Q44" s="3675"/>
      <c r="R44" s="3675"/>
      <c r="S44" s="3675"/>
      <c r="T44" s="3675"/>
      <c r="U44" s="3675"/>
      <c r="V44" s="3675"/>
      <c r="W44" s="3675"/>
      <c r="X44" s="3675"/>
      <c r="Y44" s="3675"/>
      <c r="Z44" s="3675"/>
      <c r="AA44" s="3675"/>
      <c r="AB44" s="3675"/>
      <c r="AC44" s="3675"/>
      <c r="AD44" s="3675"/>
      <c r="AE44" s="3675"/>
      <c r="AF44" s="3675"/>
      <c r="AG44" s="3675"/>
      <c r="AH44" s="3675"/>
      <c r="AI44" s="3675"/>
      <c r="AJ44" s="3676"/>
      <c r="AL44" s="3748" t="s">
        <v>1672</v>
      </c>
      <c r="AM44" s="3634"/>
      <c r="AN44" s="3634"/>
      <c r="AO44" s="3634"/>
      <c r="AP44" s="3634"/>
      <c r="AQ44" s="3727" t="s">
        <v>1685</v>
      </c>
      <c r="AR44" s="3728"/>
      <c r="AS44" s="3728"/>
      <c r="AT44" s="3728"/>
      <c r="AU44" s="3729"/>
      <c r="AV44" s="3727" t="s">
        <v>1670</v>
      </c>
      <c r="AW44" s="3728"/>
      <c r="AX44" s="3728"/>
      <c r="AY44" s="3728"/>
      <c r="AZ44" s="3729"/>
      <c r="BA44" s="3727" t="s">
        <v>1669</v>
      </c>
      <c r="BB44" s="3728"/>
      <c r="BC44" s="3728"/>
      <c r="BD44" s="3728"/>
      <c r="BE44" s="3729"/>
      <c r="BF44" s="3727" t="s">
        <v>1686</v>
      </c>
      <c r="BG44" s="3728"/>
      <c r="BH44" s="3728"/>
      <c r="BI44" s="3728"/>
      <c r="BJ44" s="3729"/>
      <c r="BK44" s="3727" t="s">
        <v>1687</v>
      </c>
      <c r="BL44" s="3728"/>
      <c r="BM44" s="3728"/>
      <c r="BN44" s="3728"/>
      <c r="BO44" s="3729"/>
      <c r="BP44" s="3727" t="s">
        <v>1684</v>
      </c>
      <c r="BQ44" s="3728"/>
      <c r="BR44" s="3728"/>
      <c r="BS44" s="3728"/>
      <c r="BT44" s="3729"/>
    </row>
    <row r="45" spans="1:72" ht="18.75" outlineLevel="1">
      <c r="A45" s="3673" t="s">
        <v>267</v>
      </c>
      <c r="B45" s="1708"/>
      <c r="C45" s="1708"/>
      <c r="D45" s="3677" t="s">
        <v>268</v>
      </c>
      <c r="E45" s="3678"/>
      <c r="F45" s="3679"/>
      <c r="G45" s="3677" t="s">
        <v>269</v>
      </c>
      <c r="H45" s="3680"/>
      <c r="I45" s="3681"/>
      <c r="J45" s="3677" t="s">
        <v>270</v>
      </c>
      <c r="K45" s="3678"/>
      <c r="L45" s="3678"/>
      <c r="M45" s="3678"/>
      <c r="N45" s="3679"/>
      <c r="O45" s="3640" t="s">
        <v>271</v>
      </c>
      <c r="P45" s="3641"/>
      <c r="Q45" s="3642"/>
      <c r="R45" s="3640" t="s">
        <v>272</v>
      </c>
      <c r="S45" s="3641"/>
      <c r="T45" s="3642"/>
      <c r="U45" s="3640" t="s">
        <v>273</v>
      </c>
      <c r="V45" s="3641"/>
      <c r="W45" s="3641"/>
      <c r="X45" s="3641"/>
      <c r="Y45" s="3642"/>
      <c r="Z45" s="3640" t="s">
        <v>274</v>
      </c>
      <c r="AA45" s="3643"/>
      <c r="AB45" s="3644"/>
      <c r="AC45" s="3640" t="s">
        <v>275</v>
      </c>
      <c r="AD45" s="3641"/>
      <c r="AE45" s="3642"/>
      <c r="AF45" s="3640" t="s">
        <v>276</v>
      </c>
      <c r="AG45" s="3643"/>
      <c r="AH45" s="3643"/>
      <c r="AI45" s="3643"/>
      <c r="AJ45" s="3644"/>
      <c r="AL45" s="3634" t="s">
        <v>1673</v>
      </c>
      <c r="AM45" s="3634"/>
      <c r="AN45" s="3634"/>
      <c r="AO45" s="3634"/>
      <c r="AP45" s="3634"/>
      <c r="AQ45" s="3727" t="s">
        <v>1655</v>
      </c>
      <c r="AR45" s="3728"/>
      <c r="AS45" s="3728"/>
      <c r="AT45" s="3728"/>
      <c r="AU45" s="3729"/>
      <c r="AV45" s="3727" t="s">
        <v>1670</v>
      </c>
      <c r="AW45" s="3728"/>
      <c r="AX45" s="3728"/>
      <c r="AY45" s="3728"/>
      <c r="AZ45" s="3729"/>
      <c r="BA45" s="3727" t="s">
        <v>1655</v>
      </c>
      <c r="BB45" s="3728"/>
      <c r="BC45" s="3728"/>
      <c r="BD45" s="3728"/>
      <c r="BE45" s="3729"/>
      <c r="BF45" s="3727" t="s">
        <v>1670</v>
      </c>
      <c r="BG45" s="3728"/>
      <c r="BH45" s="3728"/>
      <c r="BI45" s="3728"/>
      <c r="BJ45" s="3729"/>
      <c r="BK45" s="3727" t="s">
        <v>1655</v>
      </c>
      <c r="BL45" s="3728"/>
      <c r="BM45" s="3728"/>
      <c r="BN45" s="3728"/>
      <c r="BO45" s="3729"/>
      <c r="BP45" s="3727" t="s">
        <v>1670</v>
      </c>
      <c r="BQ45" s="3728"/>
      <c r="BR45" s="3728"/>
      <c r="BS45" s="3728"/>
      <c r="BT45" s="3729"/>
    </row>
    <row r="46" spans="1:72" ht="18.75" outlineLevel="1">
      <c r="A46" s="3673" t="s">
        <v>277</v>
      </c>
      <c r="B46" s="1708"/>
      <c r="C46" s="1708"/>
      <c r="D46" s="3677" t="s">
        <v>278</v>
      </c>
      <c r="E46" s="3678"/>
      <c r="F46" s="3679"/>
      <c r="G46" s="3677" t="s">
        <v>279</v>
      </c>
      <c r="H46" s="3680"/>
      <c r="I46" s="3681"/>
      <c r="J46" s="3677" t="s">
        <v>280</v>
      </c>
      <c r="K46" s="3678"/>
      <c r="L46" s="3678"/>
      <c r="M46" s="3678"/>
      <c r="N46" s="3679"/>
      <c r="O46" s="3640" t="s">
        <v>241</v>
      </c>
      <c r="P46" s="3641"/>
      <c r="Q46" s="3642"/>
      <c r="R46" s="3640" t="s">
        <v>281</v>
      </c>
      <c r="S46" s="3641"/>
      <c r="T46" s="3642"/>
      <c r="U46" s="3640" t="s">
        <v>282</v>
      </c>
      <c r="V46" s="3641"/>
      <c r="W46" s="3641"/>
      <c r="X46" s="3641"/>
      <c r="Y46" s="3642"/>
      <c r="Z46" s="3640" t="s">
        <v>283</v>
      </c>
      <c r="AA46" s="3643"/>
      <c r="AB46" s="3644"/>
      <c r="AC46" s="3640" t="s">
        <v>284</v>
      </c>
      <c r="AD46" s="3641"/>
      <c r="AE46" s="3642"/>
      <c r="AF46" s="3640" t="s">
        <v>285</v>
      </c>
      <c r="AG46" s="3643"/>
      <c r="AH46" s="3643"/>
      <c r="AI46" s="3643"/>
      <c r="AJ46" s="3644"/>
      <c r="AL46" s="3634" t="s">
        <v>1674</v>
      </c>
      <c r="AM46" s="3634"/>
      <c r="AN46" s="3634"/>
      <c r="AO46" s="3634"/>
      <c r="AP46" s="3634"/>
      <c r="AQ46" s="3727" t="s">
        <v>1670</v>
      </c>
      <c r="AR46" s="3728"/>
      <c r="AS46" s="3728"/>
      <c r="AT46" s="3728"/>
      <c r="AU46" s="3729"/>
      <c r="AV46" s="3727" t="s">
        <v>1655</v>
      </c>
      <c r="AW46" s="3728"/>
      <c r="AX46" s="3728"/>
      <c r="AY46" s="3728"/>
      <c r="AZ46" s="3729"/>
      <c r="BA46" s="3727" t="s">
        <v>1669</v>
      </c>
      <c r="BB46" s="3728"/>
      <c r="BC46" s="3728"/>
      <c r="BD46" s="3728"/>
      <c r="BE46" s="3729"/>
      <c r="BF46" s="3727" t="s">
        <v>1655</v>
      </c>
      <c r="BG46" s="3728"/>
      <c r="BH46" s="3728"/>
      <c r="BI46" s="3728"/>
      <c r="BJ46" s="3729"/>
      <c r="BK46" s="3727" t="s">
        <v>1669</v>
      </c>
      <c r="BL46" s="3728"/>
      <c r="BM46" s="3728"/>
      <c r="BN46" s="3728"/>
      <c r="BO46" s="3729"/>
      <c r="BP46" s="3727" t="s">
        <v>1655</v>
      </c>
      <c r="BQ46" s="3728"/>
      <c r="BR46" s="3728"/>
      <c r="BS46" s="3728"/>
      <c r="BT46" s="3729"/>
    </row>
    <row r="47" spans="1:72" ht="18.75" outlineLevel="1">
      <c r="A47" s="1708" t="s">
        <v>253</v>
      </c>
      <c r="B47" s="1708"/>
      <c r="C47" s="1708"/>
      <c r="D47" s="3677" t="s">
        <v>241</v>
      </c>
      <c r="E47" s="3678"/>
      <c r="F47" s="3679"/>
      <c r="G47" s="3677" t="s">
        <v>286</v>
      </c>
      <c r="H47" s="3680"/>
      <c r="I47" s="3681"/>
      <c r="J47" s="3677" t="s">
        <v>250</v>
      </c>
      <c r="K47" s="3678"/>
      <c r="L47" s="3678"/>
      <c r="M47" s="3678"/>
      <c r="N47" s="3679"/>
      <c r="O47" s="3640" t="s">
        <v>241</v>
      </c>
      <c r="P47" s="3641"/>
      <c r="Q47" s="3642"/>
      <c r="R47" s="3640" t="s">
        <v>241</v>
      </c>
      <c r="S47" s="3641"/>
      <c r="T47" s="3642"/>
      <c r="U47" s="3640" t="s">
        <v>241</v>
      </c>
      <c r="V47" s="3641"/>
      <c r="W47" s="3641"/>
      <c r="X47" s="3641"/>
      <c r="Y47" s="3642"/>
      <c r="Z47" s="3640" t="s">
        <v>241</v>
      </c>
      <c r="AA47" s="3643"/>
      <c r="AB47" s="3644"/>
      <c r="AC47" s="3640" t="s">
        <v>241</v>
      </c>
      <c r="AD47" s="3641"/>
      <c r="AE47" s="3642"/>
      <c r="AF47" s="3640" t="s">
        <v>241</v>
      </c>
      <c r="AG47" s="3643"/>
      <c r="AH47" s="3643"/>
      <c r="AI47" s="3643"/>
      <c r="AJ47" s="3644"/>
      <c r="AL47" s="3746" t="s">
        <v>1688</v>
      </c>
      <c r="AM47" s="3747"/>
      <c r="AN47" s="3747"/>
      <c r="AO47" s="3747"/>
      <c r="AP47" s="3747"/>
      <c r="AQ47" s="3747"/>
      <c r="AR47" s="3747"/>
      <c r="AS47" s="3747"/>
      <c r="AT47" s="3747"/>
      <c r="AU47" s="3747"/>
      <c r="AV47" s="3747"/>
      <c r="AW47" s="3747"/>
      <c r="AX47" s="3747"/>
      <c r="AY47" s="3747"/>
      <c r="AZ47" s="3747"/>
      <c r="BA47" s="3747"/>
      <c r="BB47" s="3747"/>
      <c r="BC47" s="3747"/>
      <c r="BD47" s="3747"/>
      <c r="BE47" s="3747"/>
      <c r="BF47" s="3747"/>
      <c r="BG47" s="3747"/>
      <c r="BH47" s="3747"/>
      <c r="BI47" s="3747"/>
      <c r="BJ47" s="3747"/>
      <c r="BK47" s="3747"/>
      <c r="BL47" s="3747"/>
      <c r="BM47" s="3747"/>
      <c r="BN47" s="3747"/>
      <c r="BO47" s="3747"/>
      <c r="BP47" s="3747"/>
      <c r="BQ47" s="3747"/>
      <c r="BR47" s="3747"/>
      <c r="BS47" s="3747"/>
      <c r="BT47" s="3747"/>
    </row>
    <row r="48" spans="1:72" ht="15.75" outlineLevel="1">
      <c r="A48" s="3674" t="s">
        <v>287</v>
      </c>
      <c r="B48" s="3675"/>
      <c r="C48" s="3675"/>
      <c r="D48" s="3675"/>
      <c r="E48" s="3675"/>
      <c r="F48" s="3675"/>
      <c r="G48" s="3675"/>
      <c r="H48" s="3675"/>
      <c r="I48" s="3675"/>
      <c r="J48" s="3675"/>
      <c r="K48" s="3675"/>
      <c r="L48" s="3675"/>
      <c r="M48" s="3675"/>
      <c r="N48" s="3675"/>
      <c r="O48" s="3675"/>
      <c r="P48" s="3675"/>
      <c r="Q48" s="3675"/>
      <c r="R48" s="3675"/>
      <c r="S48" s="3675"/>
      <c r="T48" s="3675"/>
      <c r="U48" s="3675"/>
      <c r="V48" s="3675"/>
      <c r="W48" s="3675"/>
      <c r="X48" s="3675"/>
      <c r="Y48" s="3675"/>
      <c r="Z48" s="3675"/>
      <c r="AA48" s="3675"/>
      <c r="AB48" s="3675"/>
      <c r="AC48" s="3675"/>
      <c r="AD48" s="3675"/>
      <c r="AE48" s="3675"/>
      <c r="AF48" s="3675"/>
      <c r="AG48" s="3675"/>
      <c r="AH48" s="3675"/>
      <c r="AI48" s="3675"/>
      <c r="AJ48" s="3676"/>
      <c r="AL48" s="3512" t="s">
        <v>1679</v>
      </c>
      <c r="AM48" s="3512"/>
      <c r="AN48" s="3512"/>
      <c r="AO48" s="3512"/>
      <c r="AP48" s="3512"/>
      <c r="AQ48" s="3742" t="s">
        <v>1685</v>
      </c>
      <c r="AR48" s="3634"/>
      <c r="AS48" s="3634"/>
      <c r="AT48" s="3634"/>
      <c r="AU48" s="3634"/>
      <c r="AV48" s="3634"/>
      <c r="AW48" s="3512" t="s">
        <v>1680</v>
      </c>
      <c r="AX48" s="3512"/>
      <c r="AY48" s="3512"/>
      <c r="AZ48" s="3512"/>
      <c r="BA48" s="3512"/>
      <c r="BB48" s="3512"/>
      <c r="BC48" s="3742" t="s">
        <v>1669</v>
      </c>
      <c r="BD48" s="3634"/>
      <c r="BE48" s="3634"/>
      <c r="BF48" s="3634"/>
      <c r="BG48" s="3634"/>
      <c r="BH48" s="3634"/>
      <c r="BI48" s="3512" t="s">
        <v>1681</v>
      </c>
      <c r="BJ48" s="3512"/>
      <c r="BK48" s="3512"/>
      <c r="BL48" s="3512"/>
      <c r="BM48" s="3512"/>
      <c r="BN48" s="3512"/>
      <c r="BO48" s="3742" t="s">
        <v>1687</v>
      </c>
      <c r="BP48" s="3634"/>
      <c r="BQ48" s="3634"/>
      <c r="BR48" s="3634"/>
      <c r="BS48" s="3634"/>
      <c r="BT48" s="3634"/>
    </row>
    <row r="49" spans="1:72" ht="16.5" outlineLevel="1">
      <c r="A49" s="3673" t="s">
        <v>267</v>
      </c>
      <c r="B49" s="1708"/>
      <c r="C49" s="1708"/>
      <c r="D49" s="3640" t="s">
        <v>288</v>
      </c>
      <c r="E49" s="3643"/>
      <c r="F49" s="3644"/>
      <c r="G49" s="3640" t="s">
        <v>288</v>
      </c>
      <c r="H49" s="3641"/>
      <c r="I49" s="3642"/>
      <c r="J49" s="3640" t="s">
        <v>288</v>
      </c>
      <c r="K49" s="3643"/>
      <c r="L49" s="3643"/>
      <c r="M49" s="3643"/>
      <c r="N49" s="3644"/>
      <c r="O49" s="3640" t="s">
        <v>278</v>
      </c>
      <c r="P49" s="3641"/>
      <c r="Q49" s="3642"/>
      <c r="R49" s="3640" t="s">
        <v>278</v>
      </c>
      <c r="S49" s="3641"/>
      <c r="T49" s="3642"/>
      <c r="U49" s="3640" t="s">
        <v>278</v>
      </c>
      <c r="V49" s="3641"/>
      <c r="W49" s="3641"/>
      <c r="X49" s="3641"/>
      <c r="Y49" s="3642"/>
      <c r="Z49" s="3640" t="s">
        <v>289</v>
      </c>
      <c r="AA49" s="3643"/>
      <c r="AB49" s="3644"/>
      <c r="AC49" s="3640" t="s">
        <v>290</v>
      </c>
      <c r="AD49" s="3641"/>
      <c r="AE49" s="3642"/>
      <c r="AF49" s="3640" t="s">
        <v>291</v>
      </c>
      <c r="AG49" s="3643"/>
      <c r="AH49" s="3643"/>
      <c r="AI49" s="3643"/>
      <c r="AJ49" s="3644"/>
    </row>
    <row r="50" spans="1:72" ht="16.5" outlineLevel="1">
      <c r="A50" s="3673" t="s">
        <v>277</v>
      </c>
      <c r="B50" s="1708"/>
      <c r="C50" s="1708"/>
      <c r="D50" s="3640" t="s">
        <v>278</v>
      </c>
      <c r="E50" s="3643"/>
      <c r="F50" s="3644"/>
      <c r="G50" s="3640" t="s">
        <v>278</v>
      </c>
      <c r="H50" s="3641"/>
      <c r="I50" s="3642"/>
      <c r="J50" s="3640" t="s">
        <v>278</v>
      </c>
      <c r="K50" s="3643"/>
      <c r="L50" s="3643"/>
      <c r="M50" s="3643"/>
      <c r="N50" s="3644"/>
      <c r="O50" s="3640" t="s">
        <v>292</v>
      </c>
      <c r="P50" s="3641"/>
      <c r="Q50" s="3642"/>
      <c r="R50" s="3640" t="s">
        <v>250</v>
      </c>
      <c r="S50" s="3641"/>
      <c r="T50" s="3642"/>
      <c r="U50" s="3640" t="s">
        <v>293</v>
      </c>
      <c r="V50" s="3641"/>
      <c r="W50" s="3641"/>
      <c r="X50" s="3641"/>
      <c r="Y50" s="3642"/>
      <c r="Z50" s="3640" t="s">
        <v>290</v>
      </c>
      <c r="AA50" s="3643"/>
      <c r="AB50" s="3644"/>
      <c r="AC50" s="3640" t="s">
        <v>290</v>
      </c>
      <c r="AD50" s="3641"/>
      <c r="AE50" s="3642"/>
      <c r="AF50" s="3640" t="s">
        <v>290</v>
      </c>
      <c r="AG50" s="3643"/>
      <c r="AH50" s="3643"/>
      <c r="AI50" s="3643"/>
      <c r="AJ50" s="3644"/>
    </row>
    <row r="51" spans="1:72" ht="16.5" outlineLevel="1">
      <c r="A51" s="1708" t="s">
        <v>248</v>
      </c>
      <c r="B51" s="1708"/>
      <c r="C51" s="1708"/>
      <c r="D51" s="3640" t="s">
        <v>241</v>
      </c>
      <c r="E51" s="3643"/>
      <c r="F51" s="3644"/>
      <c r="G51" s="3640" t="s">
        <v>286</v>
      </c>
      <c r="H51" s="3641"/>
      <c r="I51" s="3642"/>
      <c r="J51" s="3640" t="s">
        <v>250</v>
      </c>
      <c r="K51" s="3643"/>
      <c r="L51" s="3643"/>
      <c r="M51" s="3643"/>
      <c r="N51" s="3644"/>
      <c r="O51" s="3640" t="s">
        <v>241</v>
      </c>
      <c r="P51" s="3641"/>
      <c r="Q51" s="3642"/>
      <c r="R51" s="3640" t="s">
        <v>286</v>
      </c>
      <c r="S51" s="3641"/>
      <c r="T51" s="3642"/>
      <c r="U51" s="3640" t="s">
        <v>250</v>
      </c>
      <c r="V51" s="3641"/>
      <c r="W51" s="3641"/>
      <c r="X51" s="3641"/>
      <c r="Y51" s="3642"/>
      <c r="Z51" s="3640" t="s">
        <v>241</v>
      </c>
      <c r="AA51" s="3643"/>
      <c r="AB51" s="3644"/>
      <c r="AC51" s="3640" t="s">
        <v>286</v>
      </c>
      <c r="AD51" s="3641"/>
      <c r="AE51" s="3642"/>
      <c r="AF51" s="3640" t="s">
        <v>250</v>
      </c>
      <c r="AG51" s="3643"/>
      <c r="AH51" s="3643"/>
      <c r="AI51" s="3643"/>
      <c r="AJ51" s="3644"/>
    </row>
    <row r="52" spans="1:72" ht="16.5" outlineLevel="1">
      <c r="A52" s="3670" t="s">
        <v>768</v>
      </c>
      <c r="B52" s="3671"/>
      <c r="C52" s="3671"/>
      <c r="D52" s="3671"/>
      <c r="E52" s="3672"/>
      <c r="F52" s="3672"/>
      <c r="G52" s="3672"/>
      <c r="H52" s="3672"/>
      <c r="I52" s="3672"/>
      <c r="J52" s="3672"/>
      <c r="K52" s="3672"/>
      <c r="L52" s="3672"/>
      <c r="M52" s="3672"/>
      <c r="N52" s="3672"/>
      <c r="O52" s="3672"/>
      <c r="P52" s="3672"/>
      <c r="Q52" s="3672"/>
      <c r="R52" s="3672"/>
      <c r="S52" s="3672"/>
      <c r="T52" s="3672"/>
      <c r="U52" s="3672"/>
      <c r="V52" s="3672"/>
      <c r="W52" s="3672"/>
      <c r="X52" s="3671"/>
      <c r="Y52" s="3671"/>
      <c r="Z52" s="3671"/>
      <c r="AA52" s="3671"/>
      <c r="AB52" s="3671"/>
      <c r="AC52" s="3671"/>
      <c r="AD52" s="3671"/>
      <c r="AE52" s="3671"/>
      <c r="AF52" s="3671"/>
      <c r="AG52" s="3671"/>
      <c r="AH52" s="3671"/>
      <c r="AI52" s="3671"/>
      <c r="AJ52" s="3671"/>
    </row>
    <row r="53" spans="1:72" ht="15" outlineLevel="1">
      <c r="A53" s="3666" t="s">
        <v>262</v>
      </c>
      <c r="B53" s="3666"/>
      <c r="C53" s="3666"/>
      <c r="D53" s="3667"/>
      <c r="E53" s="3668">
        <f>J46-J36</f>
        <v>-2.92E-2</v>
      </c>
      <c r="F53" s="3669"/>
      <c r="G53" s="3669"/>
      <c r="H53" s="3669"/>
      <c r="I53" s="3669"/>
      <c r="J53" s="3669"/>
      <c r="K53" s="3666" t="s">
        <v>263</v>
      </c>
      <c r="L53" s="3666"/>
      <c r="M53" s="3666"/>
      <c r="N53" s="3666"/>
      <c r="O53" s="3666"/>
      <c r="P53" s="3666"/>
      <c r="Q53" s="3668">
        <f>U46-J36</f>
        <v>-8.3999999999999995E-3</v>
      </c>
      <c r="R53" s="3669"/>
      <c r="S53" s="3669"/>
      <c r="T53" s="3669"/>
      <c r="U53" s="3669"/>
      <c r="V53" s="3669"/>
      <c r="W53" s="3669"/>
      <c r="X53" s="3666" t="s">
        <v>264</v>
      </c>
      <c r="Y53" s="3666"/>
      <c r="Z53" s="3666"/>
      <c r="AA53" s="3666"/>
      <c r="AB53" s="3666"/>
      <c r="AC53" s="3668">
        <f>AF46-J36</f>
        <v>0.1043</v>
      </c>
      <c r="AD53" s="3669"/>
      <c r="AE53" s="3669"/>
      <c r="AF53" s="3669"/>
      <c r="AG53" s="3669"/>
      <c r="AH53" s="3669"/>
      <c r="AI53" s="3669"/>
      <c r="AJ53" s="3669"/>
    </row>
    <row r="54" spans="1:72" outlineLevel="1" collapsed="1">
      <c r="G54" s="257"/>
    </row>
    <row r="55" spans="1:72" outlineLevel="1">
      <c r="A55" s="649" t="s">
        <v>1692</v>
      </c>
      <c r="B55" s="649" t="s">
        <v>1661</v>
      </c>
      <c r="G55" s="257"/>
      <c r="AL55" s="649" t="s">
        <v>1693</v>
      </c>
    </row>
    <row r="56" spans="1:72" ht="15.75" outlineLevel="1">
      <c r="A56" s="211" t="s">
        <v>1659</v>
      </c>
      <c r="B56" s="261"/>
      <c r="C56" s="212"/>
      <c r="D56" s="212"/>
      <c r="E56" s="212"/>
      <c r="F56" s="212"/>
      <c r="G56" s="212"/>
      <c r="H56" s="216" t="s">
        <v>224</v>
      </c>
      <c r="I56" s="212"/>
      <c r="J56" s="212"/>
      <c r="K56" s="212"/>
      <c r="L56" s="212"/>
      <c r="M56" s="212"/>
      <c r="N56" s="212"/>
      <c r="O56" s="212"/>
      <c r="P56" s="212"/>
      <c r="Q56" s="212"/>
      <c r="R56" s="212"/>
      <c r="S56" s="212"/>
      <c r="T56" s="212"/>
      <c r="U56" s="212"/>
      <c r="V56" s="212"/>
      <c r="W56" s="212"/>
      <c r="X56" s="212"/>
      <c r="Y56" s="212"/>
      <c r="Z56" s="212"/>
      <c r="AA56" s="212"/>
      <c r="AB56" s="212"/>
      <c r="AC56" s="212"/>
      <c r="AD56" s="212"/>
      <c r="AE56" s="212"/>
      <c r="AF56" s="212"/>
      <c r="AG56" s="212"/>
      <c r="AH56" s="212"/>
      <c r="AI56" s="212"/>
      <c r="AJ56" s="212"/>
      <c r="AL56" t="s">
        <v>1660</v>
      </c>
    </row>
    <row r="57" spans="1:72" ht="15.75" outlineLevel="2">
      <c r="A57" s="3665" t="s">
        <v>1658</v>
      </c>
      <c r="B57" s="3663"/>
      <c r="C57" s="3663"/>
      <c r="D57" s="3663"/>
      <c r="E57" s="3663"/>
      <c r="F57" s="3663"/>
      <c r="G57" s="3663"/>
      <c r="H57" s="3663"/>
      <c r="I57" s="3663"/>
      <c r="J57" s="3663"/>
      <c r="K57" s="3663"/>
      <c r="L57" s="3663"/>
      <c r="M57" s="3663"/>
      <c r="N57" s="3663"/>
      <c r="O57" s="3663"/>
      <c r="P57" s="3663"/>
      <c r="Q57" s="3663"/>
      <c r="R57" s="3663"/>
      <c r="S57" s="3663"/>
      <c r="T57" s="3663"/>
      <c r="U57" s="3663"/>
      <c r="V57" s="3663"/>
      <c r="W57" s="3663"/>
      <c r="X57" s="3663"/>
      <c r="Y57" s="3663"/>
      <c r="Z57" s="3663"/>
      <c r="AA57" s="3663"/>
      <c r="AB57" s="3663"/>
      <c r="AC57" s="3663"/>
      <c r="AD57" s="3663"/>
      <c r="AE57" s="3663"/>
      <c r="AF57" s="3663"/>
      <c r="AG57" s="3663"/>
      <c r="AH57" s="3663"/>
      <c r="AI57" s="3663"/>
      <c r="AJ57" s="3664"/>
      <c r="AL57" s="3750" t="s">
        <v>1663</v>
      </c>
      <c r="AM57" s="3512"/>
      <c r="AN57" s="3512"/>
      <c r="AO57" s="3512"/>
      <c r="AP57" s="3512"/>
      <c r="AQ57" s="3512"/>
      <c r="AR57" s="3512"/>
      <c r="AS57" s="3512"/>
      <c r="AT57" s="3512"/>
      <c r="AU57" s="3512"/>
      <c r="AV57" s="3512"/>
      <c r="AW57" s="3512"/>
      <c r="AX57" s="3512"/>
      <c r="AY57" s="3512"/>
      <c r="AZ57" s="3512"/>
      <c r="BA57" s="3512"/>
      <c r="BB57" s="3512"/>
      <c r="BC57" s="3512"/>
      <c r="BD57" s="3512"/>
      <c r="BE57" s="3512"/>
      <c r="BF57" s="3512"/>
      <c r="BG57" s="3512"/>
      <c r="BH57" s="3512"/>
      <c r="BI57" s="3512"/>
      <c r="BJ57" s="3512"/>
      <c r="BK57" s="3512"/>
      <c r="BL57" s="3512"/>
      <c r="BM57" s="3512"/>
      <c r="BN57" s="3512"/>
      <c r="BO57" s="3512"/>
      <c r="BP57" s="3512"/>
      <c r="BQ57" s="3512"/>
      <c r="BR57" s="3512"/>
      <c r="BS57" s="3512"/>
      <c r="BT57" s="3512"/>
    </row>
    <row r="58" spans="1:72" ht="15" customHeight="1" outlineLevel="2">
      <c r="A58" s="3660" t="s">
        <v>295</v>
      </c>
      <c r="B58" s="3636"/>
      <c r="C58" s="3636"/>
      <c r="D58" s="3636" t="s">
        <v>296</v>
      </c>
      <c r="E58" s="3636"/>
      <c r="F58" s="3636"/>
      <c r="G58" s="3636"/>
      <c r="H58" s="3636"/>
      <c r="I58" s="3636"/>
      <c r="J58" s="3636"/>
      <c r="K58" s="3636"/>
      <c r="L58" s="3636"/>
      <c r="M58" s="3636"/>
      <c r="N58" s="3636"/>
      <c r="O58" s="3636" t="s">
        <v>297</v>
      </c>
      <c r="P58" s="3636"/>
      <c r="Q58" s="3636"/>
      <c r="R58" s="3636"/>
      <c r="S58" s="3636"/>
      <c r="T58" s="3636"/>
      <c r="U58" s="3636"/>
      <c r="V58" s="3636"/>
      <c r="W58" s="3636"/>
      <c r="X58" s="3636"/>
      <c r="Y58" s="3636"/>
      <c r="Z58" s="3636" t="s">
        <v>298</v>
      </c>
      <c r="AA58" s="3636"/>
      <c r="AB58" s="3636"/>
      <c r="AC58" s="3636"/>
      <c r="AD58" s="3636"/>
      <c r="AE58" s="3636"/>
      <c r="AF58" s="3636"/>
      <c r="AG58" s="3636"/>
      <c r="AH58" s="3636"/>
      <c r="AI58" s="3636"/>
      <c r="AJ58" s="3636"/>
      <c r="AL58" s="3750" t="s">
        <v>1664</v>
      </c>
      <c r="AM58" s="3512"/>
      <c r="AN58" s="3512"/>
      <c r="AO58" s="3512"/>
      <c r="AP58" s="3512"/>
      <c r="AQ58" s="3512"/>
      <c r="AR58" s="3512"/>
      <c r="AS58" s="3512"/>
      <c r="AT58" s="3512"/>
      <c r="AU58" s="3512"/>
      <c r="AV58" s="3512"/>
      <c r="AW58" s="3512" t="s">
        <v>1665</v>
      </c>
      <c r="AX58" s="3510"/>
      <c r="AY58" s="3510"/>
      <c r="AZ58" s="3510"/>
      <c r="BA58" s="3510"/>
      <c r="BB58" s="3510"/>
      <c r="BC58" s="3510"/>
      <c r="BD58" s="3510"/>
      <c r="BE58" s="3512" t="s">
        <v>1666</v>
      </c>
      <c r="BF58" s="3510"/>
      <c r="BG58" s="3510"/>
      <c r="BH58" s="3510"/>
      <c r="BI58" s="3510"/>
      <c r="BJ58" s="3510"/>
      <c r="BK58" s="3510"/>
      <c r="BL58" s="3510"/>
      <c r="BM58" s="3512" t="s">
        <v>1667</v>
      </c>
      <c r="BN58" s="3510"/>
      <c r="BO58" s="3510"/>
      <c r="BP58" s="3510"/>
      <c r="BQ58" s="3510"/>
      <c r="BR58" s="3510"/>
      <c r="BS58" s="3510"/>
      <c r="BT58" s="3510"/>
    </row>
    <row r="59" spans="1:72" ht="18.75" outlineLevel="2">
      <c r="A59" s="3636"/>
      <c r="B59" s="3636"/>
      <c r="C59" s="3636"/>
      <c r="D59" s="3635">
        <v>1</v>
      </c>
      <c r="E59" s="3636"/>
      <c r="F59" s="3636"/>
      <c r="G59" s="3636">
        <v>2</v>
      </c>
      <c r="H59" s="3636"/>
      <c r="I59" s="3636"/>
      <c r="J59" s="3659" t="s">
        <v>299</v>
      </c>
      <c r="K59" s="3636"/>
      <c r="L59" s="3636"/>
      <c r="M59" s="3636"/>
      <c r="N59" s="3636"/>
      <c r="O59" s="3635">
        <v>1</v>
      </c>
      <c r="P59" s="3636"/>
      <c r="Q59" s="3636"/>
      <c r="R59" s="3636">
        <v>2</v>
      </c>
      <c r="S59" s="3636"/>
      <c r="T59" s="3636"/>
      <c r="U59" s="3659" t="s">
        <v>299</v>
      </c>
      <c r="V59" s="3636"/>
      <c r="W59" s="3636"/>
      <c r="X59" s="3636"/>
      <c r="Y59" s="3636"/>
      <c r="Z59" s="3635">
        <v>1</v>
      </c>
      <c r="AA59" s="3636"/>
      <c r="AB59" s="3636"/>
      <c r="AC59" s="3636">
        <v>2</v>
      </c>
      <c r="AD59" s="3636"/>
      <c r="AE59" s="3636"/>
      <c r="AF59" s="3659" t="s">
        <v>299</v>
      </c>
      <c r="AG59" s="3636"/>
      <c r="AH59" s="3636"/>
      <c r="AI59" s="3636"/>
      <c r="AJ59" s="3636"/>
      <c r="AL59" s="3748" t="s">
        <v>1668</v>
      </c>
      <c r="AM59" s="3634"/>
      <c r="AN59" s="3634"/>
      <c r="AO59" s="3634"/>
      <c r="AP59" s="3634"/>
      <c r="AQ59" s="3634"/>
      <c r="AR59" s="3634"/>
      <c r="AS59" s="3634"/>
      <c r="AT59" s="3634"/>
      <c r="AU59" s="3634"/>
      <c r="AV59" s="3634"/>
      <c r="AW59" s="3742" t="s">
        <v>1669</v>
      </c>
      <c r="AX59" s="3634"/>
      <c r="AY59" s="3634"/>
      <c r="AZ59" s="3634"/>
      <c r="BA59" s="3634"/>
      <c r="BB59" s="3634"/>
      <c r="BC59" s="3634"/>
      <c r="BD59" s="3634"/>
      <c r="BE59" s="3742" t="s">
        <v>1670</v>
      </c>
      <c r="BF59" s="3634"/>
      <c r="BG59" s="3634"/>
      <c r="BH59" s="3634"/>
      <c r="BI59" s="3634"/>
      <c r="BJ59" s="3634"/>
      <c r="BK59" s="3634"/>
      <c r="BL59" s="3634"/>
      <c r="BM59" s="3742" t="s">
        <v>1669</v>
      </c>
      <c r="BN59" s="3634"/>
      <c r="BO59" s="3634"/>
      <c r="BP59" s="3634"/>
      <c r="BQ59" s="3634"/>
      <c r="BR59" s="3634"/>
      <c r="BS59" s="3634"/>
      <c r="BT59" s="3634"/>
    </row>
    <row r="60" spans="1:72" ht="18.75" outlineLevel="2">
      <c r="A60" s="3639" t="s">
        <v>300</v>
      </c>
      <c r="B60" s="3636"/>
      <c r="C60" s="3636"/>
      <c r="D60" s="3636" t="s">
        <v>301</v>
      </c>
      <c r="E60" s="3636"/>
      <c r="F60" s="3636"/>
      <c r="G60" s="3636" t="s">
        <v>302</v>
      </c>
      <c r="H60" s="3636"/>
      <c r="I60" s="3636"/>
      <c r="J60" s="3636" t="s">
        <v>303</v>
      </c>
      <c r="K60" s="3636"/>
      <c r="L60" s="3636"/>
      <c r="M60" s="3636"/>
      <c r="N60" s="3636"/>
      <c r="O60" s="3636" t="s">
        <v>304</v>
      </c>
      <c r="P60" s="3636"/>
      <c r="Q60" s="3636"/>
      <c r="R60" s="3636" t="s">
        <v>305</v>
      </c>
      <c r="S60" s="3636"/>
      <c r="T60" s="3636"/>
      <c r="U60" s="3636" t="s">
        <v>306</v>
      </c>
      <c r="V60" s="3636"/>
      <c r="W60" s="3636"/>
      <c r="X60" s="3636"/>
      <c r="Y60" s="3636"/>
      <c r="Z60" s="3636" t="s">
        <v>307</v>
      </c>
      <c r="AA60" s="3636"/>
      <c r="AB60" s="3636"/>
      <c r="AC60" s="3636" t="s">
        <v>307</v>
      </c>
      <c r="AD60" s="3636"/>
      <c r="AE60" s="3636"/>
      <c r="AF60" s="3636" t="s">
        <v>307</v>
      </c>
      <c r="AG60" s="3636"/>
      <c r="AH60" s="3636"/>
      <c r="AI60" s="3636"/>
      <c r="AJ60" s="3636"/>
      <c r="AL60" s="3748" t="s">
        <v>1672</v>
      </c>
      <c r="AM60" s="3634"/>
      <c r="AN60" s="3634"/>
      <c r="AO60" s="3634"/>
      <c r="AP60" s="3634"/>
      <c r="AQ60" s="3634"/>
      <c r="AR60" s="3634"/>
      <c r="AS60" s="3634"/>
      <c r="AT60" s="3634"/>
      <c r="AU60" s="3634"/>
      <c r="AV60" s="3634"/>
      <c r="AW60" s="3742" t="s">
        <v>1669</v>
      </c>
      <c r="AX60" s="3634"/>
      <c r="AY60" s="3634"/>
      <c r="AZ60" s="3634"/>
      <c r="BA60" s="3634"/>
      <c r="BB60" s="3634"/>
      <c r="BC60" s="3634"/>
      <c r="BD60" s="3634"/>
      <c r="BE60" s="3742" t="s">
        <v>1670</v>
      </c>
      <c r="BF60" s="3634"/>
      <c r="BG60" s="3634"/>
      <c r="BH60" s="3634"/>
      <c r="BI60" s="3634"/>
      <c r="BJ60" s="3634"/>
      <c r="BK60" s="3634"/>
      <c r="BL60" s="3634"/>
      <c r="BM60" s="3742" t="s">
        <v>1669</v>
      </c>
      <c r="BN60" s="3634"/>
      <c r="BO60" s="3634"/>
      <c r="BP60" s="3634"/>
      <c r="BQ60" s="3634"/>
      <c r="BR60" s="3634"/>
      <c r="BS60" s="3634"/>
      <c r="BT60" s="3634"/>
    </row>
    <row r="61" spans="1:72" ht="18.75" outlineLevel="2">
      <c r="A61" s="3639" t="s">
        <v>308</v>
      </c>
      <c r="B61" s="3636"/>
      <c r="C61" s="3636"/>
      <c r="D61" s="3636" t="s">
        <v>309</v>
      </c>
      <c r="E61" s="3636"/>
      <c r="F61" s="3636"/>
      <c r="G61" s="3636" t="s">
        <v>310</v>
      </c>
      <c r="H61" s="3636"/>
      <c r="I61" s="3636"/>
      <c r="J61" s="3636" t="s">
        <v>311</v>
      </c>
      <c r="K61" s="3636"/>
      <c r="L61" s="3636"/>
      <c r="M61" s="3636"/>
      <c r="N61" s="3636"/>
      <c r="O61" s="3636" t="s">
        <v>312</v>
      </c>
      <c r="P61" s="3636"/>
      <c r="Q61" s="3636"/>
      <c r="R61" s="3636" t="s">
        <v>313</v>
      </c>
      <c r="S61" s="3636"/>
      <c r="T61" s="3636"/>
      <c r="U61" s="3636" t="s">
        <v>314</v>
      </c>
      <c r="V61" s="3636"/>
      <c r="W61" s="3636"/>
      <c r="X61" s="3636"/>
      <c r="Y61" s="3636"/>
      <c r="Z61" s="3636" t="s">
        <v>315</v>
      </c>
      <c r="AA61" s="3636"/>
      <c r="AB61" s="3636"/>
      <c r="AC61" s="3636" t="s">
        <v>315</v>
      </c>
      <c r="AD61" s="3636"/>
      <c r="AE61" s="3636"/>
      <c r="AF61" s="3636" t="s">
        <v>315</v>
      </c>
      <c r="AG61" s="3636"/>
      <c r="AH61" s="3636"/>
      <c r="AI61" s="3636"/>
      <c r="AJ61" s="3636"/>
      <c r="AL61" s="3634" t="s">
        <v>1673</v>
      </c>
      <c r="AM61" s="3634"/>
      <c r="AN61" s="3634"/>
      <c r="AO61" s="3634"/>
      <c r="AP61" s="3634"/>
      <c r="AQ61" s="3634"/>
      <c r="AR61" s="3634"/>
      <c r="AS61" s="3634"/>
      <c r="AT61" s="3634"/>
      <c r="AU61" s="3634"/>
      <c r="AV61" s="3634"/>
      <c r="AW61" s="3742" t="s">
        <v>1655</v>
      </c>
      <c r="AX61" s="3634"/>
      <c r="AY61" s="3634"/>
      <c r="AZ61" s="3634"/>
      <c r="BA61" s="3634"/>
      <c r="BB61" s="3634"/>
      <c r="BC61" s="3634"/>
      <c r="BD61" s="3634"/>
      <c r="BE61" s="3742" t="s">
        <v>1685</v>
      </c>
      <c r="BF61" s="3634"/>
      <c r="BG61" s="3634"/>
      <c r="BH61" s="3634"/>
      <c r="BI61" s="3634"/>
      <c r="BJ61" s="3634"/>
      <c r="BK61" s="3634"/>
      <c r="BL61" s="3634"/>
      <c r="BM61" s="3742" t="s">
        <v>1671</v>
      </c>
      <c r="BN61" s="3634"/>
      <c r="BO61" s="3634"/>
      <c r="BP61" s="3634"/>
      <c r="BQ61" s="3634"/>
      <c r="BR61" s="3634"/>
      <c r="BS61" s="3634"/>
      <c r="BT61" s="3634"/>
    </row>
    <row r="62" spans="1:72" ht="18.75" outlineLevel="2">
      <c r="A62" s="3636" t="s">
        <v>316</v>
      </c>
      <c r="B62" s="3636"/>
      <c r="C62" s="3636"/>
      <c r="D62" s="3636" t="s">
        <v>317</v>
      </c>
      <c r="E62" s="3636"/>
      <c r="F62" s="3636"/>
      <c r="G62" s="3636" t="s">
        <v>317</v>
      </c>
      <c r="H62" s="3636"/>
      <c r="I62" s="3636"/>
      <c r="J62" s="3636" t="s">
        <v>317</v>
      </c>
      <c r="K62" s="3636"/>
      <c r="L62" s="3636"/>
      <c r="M62" s="3636"/>
      <c r="N62" s="3636"/>
      <c r="O62" s="3636" t="s">
        <v>318</v>
      </c>
      <c r="P62" s="3636"/>
      <c r="Q62" s="3636"/>
      <c r="R62" s="3636" t="s">
        <v>319</v>
      </c>
      <c r="S62" s="3636"/>
      <c r="T62" s="3636"/>
      <c r="U62" s="3636" t="s">
        <v>320</v>
      </c>
      <c r="V62" s="3636"/>
      <c r="W62" s="3636"/>
      <c r="X62" s="3636"/>
      <c r="Y62" s="3636"/>
      <c r="Z62" s="3636" t="s">
        <v>321</v>
      </c>
      <c r="AA62" s="3636"/>
      <c r="AB62" s="3636"/>
      <c r="AC62" s="3636" t="s">
        <v>319</v>
      </c>
      <c r="AD62" s="3636"/>
      <c r="AE62" s="3636"/>
      <c r="AF62" s="3636" t="s">
        <v>322</v>
      </c>
      <c r="AG62" s="3636"/>
      <c r="AH62" s="3636"/>
      <c r="AI62" s="3636"/>
      <c r="AJ62" s="3636"/>
      <c r="AL62" s="3634" t="s">
        <v>1674</v>
      </c>
      <c r="AM62" s="3634"/>
      <c r="AN62" s="3634"/>
      <c r="AO62" s="3634"/>
      <c r="AP62" s="3634"/>
      <c r="AQ62" s="3634"/>
      <c r="AR62" s="3634"/>
      <c r="AS62" s="3634"/>
      <c r="AT62" s="3634"/>
      <c r="AU62" s="3634"/>
      <c r="AV62" s="3634"/>
      <c r="AW62" s="3742" t="s">
        <v>1669</v>
      </c>
      <c r="AX62" s="3634"/>
      <c r="AY62" s="3634"/>
      <c r="AZ62" s="3634"/>
      <c r="BA62" s="3634"/>
      <c r="BB62" s="3634"/>
      <c r="BC62" s="3634"/>
      <c r="BD62" s="3634"/>
      <c r="BE62" s="3742" t="s">
        <v>1655</v>
      </c>
      <c r="BF62" s="3634"/>
      <c r="BG62" s="3634"/>
      <c r="BH62" s="3634"/>
      <c r="BI62" s="3634"/>
      <c r="BJ62" s="3634"/>
      <c r="BK62" s="3634"/>
      <c r="BL62" s="3634"/>
      <c r="BM62" s="3742" t="s">
        <v>1655</v>
      </c>
      <c r="BN62" s="3634"/>
      <c r="BO62" s="3634"/>
      <c r="BP62" s="3634"/>
      <c r="BQ62" s="3634"/>
      <c r="BR62" s="3634"/>
      <c r="BS62" s="3634"/>
      <c r="BT62" s="3634"/>
    </row>
    <row r="63" spans="1:72" ht="18.75" outlineLevel="2">
      <c r="A63" s="3636" t="s">
        <v>323</v>
      </c>
      <c r="B63" s="3636"/>
      <c r="C63" s="3636"/>
      <c r="D63" s="3636" t="s">
        <v>319</v>
      </c>
      <c r="E63" s="3636"/>
      <c r="F63" s="3636"/>
      <c r="G63" s="3636" t="s">
        <v>319</v>
      </c>
      <c r="H63" s="3636"/>
      <c r="I63" s="3636"/>
      <c r="J63" s="3636" t="s">
        <v>319</v>
      </c>
      <c r="K63" s="3636"/>
      <c r="L63" s="3636"/>
      <c r="M63" s="3636"/>
      <c r="N63" s="3636"/>
      <c r="O63" s="3636" t="s">
        <v>317</v>
      </c>
      <c r="P63" s="3636"/>
      <c r="Q63" s="3636"/>
      <c r="R63" s="3636" t="s">
        <v>317</v>
      </c>
      <c r="S63" s="3636"/>
      <c r="T63" s="3636"/>
      <c r="U63" s="3636" t="s">
        <v>317</v>
      </c>
      <c r="V63" s="3636"/>
      <c r="W63" s="3636"/>
      <c r="X63" s="3636"/>
      <c r="Y63" s="3636"/>
      <c r="Z63" s="3636" t="s">
        <v>317</v>
      </c>
      <c r="AA63" s="3636"/>
      <c r="AB63" s="3636"/>
      <c r="AC63" s="3636" t="s">
        <v>317</v>
      </c>
      <c r="AD63" s="3636"/>
      <c r="AE63" s="3636"/>
      <c r="AF63" s="3636" t="s">
        <v>317</v>
      </c>
      <c r="AG63" s="3636"/>
      <c r="AH63" s="3636"/>
      <c r="AI63" s="3636"/>
      <c r="AJ63" s="3636"/>
      <c r="AL63" s="3634" t="s">
        <v>1676</v>
      </c>
      <c r="AM63" s="3634"/>
      <c r="AN63" s="3634"/>
      <c r="AO63" s="3634"/>
      <c r="AP63" s="3634"/>
      <c r="AQ63" s="3634"/>
      <c r="AR63" s="3634"/>
      <c r="AS63" s="3634"/>
      <c r="AT63" s="3634"/>
      <c r="AU63" s="3634"/>
      <c r="AV63" s="3634"/>
      <c r="AW63" s="3742" t="s">
        <v>1655</v>
      </c>
      <c r="AX63" s="3634"/>
      <c r="AY63" s="3634"/>
      <c r="AZ63" s="3634"/>
      <c r="BA63" s="3634"/>
      <c r="BB63" s="3634"/>
      <c r="BC63" s="3634"/>
      <c r="BD63" s="3634"/>
      <c r="BE63" s="3741" t="s">
        <v>1670</v>
      </c>
      <c r="BF63" s="3476"/>
      <c r="BG63" s="3476"/>
      <c r="BH63" s="3476"/>
      <c r="BI63" s="3476"/>
      <c r="BJ63" s="3476"/>
      <c r="BK63" s="3476"/>
      <c r="BL63" s="3476"/>
      <c r="BM63" s="3742" t="s">
        <v>1669</v>
      </c>
      <c r="BN63" s="3634"/>
      <c r="BO63" s="3634"/>
      <c r="BP63" s="3634"/>
      <c r="BQ63" s="3634"/>
      <c r="BR63" s="3634"/>
      <c r="BS63" s="3634"/>
      <c r="BT63" s="3634"/>
    </row>
    <row r="64" spans="1:72" ht="18.75" outlineLevel="2">
      <c r="A64" s="3636" t="s">
        <v>324</v>
      </c>
      <c r="B64" s="3636"/>
      <c r="C64" s="3636"/>
      <c r="D64" s="3636" t="s">
        <v>317</v>
      </c>
      <c r="E64" s="3636"/>
      <c r="F64" s="3636"/>
      <c r="G64" s="3636" t="s">
        <v>317</v>
      </c>
      <c r="H64" s="3636"/>
      <c r="I64" s="3636"/>
      <c r="J64" s="3636" t="s">
        <v>317</v>
      </c>
      <c r="K64" s="3636"/>
      <c r="L64" s="3636"/>
      <c r="M64" s="3636"/>
      <c r="N64" s="3636"/>
      <c r="O64" s="3636" t="s">
        <v>325</v>
      </c>
      <c r="P64" s="3636"/>
      <c r="Q64" s="3636"/>
      <c r="R64" s="3636" t="s">
        <v>326</v>
      </c>
      <c r="S64" s="3636"/>
      <c r="T64" s="3636"/>
      <c r="U64" s="3636" t="s">
        <v>327</v>
      </c>
      <c r="V64" s="3636"/>
      <c r="W64" s="3636"/>
      <c r="X64" s="3636"/>
      <c r="Y64" s="3636"/>
      <c r="Z64" s="3636" t="s">
        <v>319</v>
      </c>
      <c r="AA64" s="3636"/>
      <c r="AB64" s="3636"/>
      <c r="AC64" s="3636" t="s">
        <v>326</v>
      </c>
      <c r="AD64" s="3636"/>
      <c r="AE64" s="3636"/>
      <c r="AF64" s="3636" t="s">
        <v>319</v>
      </c>
      <c r="AG64" s="3636"/>
      <c r="AH64" s="3636"/>
      <c r="AI64" s="3636"/>
      <c r="AJ64" s="3636"/>
      <c r="AL64" s="3634" t="s">
        <v>1677</v>
      </c>
      <c r="AM64" s="3634"/>
      <c r="AN64" s="3634"/>
      <c r="AO64" s="3634"/>
      <c r="AP64" s="3634"/>
      <c r="AQ64" s="3634"/>
      <c r="AR64" s="3634"/>
      <c r="AS64" s="3634"/>
      <c r="AT64" s="3634"/>
      <c r="AU64" s="3634"/>
      <c r="AV64" s="3634"/>
      <c r="AW64" s="3742" t="s">
        <v>1670</v>
      </c>
      <c r="AX64" s="3634"/>
      <c r="AY64" s="3634"/>
      <c r="AZ64" s="3634"/>
      <c r="BA64" s="3634"/>
      <c r="BB64" s="3634"/>
      <c r="BC64" s="3634"/>
      <c r="BD64" s="3634"/>
      <c r="BE64" s="3742" t="s">
        <v>1655</v>
      </c>
      <c r="BF64" s="3634"/>
      <c r="BG64" s="3634"/>
      <c r="BH64" s="3634"/>
      <c r="BI64" s="3634"/>
      <c r="BJ64" s="3634"/>
      <c r="BK64" s="3634"/>
      <c r="BL64" s="3634"/>
      <c r="BM64" s="3742" t="s">
        <v>1655</v>
      </c>
      <c r="BN64" s="3634"/>
      <c r="BO64" s="3634"/>
      <c r="BP64" s="3634"/>
      <c r="BQ64" s="3634"/>
      <c r="BR64" s="3634"/>
      <c r="BS64" s="3634"/>
      <c r="BT64" s="3634"/>
    </row>
    <row r="65" spans="1:72" ht="16.5" outlineLevel="2">
      <c r="A65" s="3636" t="s">
        <v>328</v>
      </c>
      <c r="B65" s="3636"/>
      <c r="C65" s="3636"/>
      <c r="D65" s="3636" t="s">
        <v>325</v>
      </c>
      <c r="E65" s="3636"/>
      <c r="F65" s="3636"/>
      <c r="G65" s="3636" t="s">
        <v>326</v>
      </c>
      <c r="H65" s="3636"/>
      <c r="I65" s="3636"/>
      <c r="J65" s="3636" t="s">
        <v>327</v>
      </c>
      <c r="K65" s="3636"/>
      <c r="L65" s="3636"/>
      <c r="M65" s="3636"/>
      <c r="N65" s="3636"/>
      <c r="O65" s="3636" t="s">
        <v>317</v>
      </c>
      <c r="P65" s="3636"/>
      <c r="Q65" s="3636"/>
      <c r="R65" s="3636" t="s">
        <v>317</v>
      </c>
      <c r="S65" s="3636"/>
      <c r="T65" s="3636"/>
      <c r="U65" s="3636" t="s">
        <v>317</v>
      </c>
      <c r="V65" s="3636"/>
      <c r="W65" s="3636"/>
      <c r="X65" s="3636"/>
      <c r="Y65" s="3636"/>
      <c r="Z65" s="3636" t="s">
        <v>317</v>
      </c>
      <c r="AA65" s="3636"/>
      <c r="AB65" s="3636"/>
      <c r="AC65" s="3636" t="s">
        <v>317</v>
      </c>
      <c r="AD65" s="3636"/>
      <c r="AE65" s="3636"/>
      <c r="AF65" s="3636" t="s">
        <v>317</v>
      </c>
      <c r="AG65" s="3636"/>
      <c r="AH65" s="3636"/>
      <c r="AI65" s="3636"/>
      <c r="AJ65" s="3636"/>
      <c r="AL65" s="3750" t="s">
        <v>1678</v>
      </c>
      <c r="AM65" s="3512"/>
      <c r="AN65" s="3512"/>
      <c r="AO65" s="3512"/>
      <c r="AP65" s="3512"/>
      <c r="AQ65" s="3512"/>
      <c r="AR65" s="3512"/>
      <c r="AS65" s="3512"/>
      <c r="AT65" s="3512"/>
      <c r="AU65" s="3512"/>
      <c r="AV65" s="3512"/>
      <c r="AW65" s="3512"/>
      <c r="AX65" s="3512"/>
      <c r="AY65" s="3512"/>
      <c r="AZ65" s="3512"/>
      <c r="BA65" s="3512"/>
      <c r="BB65" s="3512"/>
      <c r="BC65" s="3512"/>
      <c r="BD65" s="3512"/>
      <c r="BE65" s="3512"/>
      <c r="BF65" s="3512"/>
      <c r="BG65" s="3512"/>
      <c r="BH65" s="3512"/>
      <c r="BI65" s="3512"/>
      <c r="BJ65" s="3512"/>
      <c r="BK65" s="3512"/>
      <c r="BL65" s="3512"/>
      <c r="BM65" s="3512"/>
      <c r="BN65" s="3512"/>
      <c r="BO65" s="3512"/>
      <c r="BP65" s="3512"/>
      <c r="BQ65" s="3512"/>
      <c r="BR65" s="3512"/>
      <c r="BS65" s="3512"/>
      <c r="BT65" s="3512"/>
    </row>
    <row r="66" spans="1:72" ht="15.75" outlineLevel="2">
      <c r="A66" s="3662" t="s">
        <v>329</v>
      </c>
      <c r="B66" s="3663"/>
      <c r="C66" s="3663"/>
      <c r="D66" s="3663"/>
      <c r="E66" s="3663"/>
      <c r="F66" s="3663"/>
      <c r="G66" s="3663"/>
      <c r="H66" s="3663"/>
      <c r="I66" s="3663"/>
      <c r="J66" s="3663"/>
      <c r="K66" s="3663"/>
      <c r="L66" s="3663"/>
      <c r="M66" s="3663"/>
      <c r="N66" s="3663"/>
      <c r="O66" s="3663"/>
      <c r="P66" s="3663"/>
      <c r="Q66" s="3663"/>
      <c r="R66" s="3663"/>
      <c r="S66" s="3663"/>
      <c r="T66" s="3663"/>
      <c r="U66" s="3663"/>
      <c r="V66" s="3663"/>
      <c r="W66" s="3663"/>
      <c r="X66" s="3663"/>
      <c r="Y66" s="3663"/>
      <c r="Z66" s="3663"/>
      <c r="AA66" s="3663"/>
      <c r="AB66" s="3663"/>
      <c r="AC66" s="3663"/>
      <c r="AD66" s="3663"/>
      <c r="AE66" s="3663"/>
      <c r="AF66" s="3663"/>
      <c r="AG66" s="3663"/>
      <c r="AH66" s="3663"/>
      <c r="AI66" s="3663"/>
      <c r="AJ66" s="3664"/>
      <c r="AL66" s="3750" t="s">
        <v>1664</v>
      </c>
      <c r="AM66" s="3512"/>
      <c r="AN66" s="3512"/>
      <c r="AO66" s="3512"/>
      <c r="AP66" s="3512"/>
      <c r="AQ66" s="3512" t="s">
        <v>1679</v>
      </c>
      <c r="AR66" s="3512"/>
      <c r="AS66" s="3512"/>
      <c r="AT66" s="3512"/>
      <c r="AU66" s="3512"/>
      <c r="AV66" s="3512"/>
      <c r="AW66" s="3512"/>
      <c r="AX66" s="3512"/>
      <c r="AY66" s="3512"/>
      <c r="AZ66" s="3512"/>
      <c r="BA66" s="3512" t="s">
        <v>1680</v>
      </c>
      <c r="BB66" s="3512"/>
      <c r="BC66" s="3512"/>
      <c r="BD66" s="3512"/>
      <c r="BE66" s="3512"/>
      <c r="BF66" s="3512"/>
      <c r="BG66" s="3512"/>
      <c r="BH66" s="3512"/>
      <c r="BI66" s="3512"/>
      <c r="BJ66" s="3512"/>
      <c r="BK66" s="3749" t="s">
        <v>1681</v>
      </c>
      <c r="BL66" s="3749"/>
      <c r="BM66" s="3749"/>
      <c r="BN66" s="3749"/>
      <c r="BO66" s="3749"/>
      <c r="BP66" s="3749"/>
      <c r="BQ66" s="3749"/>
      <c r="BR66" s="3749"/>
      <c r="BS66" s="3749"/>
      <c r="BT66" s="3749"/>
    </row>
    <row r="67" spans="1:72" ht="15" customHeight="1" outlineLevel="2">
      <c r="A67" s="3660" t="s">
        <v>330</v>
      </c>
      <c r="B67" s="3636"/>
      <c r="C67" s="3636"/>
      <c r="D67" s="3636" t="s">
        <v>331</v>
      </c>
      <c r="E67" s="3636"/>
      <c r="F67" s="3636"/>
      <c r="G67" s="3636"/>
      <c r="H67" s="3636"/>
      <c r="I67" s="3636"/>
      <c r="J67" s="3636"/>
      <c r="K67" s="3636"/>
      <c r="L67" s="3636"/>
      <c r="M67" s="3636"/>
      <c r="N67" s="3636"/>
      <c r="O67" s="3636" t="s">
        <v>332</v>
      </c>
      <c r="P67" s="3636"/>
      <c r="Q67" s="3636"/>
      <c r="R67" s="3636"/>
      <c r="S67" s="3636"/>
      <c r="T67" s="3636"/>
      <c r="U67" s="3636"/>
      <c r="V67" s="3636"/>
      <c r="W67" s="3636"/>
      <c r="X67" s="3636"/>
      <c r="Y67" s="3636"/>
      <c r="Z67" s="3636" t="s">
        <v>333</v>
      </c>
      <c r="AA67" s="3636"/>
      <c r="AB67" s="3636"/>
      <c r="AC67" s="3636"/>
      <c r="AD67" s="3636"/>
      <c r="AE67" s="3636"/>
      <c r="AF67" s="3636"/>
      <c r="AG67" s="3636"/>
      <c r="AH67" s="3636"/>
      <c r="AI67" s="3636"/>
      <c r="AJ67" s="3636"/>
      <c r="AL67" s="3512"/>
      <c r="AM67" s="3512"/>
      <c r="AN67" s="3512"/>
      <c r="AO67" s="3512"/>
      <c r="AP67" s="3512"/>
      <c r="AQ67" s="3765" t="s">
        <v>1682</v>
      </c>
      <c r="AR67" s="3766"/>
      <c r="AS67" s="3766"/>
      <c r="AT67" s="3766"/>
      <c r="AU67" s="3767"/>
      <c r="AV67" s="3765" t="s">
        <v>1683</v>
      </c>
      <c r="AW67" s="3766"/>
      <c r="AX67" s="3766"/>
      <c r="AY67" s="3766"/>
      <c r="AZ67" s="3767"/>
      <c r="BA67" s="3765" t="s">
        <v>1682</v>
      </c>
      <c r="BB67" s="3766"/>
      <c r="BC67" s="3766"/>
      <c r="BD67" s="3766"/>
      <c r="BE67" s="3767"/>
      <c r="BF67" s="3765" t="s">
        <v>1683</v>
      </c>
      <c r="BG67" s="3766"/>
      <c r="BH67" s="3766"/>
      <c r="BI67" s="3766"/>
      <c r="BJ67" s="3767"/>
      <c r="BK67" s="3765" t="s">
        <v>1682</v>
      </c>
      <c r="BL67" s="3766"/>
      <c r="BM67" s="3766"/>
      <c r="BN67" s="3766"/>
      <c r="BO67" s="3767"/>
      <c r="BP67" s="3765" t="s">
        <v>1683</v>
      </c>
      <c r="BQ67" s="3766"/>
      <c r="BR67" s="3766"/>
      <c r="BS67" s="3766"/>
      <c r="BT67" s="3767"/>
    </row>
    <row r="68" spans="1:72" ht="18.75" outlineLevel="2">
      <c r="A68" s="3636"/>
      <c r="B68" s="3636"/>
      <c r="C68" s="3636"/>
      <c r="D68" s="3635">
        <v>1</v>
      </c>
      <c r="E68" s="3636"/>
      <c r="F68" s="3636"/>
      <c r="G68" s="3636">
        <v>2</v>
      </c>
      <c r="H68" s="3636"/>
      <c r="I68" s="3636"/>
      <c r="J68" s="3659" t="s">
        <v>334</v>
      </c>
      <c r="K68" s="3636"/>
      <c r="L68" s="3636"/>
      <c r="M68" s="3636"/>
      <c r="N68" s="3636"/>
      <c r="O68" s="3635">
        <v>1</v>
      </c>
      <c r="P68" s="3636"/>
      <c r="Q68" s="3636"/>
      <c r="R68" s="3636">
        <v>2</v>
      </c>
      <c r="S68" s="3636"/>
      <c r="T68" s="3636"/>
      <c r="U68" s="3659" t="s">
        <v>334</v>
      </c>
      <c r="V68" s="3636"/>
      <c r="W68" s="3636"/>
      <c r="X68" s="3636"/>
      <c r="Y68" s="3636"/>
      <c r="Z68" s="3635">
        <v>1</v>
      </c>
      <c r="AA68" s="3636"/>
      <c r="AB68" s="3636"/>
      <c r="AC68" s="3636">
        <v>2</v>
      </c>
      <c r="AD68" s="3636"/>
      <c r="AE68" s="3636"/>
      <c r="AF68" s="3659" t="s">
        <v>334</v>
      </c>
      <c r="AG68" s="3636"/>
      <c r="AH68" s="3636"/>
      <c r="AI68" s="3636"/>
      <c r="AJ68" s="3636"/>
      <c r="AL68" s="3748" t="s">
        <v>1668</v>
      </c>
      <c r="AM68" s="3634"/>
      <c r="AN68" s="3634"/>
      <c r="AO68" s="3634"/>
      <c r="AP68" s="3634"/>
      <c r="AQ68" s="3727" t="s">
        <v>1669</v>
      </c>
      <c r="AR68" s="3728"/>
      <c r="AS68" s="3728"/>
      <c r="AT68" s="3728"/>
      <c r="AU68" s="3729"/>
      <c r="AV68" s="3727" t="s">
        <v>1669</v>
      </c>
      <c r="AW68" s="3728"/>
      <c r="AX68" s="3728"/>
      <c r="AY68" s="3728"/>
      <c r="AZ68" s="3729"/>
      <c r="BA68" s="3727" t="s">
        <v>1685</v>
      </c>
      <c r="BB68" s="3728"/>
      <c r="BC68" s="3728"/>
      <c r="BD68" s="3728"/>
      <c r="BE68" s="3729"/>
      <c r="BF68" s="3727" t="s">
        <v>1686</v>
      </c>
      <c r="BG68" s="3728"/>
      <c r="BH68" s="3728"/>
      <c r="BI68" s="3728"/>
      <c r="BJ68" s="3729"/>
      <c r="BK68" s="3727" t="s">
        <v>1685</v>
      </c>
      <c r="BL68" s="3728"/>
      <c r="BM68" s="3728"/>
      <c r="BN68" s="3728"/>
      <c r="BO68" s="3729"/>
      <c r="BP68" s="3727" t="s">
        <v>1684</v>
      </c>
      <c r="BQ68" s="3728"/>
      <c r="BR68" s="3728"/>
      <c r="BS68" s="3728"/>
      <c r="BT68" s="3729"/>
    </row>
    <row r="69" spans="1:72" ht="18.75" outlineLevel="2">
      <c r="A69" s="3640" t="s">
        <v>335</v>
      </c>
      <c r="B69" s="3641"/>
      <c r="C69" s="3641"/>
      <c r="D69" s="3641"/>
      <c r="E69" s="3641"/>
      <c r="F69" s="3641"/>
      <c r="G69" s="3641"/>
      <c r="H69" s="3641"/>
      <c r="I69" s="3641"/>
      <c r="J69" s="3641"/>
      <c r="K69" s="3641"/>
      <c r="L69" s="3641"/>
      <c r="M69" s="3641"/>
      <c r="N69" s="3641"/>
      <c r="O69" s="3641"/>
      <c r="P69" s="3641"/>
      <c r="Q69" s="3641"/>
      <c r="R69" s="3641"/>
      <c r="S69" s="3641"/>
      <c r="T69" s="3641"/>
      <c r="U69" s="3641"/>
      <c r="V69" s="3641"/>
      <c r="W69" s="3641"/>
      <c r="X69" s="3641"/>
      <c r="Y69" s="3641"/>
      <c r="Z69" s="3641"/>
      <c r="AA69" s="3641"/>
      <c r="AB69" s="3641"/>
      <c r="AC69" s="3641"/>
      <c r="AD69" s="3641"/>
      <c r="AE69" s="3641"/>
      <c r="AF69" s="3641"/>
      <c r="AG69" s="3641"/>
      <c r="AH69" s="3641"/>
      <c r="AI69" s="3641"/>
      <c r="AJ69" s="3642"/>
      <c r="AL69" s="3748" t="s">
        <v>1672</v>
      </c>
      <c r="AM69" s="3634"/>
      <c r="AN69" s="3634"/>
      <c r="AO69" s="3634"/>
      <c r="AP69" s="3634"/>
      <c r="AQ69" s="3727" t="s">
        <v>1685</v>
      </c>
      <c r="AR69" s="3728"/>
      <c r="AS69" s="3728"/>
      <c r="AT69" s="3728"/>
      <c r="AU69" s="3729"/>
      <c r="AV69" s="3727" t="s">
        <v>1670</v>
      </c>
      <c r="AW69" s="3728"/>
      <c r="AX69" s="3728"/>
      <c r="AY69" s="3728"/>
      <c r="AZ69" s="3729"/>
      <c r="BA69" s="3727" t="s">
        <v>1669</v>
      </c>
      <c r="BB69" s="3728"/>
      <c r="BC69" s="3728"/>
      <c r="BD69" s="3728"/>
      <c r="BE69" s="3729"/>
      <c r="BF69" s="3727" t="s">
        <v>1670</v>
      </c>
      <c r="BG69" s="3728"/>
      <c r="BH69" s="3728"/>
      <c r="BI69" s="3728"/>
      <c r="BJ69" s="3729"/>
      <c r="BK69" s="3727" t="s">
        <v>1685</v>
      </c>
      <c r="BL69" s="3728"/>
      <c r="BM69" s="3728"/>
      <c r="BN69" s="3728"/>
      <c r="BO69" s="3729"/>
      <c r="BP69" s="3727" t="s">
        <v>1684</v>
      </c>
      <c r="BQ69" s="3728"/>
      <c r="BR69" s="3728"/>
      <c r="BS69" s="3728"/>
      <c r="BT69" s="3729"/>
    </row>
    <row r="70" spans="1:72" ht="18.75" outlineLevel="2">
      <c r="A70" s="3639" t="s">
        <v>336</v>
      </c>
      <c r="B70" s="3636"/>
      <c r="C70" s="3636"/>
      <c r="D70" s="3640" t="s">
        <v>319</v>
      </c>
      <c r="E70" s="3643"/>
      <c r="F70" s="3644"/>
      <c r="G70" s="3640" t="s">
        <v>337</v>
      </c>
      <c r="H70" s="3641"/>
      <c r="I70" s="3642"/>
      <c r="J70" s="3640" t="s">
        <v>338</v>
      </c>
      <c r="K70" s="3643"/>
      <c r="L70" s="3643"/>
      <c r="M70" s="3643"/>
      <c r="N70" s="3644"/>
      <c r="O70" s="3640" t="s">
        <v>339</v>
      </c>
      <c r="P70" s="3641"/>
      <c r="Q70" s="3642"/>
      <c r="R70" s="3640" t="s">
        <v>339</v>
      </c>
      <c r="S70" s="3641"/>
      <c r="T70" s="3642"/>
      <c r="U70" s="3640" t="s">
        <v>339</v>
      </c>
      <c r="V70" s="3641"/>
      <c r="W70" s="3641"/>
      <c r="X70" s="3641"/>
      <c r="Y70" s="3642"/>
      <c r="Z70" s="3640" t="s">
        <v>340</v>
      </c>
      <c r="AA70" s="3643"/>
      <c r="AB70" s="3644"/>
      <c r="AC70" s="3640" t="s">
        <v>337</v>
      </c>
      <c r="AD70" s="3641"/>
      <c r="AE70" s="3642"/>
      <c r="AF70" s="3640" t="s">
        <v>341</v>
      </c>
      <c r="AG70" s="3643"/>
      <c r="AH70" s="3643"/>
      <c r="AI70" s="3643"/>
      <c r="AJ70" s="3644"/>
      <c r="AL70" s="3634" t="s">
        <v>1673</v>
      </c>
      <c r="AM70" s="3634"/>
      <c r="AN70" s="3634"/>
      <c r="AO70" s="3634"/>
      <c r="AP70" s="3634"/>
      <c r="AQ70" s="3727" t="s">
        <v>1655</v>
      </c>
      <c r="AR70" s="3728"/>
      <c r="AS70" s="3728"/>
      <c r="AT70" s="3728"/>
      <c r="AU70" s="3729"/>
      <c r="AV70" s="3727" t="s">
        <v>1669</v>
      </c>
      <c r="AW70" s="3728"/>
      <c r="AX70" s="3728"/>
      <c r="AY70" s="3728"/>
      <c r="AZ70" s="3729"/>
      <c r="BA70" s="3727" t="s">
        <v>1655</v>
      </c>
      <c r="BB70" s="3728"/>
      <c r="BC70" s="3728"/>
      <c r="BD70" s="3728"/>
      <c r="BE70" s="3729"/>
      <c r="BF70" s="3727" t="s">
        <v>1694</v>
      </c>
      <c r="BG70" s="3728"/>
      <c r="BH70" s="3728"/>
      <c r="BI70" s="3728"/>
      <c r="BJ70" s="3729"/>
      <c r="BK70" s="3727" t="s">
        <v>1655</v>
      </c>
      <c r="BL70" s="3728"/>
      <c r="BM70" s="3728"/>
      <c r="BN70" s="3728"/>
      <c r="BO70" s="3729"/>
      <c r="BP70" s="3727" t="s">
        <v>1670</v>
      </c>
      <c r="BQ70" s="3728"/>
      <c r="BR70" s="3728"/>
      <c r="BS70" s="3728"/>
      <c r="BT70" s="3729"/>
    </row>
    <row r="71" spans="1:72" ht="18.75" outlineLevel="2">
      <c r="A71" s="3639" t="s">
        <v>308</v>
      </c>
      <c r="B71" s="3636"/>
      <c r="C71" s="3636"/>
      <c r="D71" s="3640" t="s">
        <v>320</v>
      </c>
      <c r="E71" s="3643"/>
      <c r="F71" s="3644"/>
      <c r="G71" s="3640" t="s">
        <v>342</v>
      </c>
      <c r="H71" s="3641"/>
      <c r="I71" s="3642"/>
      <c r="J71" s="3640" t="s">
        <v>343</v>
      </c>
      <c r="K71" s="3643"/>
      <c r="L71" s="3643"/>
      <c r="M71" s="3643"/>
      <c r="N71" s="3644"/>
      <c r="O71" s="3640" t="s">
        <v>342</v>
      </c>
      <c r="P71" s="3641"/>
      <c r="Q71" s="3642"/>
      <c r="R71" s="3640" t="s">
        <v>342</v>
      </c>
      <c r="S71" s="3641"/>
      <c r="T71" s="3642"/>
      <c r="U71" s="3640" t="s">
        <v>342</v>
      </c>
      <c r="V71" s="3641"/>
      <c r="W71" s="3641"/>
      <c r="X71" s="3641"/>
      <c r="Y71" s="3642"/>
      <c r="Z71" s="3640" t="s">
        <v>343</v>
      </c>
      <c r="AA71" s="3643"/>
      <c r="AB71" s="3644"/>
      <c r="AC71" s="3640" t="s">
        <v>343</v>
      </c>
      <c r="AD71" s="3641"/>
      <c r="AE71" s="3642"/>
      <c r="AF71" s="3640" t="s">
        <v>343</v>
      </c>
      <c r="AG71" s="3643"/>
      <c r="AH71" s="3643"/>
      <c r="AI71" s="3643"/>
      <c r="AJ71" s="3644"/>
      <c r="AL71" s="3634" t="s">
        <v>1674</v>
      </c>
      <c r="AM71" s="3634"/>
      <c r="AN71" s="3634"/>
      <c r="AO71" s="3634"/>
      <c r="AP71" s="3634"/>
      <c r="AQ71" s="3727" t="s">
        <v>1669</v>
      </c>
      <c r="AR71" s="3728"/>
      <c r="AS71" s="3728"/>
      <c r="AT71" s="3728"/>
      <c r="AU71" s="3729"/>
      <c r="AV71" s="3727" t="s">
        <v>1655</v>
      </c>
      <c r="AW71" s="3728"/>
      <c r="AX71" s="3728"/>
      <c r="AY71" s="3728"/>
      <c r="AZ71" s="3729"/>
      <c r="BA71" s="3727" t="s">
        <v>1669</v>
      </c>
      <c r="BB71" s="3728"/>
      <c r="BC71" s="3728"/>
      <c r="BD71" s="3728"/>
      <c r="BE71" s="3729"/>
      <c r="BF71" s="3727" t="s">
        <v>1655</v>
      </c>
      <c r="BG71" s="3728"/>
      <c r="BH71" s="3728"/>
      <c r="BI71" s="3728"/>
      <c r="BJ71" s="3729"/>
      <c r="BK71" s="3727" t="s">
        <v>1670</v>
      </c>
      <c r="BL71" s="3728"/>
      <c r="BM71" s="3728"/>
      <c r="BN71" s="3728"/>
      <c r="BO71" s="3729"/>
      <c r="BP71" s="3727" t="s">
        <v>1655</v>
      </c>
      <c r="BQ71" s="3728"/>
      <c r="BR71" s="3728"/>
      <c r="BS71" s="3728"/>
      <c r="BT71" s="3729"/>
    </row>
    <row r="72" spans="1:72" ht="18.75" outlineLevel="2">
      <c r="A72" s="3636" t="s">
        <v>323</v>
      </c>
      <c r="B72" s="3636"/>
      <c r="C72" s="3636"/>
      <c r="D72" s="3640" t="s">
        <v>319</v>
      </c>
      <c r="E72" s="3643"/>
      <c r="F72" s="3644"/>
      <c r="G72" s="3640" t="s">
        <v>319</v>
      </c>
      <c r="H72" s="3641"/>
      <c r="I72" s="3642"/>
      <c r="J72" s="3640" t="s">
        <v>319</v>
      </c>
      <c r="K72" s="3643"/>
      <c r="L72" s="3643"/>
      <c r="M72" s="3643"/>
      <c r="N72" s="3644"/>
      <c r="O72" s="3640" t="s">
        <v>319</v>
      </c>
      <c r="P72" s="3641"/>
      <c r="Q72" s="3642"/>
      <c r="R72" s="3640" t="s">
        <v>319</v>
      </c>
      <c r="S72" s="3641"/>
      <c r="T72" s="3642"/>
      <c r="U72" s="3640" t="s">
        <v>319</v>
      </c>
      <c r="V72" s="3641"/>
      <c r="W72" s="3641"/>
      <c r="X72" s="3641"/>
      <c r="Y72" s="3642"/>
      <c r="Z72" s="3640" t="s">
        <v>344</v>
      </c>
      <c r="AA72" s="3643"/>
      <c r="AB72" s="3644"/>
      <c r="AC72" s="3640" t="s">
        <v>319</v>
      </c>
      <c r="AD72" s="3641"/>
      <c r="AE72" s="3642"/>
      <c r="AF72" s="3640" t="s">
        <v>318</v>
      </c>
      <c r="AG72" s="3643"/>
      <c r="AH72" s="3643"/>
      <c r="AI72" s="3643"/>
      <c r="AJ72" s="3644"/>
      <c r="AL72" s="3746" t="s">
        <v>1688</v>
      </c>
      <c r="AM72" s="3747"/>
      <c r="AN72" s="3747"/>
      <c r="AO72" s="3747"/>
      <c r="AP72" s="3747"/>
      <c r="AQ72" s="3747"/>
      <c r="AR72" s="3747"/>
      <c r="AS72" s="3747"/>
      <c r="AT72" s="3747"/>
      <c r="AU72" s="3747"/>
      <c r="AV72" s="3747"/>
      <c r="AW72" s="3747"/>
      <c r="AX72" s="3747"/>
      <c r="AY72" s="3747"/>
      <c r="AZ72" s="3747"/>
      <c r="BA72" s="3747"/>
      <c r="BB72" s="3747"/>
      <c r="BC72" s="3747"/>
      <c r="BD72" s="3747"/>
      <c r="BE72" s="3747"/>
      <c r="BF72" s="3747"/>
      <c r="BG72" s="3747"/>
      <c r="BH72" s="3747"/>
      <c r="BI72" s="3747"/>
      <c r="BJ72" s="3747"/>
      <c r="BK72" s="3747"/>
      <c r="BL72" s="3747"/>
      <c r="BM72" s="3747"/>
      <c r="BN72" s="3747"/>
      <c r="BO72" s="3747"/>
      <c r="BP72" s="3747"/>
      <c r="BQ72" s="3747"/>
      <c r="BR72" s="3747"/>
      <c r="BS72" s="3747"/>
      <c r="BT72" s="3747"/>
    </row>
    <row r="73" spans="1:72" ht="15.75" outlineLevel="2">
      <c r="A73" s="3640" t="s">
        <v>345</v>
      </c>
      <c r="B73" s="3641"/>
      <c r="C73" s="3641"/>
      <c r="D73" s="3641"/>
      <c r="E73" s="3641"/>
      <c r="F73" s="3641"/>
      <c r="G73" s="3641"/>
      <c r="H73" s="3641"/>
      <c r="I73" s="3641"/>
      <c r="J73" s="3641"/>
      <c r="K73" s="3641"/>
      <c r="L73" s="3641"/>
      <c r="M73" s="3641"/>
      <c r="N73" s="3641"/>
      <c r="O73" s="3641"/>
      <c r="P73" s="3641"/>
      <c r="Q73" s="3641"/>
      <c r="R73" s="3641"/>
      <c r="S73" s="3641"/>
      <c r="T73" s="3641"/>
      <c r="U73" s="3641"/>
      <c r="V73" s="3641"/>
      <c r="W73" s="3641"/>
      <c r="X73" s="3641"/>
      <c r="Y73" s="3641"/>
      <c r="Z73" s="3641"/>
      <c r="AA73" s="3641"/>
      <c r="AB73" s="3641"/>
      <c r="AC73" s="3641"/>
      <c r="AD73" s="3641"/>
      <c r="AE73" s="3641"/>
      <c r="AF73" s="3641"/>
      <c r="AG73" s="3641"/>
      <c r="AH73" s="3641"/>
      <c r="AI73" s="3641"/>
      <c r="AJ73" s="3642"/>
      <c r="AL73" s="3512" t="s">
        <v>1679</v>
      </c>
      <c r="AM73" s="3512"/>
      <c r="AN73" s="3512"/>
      <c r="AO73" s="3512"/>
      <c r="AP73" s="3512"/>
      <c r="AQ73" s="3742" t="s">
        <v>1685</v>
      </c>
      <c r="AR73" s="3634"/>
      <c r="AS73" s="3634"/>
      <c r="AT73" s="3634"/>
      <c r="AU73" s="3634"/>
      <c r="AV73" s="3634"/>
      <c r="AW73" s="3512" t="s">
        <v>1680</v>
      </c>
      <c r="AX73" s="3512"/>
      <c r="AY73" s="3512"/>
      <c r="AZ73" s="3512"/>
      <c r="BA73" s="3512"/>
      <c r="BB73" s="3512"/>
      <c r="BC73" s="3742" t="s">
        <v>1669</v>
      </c>
      <c r="BD73" s="3634"/>
      <c r="BE73" s="3634"/>
      <c r="BF73" s="3634"/>
      <c r="BG73" s="3634"/>
      <c r="BH73" s="3634"/>
      <c r="BI73" s="3512" t="s">
        <v>1681</v>
      </c>
      <c r="BJ73" s="3512"/>
      <c r="BK73" s="3512"/>
      <c r="BL73" s="3512"/>
      <c r="BM73" s="3512"/>
      <c r="BN73" s="3512"/>
      <c r="BO73" s="3742" t="s">
        <v>1685</v>
      </c>
      <c r="BP73" s="3634"/>
      <c r="BQ73" s="3634"/>
      <c r="BR73" s="3634"/>
      <c r="BS73" s="3634"/>
      <c r="BT73" s="3634"/>
    </row>
    <row r="74" spans="1:72" ht="16.5" outlineLevel="2">
      <c r="A74" s="3639" t="s">
        <v>336</v>
      </c>
      <c r="B74" s="3636"/>
      <c r="C74" s="3636"/>
      <c r="D74" s="3640" t="s">
        <v>346</v>
      </c>
      <c r="E74" s="3643"/>
      <c r="F74" s="3644"/>
      <c r="G74" s="3640" t="s">
        <v>347</v>
      </c>
      <c r="H74" s="3641"/>
      <c r="I74" s="3642"/>
      <c r="J74" s="3640" t="s">
        <v>348</v>
      </c>
      <c r="K74" s="3643"/>
      <c r="L74" s="3643"/>
      <c r="M74" s="3643"/>
      <c r="N74" s="3644"/>
      <c r="O74" s="3640" t="s">
        <v>349</v>
      </c>
      <c r="P74" s="3641"/>
      <c r="Q74" s="3642"/>
      <c r="R74" s="3640" t="s">
        <v>350</v>
      </c>
      <c r="S74" s="3641"/>
      <c r="T74" s="3642"/>
      <c r="U74" s="3640" t="s">
        <v>351</v>
      </c>
      <c r="V74" s="3641"/>
      <c r="W74" s="3641"/>
      <c r="X74" s="3641"/>
      <c r="Y74" s="3642"/>
      <c r="Z74" s="3640" t="s">
        <v>352</v>
      </c>
      <c r="AA74" s="3643"/>
      <c r="AB74" s="3644"/>
      <c r="AC74" s="3640" t="s">
        <v>351</v>
      </c>
      <c r="AD74" s="3641"/>
      <c r="AE74" s="3642"/>
      <c r="AF74" s="3640" t="s">
        <v>353</v>
      </c>
      <c r="AG74" s="3643"/>
      <c r="AH74" s="3643"/>
      <c r="AI74" s="3643"/>
      <c r="AJ74" s="3644"/>
    </row>
    <row r="75" spans="1:72" ht="16.5" outlineLevel="2">
      <c r="A75" s="3639" t="s">
        <v>354</v>
      </c>
      <c r="B75" s="3636"/>
      <c r="C75" s="3636"/>
      <c r="D75" s="3640" t="s">
        <v>355</v>
      </c>
      <c r="E75" s="3643"/>
      <c r="F75" s="3644"/>
      <c r="G75" s="3640" t="s">
        <v>350</v>
      </c>
      <c r="H75" s="3641"/>
      <c r="I75" s="3642"/>
      <c r="J75" s="3640" t="s">
        <v>356</v>
      </c>
      <c r="K75" s="3643"/>
      <c r="L75" s="3643"/>
      <c r="M75" s="3643"/>
      <c r="N75" s="3644"/>
      <c r="O75" s="3640" t="s">
        <v>350</v>
      </c>
      <c r="P75" s="3641"/>
      <c r="Q75" s="3642"/>
      <c r="R75" s="3640" t="s">
        <v>350</v>
      </c>
      <c r="S75" s="3641"/>
      <c r="T75" s="3642"/>
      <c r="U75" s="3640" t="s">
        <v>350</v>
      </c>
      <c r="V75" s="3641"/>
      <c r="W75" s="3641"/>
      <c r="X75" s="3641"/>
      <c r="Y75" s="3642"/>
      <c r="Z75" s="3640" t="s">
        <v>353</v>
      </c>
      <c r="AA75" s="3643"/>
      <c r="AB75" s="3644"/>
      <c r="AC75" s="3640" t="s">
        <v>355</v>
      </c>
      <c r="AD75" s="3641"/>
      <c r="AE75" s="3642"/>
      <c r="AF75" s="3640" t="s">
        <v>352</v>
      </c>
      <c r="AG75" s="3643"/>
      <c r="AH75" s="3643"/>
      <c r="AI75" s="3643"/>
      <c r="AJ75" s="3644"/>
    </row>
    <row r="76" spans="1:72" ht="16.5" outlineLevel="2">
      <c r="A76" s="3636" t="s">
        <v>357</v>
      </c>
      <c r="B76" s="3636"/>
      <c r="C76" s="3636"/>
      <c r="D76" s="3640" t="s">
        <v>358</v>
      </c>
      <c r="E76" s="3643"/>
      <c r="F76" s="3644"/>
      <c r="G76" s="3640" t="s">
        <v>358</v>
      </c>
      <c r="H76" s="3641"/>
      <c r="I76" s="3642"/>
      <c r="J76" s="3640" t="s">
        <v>358</v>
      </c>
      <c r="K76" s="3643"/>
      <c r="L76" s="3643"/>
      <c r="M76" s="3643"/>
      <c r="N76" s="3644"/>
      <c r="O76" s="3640" t="s">
        <v>359</v>
      </c>
      <c r="P76" s="3641"/>
      <c r="Q76" s="3642"/>
      <c r="R76" s="3640" t="s">
        <v>359</v>
      </c>
      <c r="S76" s="3641"/>
      <c r="T76" s="3642"/>
      <c r="U76" s="3640" t="s">
        <v>359</v>
      </c>
      <c r="V76" s="3641"/>
      <c r="W76" s="3641"/>
      <c r="X76" s="3641"/>
      <c r="Y76" s="3642"/>
      <c r="Z76" s="3640" t="s">
        <v>358</v>
      </c>
      <c r="AA76" s="3643"/>
      <c r="AB76" s="3644"/>
      <c r="AC76" s="3640" t="s">
        <v>359</v>
      </c>
      <c r="AD76" s="3641"/>
      <c r="AE76" s="3642"/>
      <c r="AF76" s="3640" t="s">
        <v>355</v>
      </c>
      <c r="AG76" s="3643"/>
      <c r="AH76" s="3643"/>
      <c r="AI76" s="3643"/>
      <c r="AJ76" s="3644"/>
    </row>
    <row r="77" spans="1:72" ht="16.5" outlineLevel="2">
      <c r="A77" s="3637" t="s">
        <v>360</v>
      </c>
      <c r="B77" s="3638"/>
      <c r="C77" s="3638"/>
      <c r="D77" s="3638"/>
      <c r="E77" s="3661"/>
      <c r="F77" s="3661"/>
      <c r="G77" s="3661"/>
      <c r="H77" s="3661"/>
      <c r="I77" s="3661"/>
      <c r="J77" s="3661"/>
      <c r="K77" s="3661"/>
      <c r="L77" s="3661"/>
      <c r="M77" s="3661"/>
      <c r="N77" s="3661"/>
      <c r="O77" s="3661"/>
      <c r="P77" s="3661"/>
      <c r="Q77" s="3661"/>
      <c r="R77" s="3661"/>
      <c r="S77" s="3661"/>
      <c r="T77" s="3661"/>
      <c r="U77" s="3661"/>
      <c r="V77" s="3661"/>
      <c r="W77" s="3661"/>
      <c r="X77" s="3638"/>
      <c r="Y77" s="3638"/>
      <c r="Z77" s="3638"/>
      <c r="AA77" s="3638"/>
      <c r="AB77" s="3638"/>
      <c r="AC77" s="3638"/>
      <c r="AD77" s="3638"/>
      <c r="AE77" s="3638"/>
      <c r="AF77" s="3638"/>
      <c r="AG77" s="3638"/>
      <c r="AH77" s="3638"/>
      <c r="AI77" s="3638"/>
      <c r="AJ77" s="3638"/>
    </row>
    <row r="78" spans="1:72" ht="15" outlineLevel="2">
      <c r="A78" s="3636" t="s">
        <v>361</v>
      </c>
      <c r="B78" s="3636"/>
      <c r="C78" s="3636"/>
      <c r="D78" s="3636"/>
      <c r="E78" s="3635" t="s">
        <v>362</v>
      </c>
      <c r="F78" s="3636"/>
      <c r="G78" s="3636"/>
      <c r="H78" s="3636"/>
      <c r="I78" s="3636"/>
      <c r="J78" s="3636"/>
      <c r="K78" s="3636" t="s">
        <v>363</v>
      </c>
      <c r="L78" s="3636"/>
      <c r="M78" s="3636"/>
      <c r="N78" s="3636"/>
      <c r="O78" s="3636"/>
      <c r="P78" s="3636"/>
      <c r="Q78" s="3635" t="s">
        <v>364</v>
      </c>
      <c r="R78" s="3636"/>
      <c r="S78" s="3636"/>
      <c r="T78" s="3636"/>
      <c r="U78" s="3636"/>
      <c r="V78" s="3636"/>
      <c r="W78" s="3636"/>
      <c r="X78" s="3636" t="s">
        <v>365</v>
      </c>
      <c r="Y78" s="3636"/>
      <c r="Z78" s="3636"/>
      <c r="AA78" s="3636"/>
      <c r="AB78" s="3636"/>
      <c r="AC78" s="3635" t="s">
        <v>362</v>
      </c>
      <c r="AD78" s="3636"/>
      <c r="AE78" s="3636"/>
      <c r="AF78" s="3636"/>
      <c r="AG78" s="3636"/>
      <c r="AH78" s="3636"/>
      <c r="AI78" s="3636"/>
      <c r="AJ78" s="3636"/>
    </row>
    <row r="79" spans="1:72" outlineLevel="1"/>
    <row r="80" spans="1:72" outlineLevel="1">
      <c r="A80" s="649" t="s">
        <v>1695</v>
      </c>
      <c r="AL80" s="649" t="s">
        <v>1696</v>
      </c>
    </row>
    <row r="81" spans="1:72" ht="15.75" outlineLevel="1">
      <c r="A81" s="211" t="s">
        <v>1710</v>
      </c>
      <c r="B81" s="261" t="s">
        <v>769</v>
      </c>
      <c r="C81" s="212"/>
      <c r="D81" s="212"/>
      <c r="E81" s="212"/>
      <c r="F81" s="212"/>
      <c r="G81" s="212"/>
      <c r="H81" s="216" t="s">
        <v>224</v>
      </c>
      <c r="I81" s="212"/>
      <c r="J81" s="212"/>
      <c r="K81" s="212"/>
      <c r="L81" s="212"/>
      <c r="M81" s="212"/>
      <c r="N81" s="212"/>
      <c r="O81" s="212"/>
      <c r="P81" s="212"/>
      <c r="Q81" s="212"/>
      <c r="R81" s="212"/>
      <c r="S81" s="212"/>
      <c r="T81" s="212"/>
      <c r="U81" s="212"/>
      <c r="V81" s="212"/>
      <c r="W81" s="212"/>
      <c r="X81" s="212"/>
      <c r="Y81" s="212"/>
      <c r="Z81" s="212"/>
      <c r="AA81" s="212"/>
      <c r="AB81" s="212"/>
      <c r="AC81" s="212"/>
      <c r="AD81" s="212"/>
      <c r="AE81" s="212"/>
      <c r="AF81" s="212"/>
      <c r="AG81" s="212"/>
      <c r="AH81" s="212"/>
      <c r="AI81" s="212"/>
      <c r="AJ81" s="212"/>
      <c r="AL81" s="649" t="s">
        <v>1711</v>
      </c>
    </row>
    <row r="82" spans="1:72" ht="15.75" outlineLevel="2">
      <c r="A82" s="3645" t="s">
        <v>294</v>
      </c>
      <c r="B82" s="3641"/>
      <c r="C82" s="3641"/>
      <c r="D82" s="3641"/>
      <c r="E82" s="3641"/>
      <c r="F82" s="3641"/>
      <c r="G82" s="3641"/>
      <c r="H82" s="3641"/>
      <c r="I82" s="3641"/>
      <c r="J82" s="3641"/>
      <c r="K82" s="3641"/>
      <c r="L82" s="3641"/>
      <c r="M82" s="3641"/>
      <c r="N82" s="3641"/>
      <c r="O82" s="3641"/>
      <c r="P82" s="3641"/>
      <c r="Q82" s="3641"/>
      <c r="R82" s="3641"/>
      <c r="S82" s="3641"/>
      <c r="T82" s="3641"/>
      <c r="U82" s="3641"/>
      <c r="V82" s="3641"/>
      <c r="W82" s="3641"/>
      <c r="X82" s="3641"/>
      <c r="Y82" s="3641"/>
      <c r="Z82" s="3641"/>
      <c r="AA82" s="3641"/>
      <c r="AB82" s="3641"/>
      <c r="AC82" s="3641"/>
      <c r="AD82" s="3641"/>
      <c r="AE82" s="3641"/>
      <c r="AF82" s="3641"/>
      <c r="AG82" s="3641"/>
      <c r="AH82" s="3641"/>
      <c r="AI82" s="3641"/>
      <c r="AJ82" s="3642"/>
      <c r="AL82" s="3750" t="s">
        <v>1663</v>
      </c>
      <c r="AM82" s="3512"/>
      <c r="AN82" s="3512"/>
      <c r="AO82" s="3512"/>
      <c r="AP82" s="3512"/>
      <c r="AQ82" s="3512"/>
      <c r="AR82" s="3512"/>
      <c r="AS82" s="3512"/>
      <c r="AT82" s="3512"/>
      <c r="AU82" s="3512"/>
      <c r="AV82" s="3512"/>
      <c r="AW82" s="3512"/>
      <c r="AX82" s="3512"/>
      <c r="AY82" s="3512"/>
      <c r="AZ82" s="3512"/>
      <c r="BA82" s="3512"/>
      <c r="BB82" s="3512"/>
      <c r="BC82" s="3512"/>
      <c r="BD82" s="3512"/>
      <c r="BE82" s="3512"/>
      <c r="BF82" s="3512"/>
      <c r="BG82" s="3512"/>
      <c r="BH82" s="3512"/>
      <c r="BI82" s="3512"/>
      <c r="BJ82" s="3512"/>
      <c r="BK82" s="3512"/>
      <c r="BL82" s="3512"/>
      <c r="BM82" s="3512"/>
      <c r="BN82" s="3512"/>
      <c r="BO82" s="3512"/>
      <c r="BP82" s="3512"/>
      <c r="BQ82" s="3512"/>
      <c r="BR82" s="3512"/>
      <c r="BS82" s="3512"/>
      <c r="BT82" s="3512"/>
    </row>
    <row r="83" spans="1:72" ht="15" customHeight="1" outlineLevel="2">
      <c r="A83" s="3650" t="s">
        <v>295</v>
      </c>
      <c r="B83" s="3651"/>
      <c r="C83" s="3652"/>
      <c r="D83" s="3640" t="s">
        <v>366</v>
      </c>
      <c r="E83" s="3641"/>
      <c r="F83" s="3641"/>
      <c r="G83" s="3641"/>
      <c r="H83" s="3641"/>
      <c r="I83" s="3641"/>
      <c r="J83" s="3641"/>
      <c r="K83" s="3641"/>
      <c r="L83" s="3641"/>
      <c r="M83" s="3641"/>
      <c r="N83" s="3642"/>
      <c r="O83" s="3640" t="s">
        <v>367</v>
      </c>
      <c r="P83" s="3641"/>
      <c r="Q83" s="3641"/>
      <c r="R83" s="3641"/>
      <c r="S83" s="3641"/>
      <c r="T83" s="3641"/>
      <c r="U83" s="3641"/>
      <c r="V83" s="3641"/>
      <c r="W83" s="3641"/>
      <c r="X83" s="3641"/>
      <c r="Y83" s="3642"/>
      <c r="Z83" s="3640" t="s">
        <v>368</v>
      </c>
      <c r="AA83" s="3641"/>
      <c r="AB83" s="3641"/>
      <c r="AC83" s="3641"/>
      <c r="AD83" s="3641"/>
      <c r="AE83" s="3641"/>
      <c r="AF83" s="3641"/>
      <c r="AG83" s="3641"/>
      <c r="AH83" s="3641"/>
      <c r="AI83" s="3641"/>
      <c r="AJ83" s="3642"/>
      <c r="AL83" s="3759" t="s">
        <v>1664</v>
      </c>
      <c r="AM83" s="3760"/>
      <c r="AN83" s="3760"/>
      <c r="AO83" s="3760"/>
      <c r="AP83" s="3761"/>
      <c r="AQ83" s="3762" t="s">
        <v>1697</v>
      </c>
      <c r="AR83" s="3760"/>
      <c r="AS83" s="3760"/>
      <c r="AT83" s="3760"/>
      <c r="AU83" s="3760"/>
      <c r="AV83" s="3761"/>
      <c r="AW83" s="3762" t="s">
        <v>1698</v>
      </c>
      <c r="AX83" s="3760"/>
      <c r="AY83" s="3760"/>
      <c r="AZ83" s="3760"/>
      <c r="BA83" s="3760"/>
      <c r="BB83" s="3761"/>
      <c r="BC83" s="3762" t="s">
        <v>1699</v>
      </c>
      <c r="BD83" s="3760"/>
      <c r="BE83" s="3760"/>
      <c r="BF83" s="3760"/>
      <c r="BG83" s="3760"/>
      <c r="BH83" s="3761"/>
      <c r="BI83" s="3762" t="s">
        <v>1700</v>
      </c>
      <c r="BJ83" s="3760"/>
      <c r="BK83" s="3760"/>
      <c r="BL83" s="3760"/>
      <c r="BM83" s="3760"/>
      <c r="BN83" s="3761"/>
      <c r="BO83" s="3762" t="s">
        <v>1701</v>
      </c>
      <c r="BP83" s="3760"/>
      <c r="BQ83" s="3760"/>
      <c r="BR83" s="3760"/>
      <c r="BS83" s="3760"/>
      <c r="BT83" s="3761"/>
    </row>
    <row r="84" spans="1:72" ht="18.75" outlineLevel="2">
      <c r="A84" s="3653"/>
      <c r="B84" s="3654"/>
      <c r="C84" s="3655"/>
      <c r="D84" s="3646">
        <v>1</v>
      </c>
      <c r="E84" s="3643"/>
      <c r="F84" s="3644"/>
      <c r="G84" s="3640">
        <v>2</v>
      </c>
      <c r="H84" s="3641"/>
      <c r="I84" s="3642"/>
      <c r="J84" s="3645" t="s">
        <v>299</v>
      </c>
      <c r="K84" s="3641"/>
      <c r="L84" s="3641"/>
      <c r="M84" s="3641"/>
      <c r="N84" s="3642"/>
      <c r="O84" s="3646">
        <v>1</v>
      </c>
      <c r="P84" s="3643"/>
      <c r="Q84" s="3644"/>
      <c r="R84" s="3640">
        <v>2</v>
      </c>
      <c r="S84" s="3641"/>
      <c r="T84" s="3642"/>
      <c r="U84" s="3645" t="s">
        <v>299</v>
      </c>
      <c r="V84" s="3641"/>
      <c r="W84" s="3641"/>
      <c r="X84" s="3641"/>
      <c r="Y84" s="3642"/>
      <c r="Z84" s="3646">
        <v>1</v>
      </c>
      <c r="AA84" s="3643"/>
      <c r="AB84" s="3644"/>
      <c r="AC84" s="3640">
        <v>2</v>
      </c>
      <c r="AD84" s="3641"/>
      <c r="AE84" s="3642"/>
      <c r="AF84" s="3645" t="s">
        <v>299</v>
      </c>
      <c r="AG84" s="3641"/>
      <c r="AH84" s="3641"/>
      <c r="AI84" s="3641"/>
      <c r="AJ84" s="3642"/>
      <c r="AL84" s="3737" t="s">
        <v>1668</v>
      </c>
      <c r="AM84" s="3648"/>
      <c r="AN84" s="3648"/>
      <c r="AO84" s="3648"/>
      <c r="AP84" s="3649"/>
      <c r="AQ84" s="3724" t="s">
        <v>1702</v>
      </c>
      <c r="AR84" s="3648"/>
      <c r="AS84" s="3648"/>
      <c r="AT84" s="3648"/>
      <c r="AU84" s="3648"/>
      <c r="AV84" s="3649"/>
      <c r="AW84" s="3742" t="s">
        <v>1702</v>
      </c>
      <c r="AX84" s="3634"/>
      <c r="AY84" s="3634"/>
      <c r="AZ84" s="3634"/>
      <c r="BA84" s="3634"/>
      <c r="BB84" s="3634"/>
      <c r="BC84" s="3742" t="s">
        <v>1702</v>
      </c>
      <c r="BD84" s="3634"/>
      <c r="BE84" s="3634"/>
      <c r="BF84" s="3634"/>
      <c r="BG84" s="3634"/>
      <c r="BH84" s="3634"/>
      <c r="BI84" s="3742" t="s">
        <v>1655</v>
      </c>
      <c r="BJ84" s="3634"/>
      <c r="BK84" s="3634"/>
      <c r="BL84" s="3634"/>
      <c r="BM84" s="3634"/>
      <c r="BN84" s="3634"/>
      <c r="BO84" s="3742" t="s">
        <v>1655</v>
      </c>
      <c r="BP84" s="3634"/>
      <c r="BQ84" s="3634"/>
      <c r="BR84" s="3634"/>
      <c r="BS84" s="3634"/>
      <c r="BT84" s="3634"/>
    </row>
    <row r="85" spans="1:72" ht="18.75" outlineLevel="2">
      <c r="A85" s="3657" t="s">
        <v>300</v>
      </c>
      <c r="B85" s="3641"/>
      <c r="C85" s="3642"/>
      <c r="D85" s="3640" t="s">
        <v>369</v>
      </c>
      <c r="E85" s="3643"/>
      <c r="F85" s="3644"/>
      <c r="G85" s="3640" t="s">
        <v>370</v>
      </c>
      <c r="H85" s="3641"/>
      <c r="I85" s="3642"/>
      <c r="J85" s="3640" t="s">
        <v>371</v>
      </c>
      <c r="K85" s="3643"/>
      <c r="L85" s="3643"/>
      <c r="M85" s="3643"/>
      <c r="N85" s="3644"/>
      <c r="O85" s="3640" t="s">
        <v>372</v>
      </c>
      <c r="P85" s="3643"/>
      <c r="Q85" s="3644"/>
      <c r="R85" s="3640" t="s">
        <v>373</v>
      </c>
      <c r="S85" s="3641"/>
      <c r="T85" s="3642"/>
      <c r="U85" s="3640" t="s">
        <v>374</v>
      </c>
      <c r="V85" s="3643"/>
      <c r="W85" s="3643"/>
      <c r="X85" s="3643"/>
      <c r="Y85" s="3644"/>
      <c r="Z85" s="3640" t="s">
        <v>375</v>
      </c>
      <c r="AA85" s="3643"/>
      <c r="AB85" s="3644"/>
      <c r="AC85" s="3640" t="s">
        <v>350</v>
      </c>
      <c r="AD85" s="3641"/>
      <c r="AE85" s="3642"/>
      <c r="AF85" s="3640" t="s">
        <v>376</v>
      </c>
      <c r="AG85" s="3643"/>
      <c r="AH85" s="3643"/>
      <c r="AI85" s="3643"/>
      <c r="AJ85" s="3644"/>
      <c r="AL85" s="3737" t="s">
        <v>1672</v>
      </c>
      <c r="AM85" s="3648"/>
      <c r="AN85" s="3648"/>
      <c r="AO85" s="3648"/>
      <c r="AP85" s="3649"/>
      <c r="AQ85" s="3724" t="s">
        <v>1702</v>
      </c>
      <c r="AR85" s="3648"/>
      <c r="AS85" s="3648"/>
      <c r="AT85" s="3648"/>
      <c r="AU85" s="3648"/>
      <c r="AV85" s="3649"/>
      <c r="AW85" s="3742" t="s">
        <v>1702</v>
      </c>
      <c r="AX85" s="3634"/>
      <c r="AY85" s="3634"/>
      <c r="AZ85" s="3634"/>
      <c r="BA85" s="3634"/>
      <c r="BB85" s="3634"/>
      <c r="BC85" s="3742" t="s">
        <v>1702</v>
      </c>
      <c r="BD85" s="3634"/>
      <c r="BE85" s="3634"/>
      <c r="BF85" s="3634"/>
      <c r="BG85" s="3634"/>
      <c r="BH85" s="3634"/>
      <c r="BI85" s="3742" t="s">
        <v>1655</v>
      </c>
      <c r="BJ85" s="3634"/>
      <c r="BK85" s="3634"/>
      <c r="BL85" s="3634"/>
      <c r="BM85" s="3634"/>
      <c r="BN85" s="3634"/>
      <c r="BO85" s="3742" t="s">
        <v>1655</v>
      </c>
      <c r="BP85" s="3634"/>
      <c r="BQ85" s="3634"/>
      <c r="BR85" s="3634"/>
      <c r="BS85" s="3634"/>
      <c r="BT85" s="3634"/>
    </row>
    <row r="86" spans="1:72" ht="18.75" outlineLevel="2">
      <c r="A86" s="3657" t="s">
        <v>354</v>
      </c>
      <c r="B86" s="3641"/>
      <c r="C86" s="3642"/>
      <c r="D86" s="3640" t="s">
        <v>377</v>
      </c>
      <c r="E86" s="3643"/>
      <c r="F86" s="3644"/>
      <c r="G86" s="3640" t="s">
        <v>378</v>
      </c>
      <c r="H86" s="3641"/>
      <c r="I86" s="3642"/>
      <c r="J86" s="3640" t="s">
        <v>379</v>
      </c>
      <c r="K86" s="3643"/>
      <c r="L86" s="3643"/>
      <c r="M86" s="3643"/>
      <c r="N86" s="3644"/>
      <c r="O86" s="3640" t="s">
        <v>380</v>
      </c>
      <c r="P86" s="3643"/>
      <c r="Q86" s="3644"/>
      <c r="R86" s="3640" t="s">
        <v>381</v>
      </c>
      <c r="S86" s="3641"/>
      <c r="T86" s="3642"/>
      <c r="U86" s="3640" t="s">
        <v>381</v>
      </c>
      <c r="V86" s="3643"/>
      <c r="W86" s="3643"/>
      <c r="X86" s="3643"/>
      <c r="Y86" s="3644"/>
      <c r="Z86" s="3640" t="s">
        <v>382</v>
      </c>
      <c r="AA86" s="3643"/>
      <c r="AB86" s="3644"/>
      <c r="AC86" s="3640" t="s">
        <v>383</v>
      </c>
      <c r="AD86" s="3641"/>
      <c r="AE86" s="3642"/>
      <c r="AF86" s="3640" t="s">
        <v>384</v>
      </c>
      <c r="AG86" s="3643"/>
      <c r="AH86" s="3643"/>
      <c r="AI86" s="3643"/>
      <c r="AJ86" s="3644"/>
      <c r="AL86" s="3647" t="s">
        <v>1673</v>
      </c>
      <c r="AM86" s="3648"/>
      <c r="AN86" s="3648"/>
      <c r="AO86" s="3648"/>
      <c r="AP86" s="3649"/>
      <c r="AQ86" s="3724" t="s">
        <v>1655</v>
      </c>
      <c r="AR86" s="3648"/>
      <c r="AS86" s="3648"/>
      <c r="AT86" s="3648"/>
      <c r="AU86" s="3648"/>
      <c r="AV86" s="3649"/>
      <c r="AW86" s="3742" t="s">
        <v>1702</v>
      </c>
      <c r="AX86" s="3634"/>
      <c r="AY86" s="3634"/>
      <c r="AZ86" s="3634"/>
      <c r="BA86" s="3634"/>
      <c r="BB86" s="3634"/>
      <c r="BC86" s="3742" t="s">
        <v>1702</v>
      </c>
      <c r="BD86" s="3634"/>
      <c r="BE86" s="3634"/>
      <c r="BF86" s="3634"/>
      <c r="BG86" s="3634"/>
      <c r="BH86" s="3634"/>
      <c r="BI86" s="3742" t="s">
        <v>1655</v>
      </c>
      <c r="BJ86" s="3634"/>
      <c r="BK86" s="3634"/>
      <c r="BL86" s="3634"/>
      <c r="BM86" s="3634"/>
      <c r="BN86" s="3634"/>
      <c r="BO86" s="3742" t="s">
        <v>1655</v>
      </c>
      <c r="BP86" s="3634"/>
      <c r="BQ86" s="3634"/>
      <c r="BR86" s="3634"/>
      <c r="BS86" s="3634"/>
      <c r="BT86" s="3634"/>
    </row>
    <row r="87" spans="1:72" ht="18.75" outlineLevel="2">
      <c r="A87" s="3640" t="s">
        <v>385</v>
      </c>
      <c r="B87" s="3641"/>
      <c r="C87" s="3642"/>
      <c r="D87" s="3640" t="s">
        <v>386</v>
      </c>
      <c r="E87" s="3643"/>
      <c r="F87" s="3644"/>
      <c r="G87" s="3640" t="s">
        <v>387</v>
      </c>
      <c r="H87" s="3641"/>
      <c r="I87" s="3642"/>
      <c r="J87" s="3640" t="s">
        <v>387</v>
      </c>
      <c r="K87" s="3643"/>
      <c r="L87" s="3643"/>
      <c r="M87" s="3643"/>
      <c r="N87" s="3644"/>
      <c r="O87" s="3640" t="s">
        <v>388</v>
      </c>
      <c r="P87" s="3643"/>
      <c r="Q87" s="3644"/>
      <c r="R87" s="3640" t="s">
        <v>355</v>
      </c>
      <c r="S87" s="3641"/>
      <c r="T87" s="3642"/>
      <c r="U87" s="3640" t="s">
        <v>358</v>
      </c>
      <c r="V87" s="3643"/>
      <c r="W87" s="3643"/>
      <c r="X87" s="3643"/>
      <c r="Y87" s="3644"/>
      <c r="Z87" s="3640" t="s">
        <v>355</v>
      </c>
      <c r="AA87" s="3643"/>
      <c r="AB87" s="3644"/>
      <c r="AC87" s="3640" t="s">
        <v>355</v>
      </c>
      <c r="AD87" s="3641"/>
      <c r="AE87" s="3642"/>
      <c r="AF87" s="3640" t="s">
        <v>355</v>
      </c>
      <c r="AG87" s="3643"/>
      <c r="AH87" s="3643"/>
      <c r="AI87" s="3643"/>
      <c r="AJ87" s="3644"/>
      <c r="AL87" s="3647" t="s">
        <v>1674</v>
      </c>
      <c r="AM87" s="3648"/>
      <c r="AN87" s="3648"/>
      <c r="AO87" s="3648"/>
      <c r="AP87" s="3649"/>
      <c r="AQ87" s="3724" t="s">
        <v>1702</v>
      </c>
      <c r="AR87" s="3648"/>
      <c r="AS87" s="3648"/>
      <c r="AT87" s="3648"/>
      <c r="AU87" s="3648"/>
      <c r="AV87" s="3649"/>
      <c r="AW87" s="3742" t="s">
        <v>1702</v>
      </c>
      <c r="AX87" s="3634"/>
      <c r="AY87" s="3634"/>
      <c r="AZ87" s="3634"/>
      <c r="BA87" s="3634"/>
      <c r="BB87" s="3634"/>
      <c r="BC87" s="3742" t="s">
        <v>1702</v>
      </c>
      <c r="BD87" s="3634"/>
      <c r="BE87" s="3634"/>
      <c r="BF87" s="3634"/>
      <c r="BG87" s="3634"/>
      <c r="BH87" s="3634"/>
      <c r="BI87" s="3742" t="s">
        <v>1655</v>
      </c>
      <c r="BJ87" s="3634"/>
      <c r="BK87" s="3634"/>
      <c r="BL87" s="3634"/>
      <c r="BM87" s="3634"/>
      <c r="BN87" s="3634"/>
      <c r="BO87" s="3742" t="s">
        <v>1655</v>
      </c>
      <c r="BP87" s="3634"/>
      <c r="BQ87" s="3634"/>
      <c r="BR87" s="3634"/>
      <c r="BS87" s="3634"/>
      <c r="BT87" s="3634"/>
    </row>
    <row r="88" spans="1:72" ht="18.75" outlineLevel="2">
      <c r="A88" s="3640" t="s">
        <v>389</v>
      </c>
      <c r="B88" s="3641"/>
      <c r="C88" s="3642"/>
      <c r="D88" s="3640" t="s">
        <v>358</v>
      </c>
      <c r="E88" s="3643"/>
      <c r="F88" s="3644"/>
      <c r="G88" s="3640" t="s">
        <v>355</v>
      </c>
      <c r="H88" s="3641"/>
      <c r="I88" s="3642"/>
      <c r="J88" s="3640" t="s">
        <v>390</v>
      </c>
      <c r="K88" s="3643"/>
      <c r="L88" s="3643"/>
      <c r="M88" s="3643"/>
      <c r="N88" s="3644"/>
      <c r="O88" s="3640" t="s">
        <v>358</v>
      </c>
      <c r="P88" s="3643"/>
      <c r="Q88" s="3644"/>
      <c r="R88" s="3640" t="s">
        <v>391</v>
      </c>
      <c r="S88" s="3641"/>
      <c r="T88" s="3642"/>
      <c r="U88" s="3640" t="s">
        <v>355</v>
      </c>
      <c r="V88" s="3643"/>
      <c r="W88" s="3643"/>
      <c r="X88" s="3643"/>
      <c r="Y88" s="3644"/>
      <c r="Z88" s="3640" t="s">
        <v>359</v>
      </c>
      <c r="AA88" s="3643"/>
      <c r="AB88" s="3644"/>
      <c r="AC88" s="3640" t="s">
        <v>391</v>
      </c>
      <c r="AD88" s="3641"/>
      <c r="AE88" s="3642"/>
      <c r="AF88" s="3640" t="s">
        <v>359</v>
      </c>
      <c r="AG88" s="3643"/>
      <c r="AH88" s="3643"/>
      <c r="AI88" s="3643"/>
      <c r="AJ88" s="3644"/>
      <c r="AL88" s="3647" t="s">
        <v>1676</v>
      </c>
      <c r="AM88" s="3648"/>
      <c r="AN88" s="3648"/>
      <c r="AO88" s="3648"/>
      <c r="AP88" s="3649"/>
      <c r="AQ88" s="3724" t="s">
        <v>1703</v>
      </c>
      <c r="AR88" s="3648"/>
      <c r="AS88" s="3648"/>
      <c r="AT88" s="3648"/>
      <c r="AU88" s="3648"/>
      <c r="AV88" s="3649"/>
      <c r="AW88" s="3742" t="s">
        <v>1655</v>
      </c>
      <c r="AX88" s="3634"/>
      <c r="AY88" s="3634"/>
      <c r="AZ88" s="3634"/>
      <c r="BA88" s="3634"/>
      <c r="BB88" s="3634"/>
      <c r="BC88" s="3742" t="s">
        <v>1655</v>
      </c>
      <c r="BD88" s="3634"/>
      <c r="BE88" s="3634"/>
      <c r="BF88" s="3634"/>
      <c r="BG88" s="3634"/>
      <c r="BH88" s="3634"/>
      <c r="BI88" s="3742" t="s">
        <v>1655</v>
      </c>
      <c r="BJ88" s="3634"/>
      <c r="BK88" s="3634"/>
      <c r="BL88" s="3634"/>
      <c r="BM88" s="3634"/>
      <c r="BN88" s="3634"/>
      <c r="BO88" s="3742" t="s">
        <v>1655</v>
      </c>
      <c r="BP88" s="3634"/>
      <c r="BQ88" s="3634"/>
      <c r="BR88" s="3634"/>
      <c r="BS88" s="3634"/>
      <c r="BT88" s="3634"/>
    </row>
    <row r="89" spans="1:72" ht="16.5" outlineLevel="2">
      <c r="A89" s="3640" t="s">
        <v>392</v>
      </c>
      <c r="B89" s="3641"/>
      <c r="C89" s="3642"/>
      <c r="D89" s="3640" t="s">
        <v>359</v>
      </c>
      <c r="E89" s="3643"/>
      <c r="F89" s="3644"/>
      <c r="G89" s="3640" t="s">
        <v>393</v>
      </c>
      <c r="H89" s="3641"/>
      <c r="I89" s="3642"/>
      <c r="J89" s="3640" t="s">
        <v>394</v>
      </c>
      <c r="K89" s="3643"/>
      <c r="L89" s="3643"/>
      <c r="M89" s="3643"/>
      <c r="N89" s="3644"/>
      <c r="O89" s="3640" t="s">
        <v>386</v>
      </c>
      <c r="P89" s="3643"/>
      <c r="Q89" s="3644"/>
      <c r="R89" s="3640" t="s">
        <v>386</v>
      </c>
      <c r="S89" s="3641"/>
      <c r="T89" s="3642"/>
      <c r="U89" s="3640" t="s">
        <v>386</v>
      </c>
      <c r="V89" s="3643"/>
      <c r="W89" s="3643"/>
      <c r="X89" s="3643"/>
      <c r="Y89" s="3644"/>
      <c r="Z89" s="3640" t="s">
        <v>386</v>
      </c>
      <c r="AA89" s="3643"/>
      <c r="AB89" s="3644"/>
      <c r="AC89" s="3640" t="s">
        <v>386</v>
      </c>
      <c r="AD89" s="3641"/>
      <c r="AE89" s="3642"/>
      <c r="AF89" s="3640" t="s">
        <v>386</v>
      </c>
      <c r="AG89" s="3643"/>
      <c r="AH89" s="3643"/>
      <c r="AI89" s="3643"/>
      <c r="AJ89" s="3644"/>
      <c r="AL89" s="3750" t="s">
        <v>1678</v>
      </c>
      <c r="AM89" s="3512"/>
      <c r="AN89" s="3512"/>
      <c r="AO89" s="3512"/>
      <c r="AP89" s="3512"/>
      <c r="AQ89" s="3512"/>
      <c r="AR89" s="3512"/>
      <c r="AS89" s="3512"/>
      <c r="AT89" s="3512"/>
      <c r="AU89" s="3512"/>
      <c r="AV89" s="3512"/>
      <c r="AW89" s="3512"/>
      <c r="AX89" s="3512"/>
      <c r="AY89" s="3512"/>
      <c r="AZ89" s="3512"/>
      <c r="BA89" s="3512"/>
      <c r="BB89" s="3512"/>
      <c r="BC89" s="3512"/>
      <c r="BD89" s="3512"/>
      <c r="BE89" s="3512"/>
      <c r="BF89" s="3512"/>
      <c r="BG89" s="3512"/>
      <c r="BH89" s="3512"/>
      <c r="BI89" s="3512"/>
      <c r="BJ89" s="3512"/>
      <c r="BK89" s="3512"/>
      <c r="BL89" s="3512"/>
      <c r="BM89" s="3512"/>
      <c r="BN89" s="3512"/>
      <c r="BO89" s="3512"/>
      <c r="BP89" s="3512"/>
      <c r="BQ89" s="3512"/>
      <c r="BR89" s="3512"/>
      <c r="BS89" s="3512"/>
      <c r="BT89" s="3512"/>
    </row>
    <row r="90" spans="1:72" ht="15.75" customHeight="1" outlineLevel="2">
      <c r="A90" s="3650" t="s">
        <v>295</v>
      </c>
      <c r="B90" s="3651"/>
      <c r="C90" s="3652"/>
      <c r="D90" s="3647" t="s">
        <v>395</v>
      </c>
      <c r="E90" s="3648"/>
      <c r="F90" s="3648"/>
      <c r="G90" s="3648"/>
      <c r="H90" s="3648"/>
      <c r="I90" s="3648"/>
      <c r="J90" s="3648"/>
      <c r="K90" s="3648"/>
      <c r="L90" s="3648"/>
      <c r="M90" s="3648"/>
      <c r="N90" s="3648"/>
      <c r="O90" s="3648"/>
      <c r="P90" s="3648"/>
      <c r="Q90" s="3648"/>
      <c r="R90" s="3648"/>
      <c r="S90" s="3649"/>
      <c r="T90" s="3647" t="s">
        <v>396</v>
      </c>
      <c r="U90" s="3648"/>
      <c r="V90" s="3648"/>
      <c r="W90" s="3648"/>
      <c r="X90" s="3648"/>
      <c r="Y90" s="3648"/>
      <c r="Z90" s="3648"/>
      <c r="AA90" s="3648"/>
      <c r="AB90" s="3648"/>
      <c r="AC90" s="3648"/>
      <c r="AD90" s="3648"/>
      <c r="AE90" s="3648"/>
      <c r="AF90" s="3648"/>
      <c r="AG90" s="3648"/>
      <c r="AH90" s="3648"/>
      <c r="AI90" s="3648"/>
      <c r="AJ90" s="3649"/>
      <c r="AL90" s="3751" t="s">
        <v>1664</v>
      </c>
      <c r="AM90" s="3752"/>
      <c r="AN90" s="3512" t="s">
        <v>1679</v>
      </c>
      <c r="AO90" s="3512"/>
      <c r="AP90" s="3512"/>
      <c r="AQ90" s="3512"/>
      <c r="AR90" s="3512"/>
      <c r="AS90" s="3512"/>
      <c r="AT90" s="3512"/>
      <c r="AU90" s="3512"/>
      <c r="AV90" s="3512"/>
      <c r="AW90" s="3512"/>
      <c r="AX90" s="3512"/>
      <c r="AY90" s="3512" t="s">
        <v>1680</v>
      </c>
      <c r="AZ90" s="3512"/>
      <c r="BA90" s="3512"/>
      <c r="BB90" s="3512"/>
      <c r="BC90" s="3512"/>
      <c r="BD90" s="3512"/>
      <c r="BE90" s="3512"/>
      <c r="BF90" s="3512"/>
      <c r="BG90" s="3512"/>
      <c r="BH90" s="3512"/>
      <c r="BI90" s="3512"/>
      <c r="BJ90" s="3512" t="s">
        <v>1681</v>
      </c>
      <c r="BK90" s="3512"/>
      <c r="BL90" s="3512"/>
      <c r="BM90" s="3512"/>
      <c r="BN90" s="3512"/>
      <c r="BO90" s="3512"/>
      <c r="BP90" s="3512"/>
      <c r="BQ90" s="3512"/>
      <c r="BR90" s="3512"/>
      <c r="BS90" s="3512"/>
      <c r="BT90" s="3512"/>
    </row>
    <row r="91" spans="1:72" ht="15.75" outlineLevel="2">
      <c r="A91" s="3653"/>
      <c r="B91" s="3654"/>
      <c r="C91" s="3655"/>
      <c r="D91" s="3647">
        <v>1</v>
      </c>
      <c r="E91" s="3648"/>
      <c r="F91" s="3648"/>
      <c r="G91" s="3648"/>
      <c r="H91" s="3649"/>
      <c r="I91" s="3647">
        <v>2</v>
      </c>
      <c r="J91" s="3648"/>
      <c r="K91" s="3648"/>
      <c r="L91" s="3648"/>
      <c r="M91" s="3648"/>
      <c r="N91" s="3649"/>
      <c r="O91" s="3656" t="s">
        <v>299</v>
      </c>
      <c r="P91" s="3648"/>
      <c r="Q91" s="3648"/>
      <c r="R91" s="3648"/>
      <c r="S91" s="3649"/>
      <c r="T91" s="3647">
        <v>1</v>
      </c>
      <c r="U91" s="3648"/>
      <c r="V91" s="3648"/>
      <c r="W91" s="3648"/>
      <c r="X91" s="3648"/>
      <c r="Y91" s="3649"/>
      <c r="Z91" s="3647">
        <v>2</v>
      </c>
      <c r="AA91" s="3648"/>
      <c r="AB91" s="3648"/>
      <c r="AC91" s="3648"/>
      <c r="AD91" s="3649"/>
      <c r="AE91" s="3656" t="s">
        <v>299</v>
      </c>
      <c r="AF91" s="3648"/>
      <c r="AG91" s="3648"/>
      <c r="AH91" s="3648"/>
      <c r="AI91" s="3648"/>
      <c r="AJ91" s="3649"/>
      <c r="AL91" s="3753"/>
      <c r="AM91" s="3754"/>
      <c r="AN91" s="3749" t="s">
        <v>1704</v>
      </c>
      <c r="AO91" s="3749"/>
      <c r="AP91" s="3749"/>
      <c r="AQ91" s="3749" t="s">
        <v>1705</v>
      </c>
      <c r="AR91" s="3749"/>
      <c r="AS91" s="3749"/>
      <c r="AT91" s="3749"/>
      <c r="AU91" s="3749" t="s">
        <v>1706</v>
      </c>
      <c r="AV91" s="3749"/>
      <c r="AW91" s="3749"/>
      <c r="AX91" s="3749"/>
      <c r="AY91" s="3749" t="s">
        <v>1704</v>
      </c>
      <c r="AZ91" s="3749"/>
      <c r="BA91" s="3749"/>
      <c r="BB91" s="3749" t="s">
        <v>1705</v>
      </c>
      <c r="BC91" s="3749"/>
      <c r="BD91" s="3749"/>
      <c r="BE91" s="3749"/>
      <c r="BF91" s="3749" t="s">
        <v>1706</v>
      </c>
      <c r="BG91" s="3749"/>
      <c r="BH91" s="3749"/>
      <c r="BI91" s="3749"/>
      <c r="BJ91" s="3749" t="s">
        <v>1704</v>
      </c>
      <c r="BK91" s="3749"/>
      <c r="BL91" s="3749"/>
      <c r="BM91" s="3749" t="s">
        <v>1705</v>
      </c>
      <c r="BN91" s="3749"/>
      <c r="BO91" s="3749"/>
      <c r="BP91" s="3749"/>
      <c r="BQ91" s="3749" t="s">
        <v>1707</v>
      </c>
      <c r="BR91" s="3749"/>
      <c r="BS91" s="3749"/>
      <c r="BT91" s="3749"/>
    </row>
    <row r="92" spans="1:72" ht="18.75" outlineLevel="2">
      <c r="A92" s="3657" t="s">
        <v>354</v>
      </c>
      <c r="B92" s="3641"/>
      <c r="C92" s="3642"/>
      <c r="D92" s="3647" t="s">
        <v>386</v>
      </c>
      <c r="E92" s="3648"/>
      <c r="F92" s="3648"/>
      <c r="G92" s="3648"/>
      <c r="H92" s="3649"/>
      <c r="I92" s="3647" t="s">
        <v>386</v>
      </c>
      <c r="J92" s="3648"/>
      <c r="K92" s="3648"/>
      <c r="L92" s="3648"/>
      <c r="M92" s="3648"/>
      <c r="N92" s="3649"/>
      <c r="O92" s="3647" t="s">
        <v>386</v>
      </c>
      <c r="P92" s="3648"/>
      <c r="Q92" s="3648"/>
      <c r="R92" s="3648"/>
      <c r="S92" s="3649"/>
      <c r="T92" s="3647" t="s">
        <v>386</v>
      </c>
      <c r="U92" s="3648"/>
      <c r="V92" s="3648"/>
      <c r="W92" s="3648"/>
      <c r="X92" s="3648"/>
      <c r="Y92" s="3649"/>
      <c r="Z92" s="3647" t="s">
        <v>386</v>
      </c>
      <c r="AA92" s="3648"/>
      <c r="AB92" s="3648"/>
      <c r="AC92" s="3648"/>
      <c r="AD92" s="3649"/>
      <c r="AE92" s="3647" t="s">
        <v>386</v>
      </c>
      <c r="AF92" s="3648"/>
      <c r="AG92" s="3648"/>
      <c r="AH92" s="3648"/>
      <c r="AI92" s="3648"/>
      <c r="AJ92" s="3649"/>
      <c r="AL92" s="3748" t="s">
        <v>1668</v>
      </c>
      <c r="AM92" s="3634"/>
      <c r="AN92" s="3742" t="s">
        <v>1702</v>
      </c>
      <c r="AO92" s="3634"/>
      <c r="AP92" s="3634"/>
      <c r="AQ92" s="3742" t="s">
        <v>1702</v>
      </c>
      <c r="AR92" s="3634"/>
      <c r="AS92" s="3634"/>
      <c r="AT92" s="3634"/>
      <c r="AU92" s="3742" t="s">
        <v>1655</v>
      </c>
      <c r="AV92" s="3634"/>
      <c r="AW92" s="3634"/>
      <c r="AX92" s="3634"/>
      <c r="AY92" s="3742" t="s">
        <v>1702</v>
      </c>
      <c r="AZ92" s="3634"/>
      <c r="BA92" s="3634"/>
      <c r="BB92" s="3742" t="s">
        <v>1702</v>
      </c>
      <c r="BC92" s="3634"/>
      <c r="BD92" s="3634"/>
      <c r="BE92" s="3634"/>
      <c r="BF92" s="3742" t="s">
        <v>1655</v>
      </c>
      <c r="BG92" s="3634"/>
      <c r="BH92" s="3634"/>
      <c r="BI92" s="3634"/>
      <c r="BJ92" s="3742" t="s">
        <v>1702</v>
      </c>
      <c r="BK92" s="3634"/>
      <c r="BL92" s="3634"/>
      <c r="BM92" s="3742" t="s">
        <v>1702</v>
      </c>
      <c r="BN92" s="3634"/>
      <c r="BO92" s="3634"/>
      <c r="BP92" s="3634"/>
      <c r="BQ92" s="3742" t="s">
        <v>1655</v>
      </c>
      <c r="BR92" s="3634"/>
      <c r="BS92" s="3634"/>
      <c r="BT92" s="3634"/>
    </row>
    <row r="93" spans="1:72" ht="18.75" outlineLevel="2">
      <c r="A93" s="3645" t="s">
        <v>397</v>
      </c>
      <c r="B93" s="3641"/>
      <c r="C93" s="3641"/>
      <c r="D93" s="3641"/>
      <c r="E93" s="3641"/>
      <c r="F93" s="3641"/>
      <c r="G93" s="3641"/>
      <c r="H93" s="3641"/>
      <c r="I93" s="3641"/>
      <c r="J93" s="3641"/>
      <c r="K93" s="3641"/>
      <c r="L93" s="3641"/>
      <c r="M93" s="3641"/>
      <c r="N93" s="3641"/>
      <c r="O93" s="3641"/>
      <c r="P93" s="3641"/>
      <c r="Q93" s="3641"/>
      <c r="R93" s="3641"/>
      <c r="S93" s="3641"/>
      <c r="T93" s="3641"/>
      <c r="U93" s="3641"/>
      <c r="V93" s="3641"/>
      <c r="W93" s="3641"/>
      <c r="X93" s="3641"/>
      <c r="Y93" s="3641"/>
      <c r="Z93" s="3641"/>
      <c r="AA93" s="3641"/>
      <c r="AB93" s="3641"/>
      <c r="AC93" s="3641"/>
      <c r="AD93" s="3641"/>
      <c r="AE93" s="3641"/>
      <c r="AF93" s="3641"/>
      <c r="AG93" s="3641"/>
      <c r="AH93" s="3641"/>
      <c r="AI93" s="3641"/>
      <c r="AJ93" s="3642"/>
      <c r="AL93" s="3748" t="s">
        <v>1672</v>
      </c>
      <c r="AM93" s="3634"/>
      <c r="AN93" s="3742" t="s">
        <v>1702</v>
      </c>
      <c r="AO93" s="3634"/>
      <c r="AP93" s="3634"/>
      <c r="AQ93" s="3742" t="s">
        <v>1702</v>
      </c>
      <c r="AR93" s="3634"/>
      <c r="AS93" s="3634"/>
      <c r="AT93" s="3634"/>
      <c r="AU93" s="3742" t="s">
        <v>1655</v>
      </c>
      <c r="AV93" s="3634"/>
      <c r="AW93" s="3634"/>
      <c r="AX93" s="3634"/>
      <c r="AY93" s="3742" t="s">
        <v>1702</v>
      </c>
      <c r="AZ93" s="3634"/>
      <c r="BA93" s="3634"/>
      <c r="BB93" s="3742" t="s">
        <v>1702</v>
      </c>
      <c r="BC93" s="3634"/>
      <c r="BD93" s="3634"/>
      <c r="BE93" s="3634"/>
      <c r="BF93" s="3742" t="s">
        <v>1655</v>
      </c>
      <c r="BG93" s="3634"/>
      <c r="BH93" s="3634"/>
      <c r="BI93" s="3634"/>
      <c r="BJ93" s="3742" t="s">
        <v>1708</v>
      </c>
      <c r="BK93" s="3634"/>
      <c r="BL93" s="3634"/>
      <c r="BM93" s="3742" t="s">
        <v>1702</v>
      </c>
      <c r="BN93" s="3634"/>
      <c r="BO93" s="3634"/>
      <c r="BP93" s="3634"/>
      <c r="BQ93" s="3742" t="s">
        <v>1655</v>
      </c>
      <c r="BR93" s="3634"/>
      <c r="BS93" s="3634"/>
      <c r="BT93" s="3634"/>
    </row>
    <row r="94" spans="1:72" ht="15" customHeight="1" outlineLevel="2">
      <c r="A94" s="3660" t="s">
        <v>295</v>
      </c>
      <c r="B94" s="3636"/>
      <c r="C94" s="3636"/>
      <c r="D94" s="3640" t="s">
        <v>361</v>
      </c>
      <c r="E94" s="3641"/>
      <c r="F94" s="3641"/>
      <c r="G94" s="3641"/>
      <c r="H94" s="3641"/>
      <c r="I94" s="3641"/>
      <c r="J94" s="3641"/>
      <c r="K94" s="3641"/>
      <c r="L94" s="3641"/>
      <c r="M94" s="3641"/>
      <c r="N94" s="3642"/>
      <c r="O94" s="3640" t="s">
        <v>363</v>
      </c>
      <c r="P94" s="3641"/>
      <c r="Q94" s="3641"/>
      <c r="R94" s="3641"/>
      <c r="S94" s="3641"/>
      <c r="T94" s="3641"/>
      <c r="U94" s="3641"/>
      <c r="V94" s="3641"/>
      <c r="W94" s="3641"/>
      <c r="X94" s="3641"/>
      <c r="Y94" s="3642"/>
      <c r="Z94" s="3640" t="s">
        <v>365</v>
      </c>
      <c r="AA94" s="3641"/>
      <c r="AB94" s="3641"/>
      <c r="AC94" s="3641"/>
      <c r="AD94" s="3641"/>
      <c r="AE94" s="3641"/>
      <c r="AF94" s="3641"/>
      <c r="AG94" s="3641"/>
      <c r="AH94" s="3641"/>
      <c r="AI94" s="3641"/>
      <c r="AJ94" s="3642"/>
      <c r="AL94" s="3634" t="s">
        <v>1673</v>
      </c>
      <c r="AM94" s="3634"/>
      <c r="AN94" s="3742" t="s">
        <v>1655</v>
      </c>
      <c r="AO94" s="3634"/>
      <c r="AP94" s="3634"/>
      <c r="AQ94" s="3742" t="s">
        <v>1702</v>
      </c>
      <c r="AR94" s="3634"/>
      <c r="AS94" s="3634"/>
      <c r="AT94" s="3634"/>
      <c r="AU94" s="3742" t="s">
        <v>1655</v>
      </c>
      <c r="AV94" s="3634"/>
      <c r="AW94" s="3634"/>
      <c r="AX94" s="3634"/>
      <c r="AY94" s="3742" t="s">
        <v>1655</v>
      </c>
      <c r="AZ94" s="3634"/>
      <c r="BA94" s="3634"/>
      <c r="BB94" s="3742" t="s">
        <v>1702</v>
      </c>
      <c r="BC94" s="3634"/>
      <c r="BD94" s="3634"/>
      <c r="BE94" s="3634"/>
      <c r="BF94" s="3742" t="s">
        <v>1655</v>
      </c>
      <c r="BG94" s="3634"/>
      <c r="BH94" s="3634"/>
      <c r="BI94" s="3634"/>
      <c r="BJ94" s="3742" t="s">
        <v>1655</v>
      </c>
      <c r="BK94" s="3634"/>
      <c r="BL94" s="3634"/>
      <c r="BM94" s="3742" t="s">
        <v>1702</v>
      </c>
      <c r="BN94" s="3634"/>
      <c r="BO94" s="3634"/>
      <c r="BP94" s="3634"/>
      <c r="BQ94" s="3742" t="s">
        <v>1655</v>
      </c>
      <c r="BR94" s="3634"/>
      <c r="BS94" s="3634"/>
      <c r="BT94" s="3634"/>
    </row>
    <row r="95" spans="1:72" ht="18.75" outlineLevel="2">
      <c r="A95" s="3636"/>
      <c r="B95" s="3636"/>
      <c r="C95" s="3636"/>
      <c r="D95" s="3635">
        <v>1</v>
      </c>
      <c r="E95" s="3636"/>
      <c r="F95" s="3636"/>
      <c r="G95" s="3636">
        <v>2</v>
      </c>
      <c r="H95" s="3636"/>
      <c r="I95" s="3636"/>
      <c r="J95" s="3659" t="s">
        <v>299</v>
      </c>
      <c r="K95" s="3636"/>
      <c r="L95" s="3636"/>
      <c r="M95" s="3636"/>
      <c r="N95" s="3636"/>
      <c r="O95" s="3635">
        <v>1</v>
      </c>
      <c r="P95" s="3636"/>
      <c r="Q95" s="3636"/>
      <c r="R95" s="3636">
        <v>2</v>
      </c>
      <c r="S95" s="3636"/>
      <c r="T95" s="3636"/>
      <c r="U95" s="3659" t="s">
        <v>299</v>
      </c>
      <c r="V95" s="3636"/>
      <c r="W95" s="3636"/>
      <c r="X95" s="3636"/>
      <c r="Y95" s="3636"/>
      <c r="Z95" s="3635">
        <v>1</v>
      </c>
      <c r="AA95" s="3636"/>
      <c r="AB95" s="3636"/>
      <c r="AC95" s="3636">
        <v>2</v>
      </c>
      <c r="AD95" s="3636"/>
      <c r="AE95" s="3636"/>
      <c r="AF95" s="3659" t="s">
        <v>299</v>
      </c>
      <c r="AG95" s="3636"/>
      <c r="AH95" s="3636"/>
      <c r="AI95" s="3636"/>
      <c r="AJ95" s="3636"/>
      <c r="AL95" s="3634" t="s">
        <v>1674</v>
      </c>
      <c r="AM95" s="3634"/>
      <c r="AN95" s="3742" t="s">
        <v>1702</v>
      </c>
      <c r="AO95" s="3634"/>
      <c r="AP95" s="3634"/>
      <c r="AQ95" s="3742" t="s">
        <v>1655</v>
      </c>
      <c r="AR95" s="3634"/>
      <c r="AS95" s="3634"/>
      <c r="AT95" s="3634"/>
      <c r="AU95" s="3742" t="s">
        <v>1655</v>
      </c>
      <c r="AV95" s="3634"/>
      <c r="AW95" s="3634"/>
      <c r="AX95" s="3634"/>
      <c r="AY95" s="3742" t="s">
        <v>1702</v>
      </c>
      <c r="AZ95" s="3634"/>
      <c r="BA95" s="3634"/>
      <c r="BB95" s="3742" t="s">
        <v>1655</v>
      </c>
      <c r="BC95" s="3634"/>
      <c r="BD95" s="3634"/>
      <c r="BE95" s="3634"/>
      <c r="BF95" s="3742" t="s">
        <v>1655</v>
      </c>
      <c r="BG95" s="3634"/>
      <c r="BH95" s="3634"/>
      <c r="BI95" s="3634"/>
      <c r="BJ95" s="3742" t="s">
        <v>1702</v>
      </c>
      <c r="BK95" s="3634"/>
      <c r="BL95" s="3634"/>
      <c r="BM95" s="3742" t="s">
        <v>1655</v>
      </c>
      <c r="BN95" s="3634"/>
      <c r="BO95" s="3634"/>
      <c r="BP95" s="3634"/>
      <c r="BQ95" s="3742" t="s">
        <v>1655</v>
      </c>
      <c r="BR95" s="3634"/>
      <c r="BS95" s="3634"/>
      <c r="BT95" s="3634"/>
    </row>
    <row r="96" spans="1:72" ht="18.75" outlineLevel="2">
      <c r="A96" s="3640" t="s">
        <v>398</v>
      </c>
      <c r="B96" s="3641"/>
      <c r="C96" s="3641"/>
      <c r="D96" s="3641"/>
      <c r="E96" s="3641"/>
      <c r="F96" s="3641"/>
      <c r="G96" s="3641"/>
      <c r="H96" s="3641"/>
      <c r="I96" s="3641"/>
      <c r="J96" s="3641"/>
      <c r="K96" s="3641"/>
      <c r="L96" s="3641"/>
      <c r="M96" s="3641"/>
      <c r="N96" s="3641"/>
      <c r="O96" s="3641"/>
      <c r="P96" s="3641"/>
      <c r="Q96" s="3641"/>
      <c r="R96" s="3641"/>
      <c r="S96" s="3641"/>
      <c r="T96" s="3641"/>
      <c r="U96" s="3641"/>
      <c r="V96" s="3641"/>
      <c r="W96" s="3641"/>
      <c r="X96" s="3641"/>
      <c r="Y96" s="3641"/>
      <c r="Z96" s="3641"/>
      <c r="AA96" s="3641"/>
      <c r="AB96" s="3641"/>
      <c r="AC96" s="3641"/>
      <c r="AD96" s="3641"/>
      <c r="AE96" s="3641"/>
      <c r="AF96" s="3641"/>
      <c r="AG96" s="3641"/>
      <c r="AH96" s="3641"/>
      <c r="AI96" s="3641"/>
      <c r="AJ96" s="3642"/>
      <c r="AL96" s="3746" t="s">
        <v>1709</v>
      </c>
      <c r="AM96" s="3747"/>
      <c r="AN96" s="3747"/>
      <c r="AO96" s="3747"/>
      <c r="AP96" s="3747"/>
      <c r="AQ96" s="3747"/>
      <c r="AR96" s="3747"/>
      <c r="AS96" s="3747"/>
      <c r="AT96" s="3747"/>
      <c r="AU96" s="3747"/>
      <c r="AV96" s="3747"/>
      <c r="AW96" s="3747"/>
      <c r="AX96" s="3747"/>
      <c r="AY96" s="3747"/>
      <c r="AZ96" s="3747"/>
      <c r="BA96" s="3747"/>
      <c r="BB96" s="3747"/>
      <c r="BC96" s="3747"/>
      <c r="BD96" s="3747"/>
      <c r="BE96" s="3747"/>
      <c r="BF96" s="3747"/>
      <c r="BG96" s="3747"/>
      <c r="BH96" s="3747"/>
      <c r="BI96" s="3747"/>
      <c r="BJ96" s="3747"/>
      <c r="BK96" s="3747"/>
      <c r="BL96" s="3747"/>
      <c r="BM96" s="3747"/>
      <c r="BN96" s="3747"/>
      <c r="BO96" s="3747"/>
      <c r="BP96" s="3747"/>
      <c r="BQ96" s="3747"/>
      <c r="BR96" s="3747"/>
      <c r="BS96" s="3747"/>
      <c r="BT96" s="3747"/>
    </row>
    <row r="97" spans="1:72" ht="16.5" outlineLevel="2">
      <c r="A97" s="3639" t="s">
        <v>300</v>
      </c>
      <c r="B97" s="3636"/>
      <c r="C97" s="3636"/>
      <c r="D97" s="3640" t="s">
        <v>399</v>
      </c>
      <c r="E97" s="3643"/>
      <c r="F97" s="3644"/>
      <c r="G97" s="3640" t="s">
        <v>400</v>
      </c>
      <c r="H97" s="3641"/>
      <c r="I97" s="3642"/>
      <c r="J97" s="3640" t="s">
        <v>358</v>
      </c>
      <c r="K97" s="3643"/>
      <c r="L97" s="3643"/>
      <c r="M97" s="3643"/>
      <c r="N97" s="3644"/>
      <c r="O97" s="3640" t="s">
        <v>401</v>
      </c>
      <c r="P97" s="3641"/>
      <c r="Q97" s="3642"/>
      <c r="R97" s="3640" t="s">
        <v>402</v>
      </c>
      <c r="S97" s="3641"/>
      <c r="T97" s="3642"/>
      <c r="U97" s="3640" t="s">
        <v>403</v>
      </c>
      <c r="V97" s="3641"/>
      <c r="W97" s="3641"/>
      <c r="X97" s="3641"/>
      <c r="Y97" s="3642"/>
      <c r="Z97" s="3640" t="s">
        <v>404</v>
      </c>
      <c r="AA97" s="3643"/>
      <c r="AB97" s="3644"/>
      <c r="AC97" s="3640" t="s">
        <v>405</v>
      </c>
      <c r="AD97" s="3641"/>
      <c r="AE97" s="3642"/>
      <c r="AF97" s="3640" t="s">
        <v>406</v>
      </c>
      <c r="AG97" s="3643"/>
      <c r="AH97" s="3643"/>
      <c r="AI97" s="3643"/>
      <c r="AJ97" s="3644"/>
      <c r="AL97" s="3512" t="s">
        <v>1679</v>
      </c>
      <c r="AM97" s="3512"/>
      <c r="AN97" s="3512"/>
      <c r="AO97" s="3512"/>
      <c r="AP97" s="3512"/>
      <c r="AQ97" s="3724" t="s">
        <v>1702</v>
      </c>
      <c r="AR97" s="3648"/>
      <c r="AS97" s="3648"/>
      <c r="AT97" s="3648"/>
      <c r="AU97" s="3648"/>
      <c r="AV97" s="3649"/>
      <c r="AW97" s="3512" t="s">
        <v>1680</v>
      </c>
      <c r="AX97" s="3512"/>
      <c r="AY97" s="3512"/>
      <c r="AZ97" s="3512"/>
      <c r="BA97" s="3512"/>
      <c r="BB97" s="3512"/>
      <c r="BC97" s="3724" t="s">
        <v>1702</v>
      </c>
      <c r="BD97" s="3648"/>
      <c r="BE97" s="3648"/>
      <c r="BF97" s="3648"/>
      <c r="BG97" s="3648"/>
      <c r="BH97" s="3649"/>
      <c r="BI97" s="3512" t="s">
        <v>1681</v>
      </c>
      <c r="BJ97" s="3512"/>
      <c r="BK97" s="3512"/>
      <c r="BL97" s="3512"/>
      <c r="BM97" s="3512"/>
      <c r="BN97" s="3512"/>
      <c r="BO97" s="3724" t="s">
        <v>1708</v>
      </c>
      <c r="BP97" s="3648"/>
      <c r="BQ97" s="3648"/>
      <c r="BR97" s="3648"/>
      <c r="BS97" s="3648"/>
      <c r="BT97" s="3649"/>
    </row>
    <row r="98" spans="1:72" ht="16.5" outlineLevel="2">
      <c r="A98" s="3639" t="s">
        <v>354</v>
      </c>
      <c r="B98" s="3636"/>
      <c r="C98" s="3636"/>
      <c r="D98" s="3640" t="s">
        <v>358</v>
      </c>
      <c r="E98" s="3643"/>
      <c r="F98" s="3644"/>
      <c r="G98" s="3640" t="s">
        <v>407</v>
      </c>
      <c r="H98" s="3641"/>
      <c r="I98" s="3642"/>
      <c r="J98" s="3640" t="s">
        <v>408</v>
      </c>
      <c r="K98" s="3643"/>
      <c r="L98" s="3643"/>
      <c r="M98" s="3643"/>
      <c r="N98" s="3644"/>
      <c r="O98" s="3640" t="s">
        <v>409</v>
      </c>
      <c r="P98" s="3641"/>
      <c r="Q98" s="3642"/>
      <c r="R98" s="3640" t="s">
        <v>409</v>
      </c>
      <c r="S98" s="3641"/>
      <c r="T98" s="3642"/>
      <c r="U98" s="3640" t="s">
        <v>409</v>
      </c>
      <c r="V98" s="3641"/>
      <c r="W98" s="3641"/>
      <c r="X98" s="3641"/>
      <c r="Y98" s="3642"/>
      <c r="Z98" s="3640" t="s">
        <v>410</v>
      </c>
      <c r="AA98" s="3643"/>
      <c r="AB98" s="3644"/>
      <c r="AC98" s="3640" t="s">
        <v>411</v>
      </c>
      <c r="AD98" s="3641"/>
      <c r="AE98" s="3642"/>
      <c r="AF98" s="3640" t="s">
        <v>412</v>
      </c>
      <c r="AG98" s="3643"/>
      <c r="AH98" s="3643"/>
      <c r="AI98" s="3643"/>
      <c r="AJ98" s="3644"/>
    </row>
    <row r="99" spans="1:72" ht="16.5" outlineLevel="2">
      <c r="A99" s="3636" t="s">
        <v>389</v>
      </c>
      <c r="B99" s="3636"/>
      <c r="C99" s="3636"/>
      <c r="D99" s="3640" t="s">
        <v>358</v>
      </c>
      <c r="E99" s="3643"/>
      <c r="F99" s="3644"/>
      <c r="G99" s="3640" t="s">
        <v>358</v>
      </c>
      <c r="H99" s="3641"/>
      <c r="I99" s="3642"/>
      <c r="J99" s="3640" t="s">
        <v>358</v>
      </c>
      <c r="K99" s="3643"/>
      <c r="L99" s="3643"/>
      <c r="M99" s="3643"/>
      <c r="N99" s="3644"/>
      <c r="O99" s="3640" t="s">
        <v>358</v>
      </c>
      <c r="P99" s="3641"/>
      <c r="Q99" s="3642"/>
      <c r="R99" s="3640" t="s">
        <v>359</v>
      </c>
      <c r="S99" s="3641"/>
      <c r="T99" s="3642"/>
      <c r="U99" s="3640" t="s">
        <v>355</v>
      </c>
      <c r="V99" s="3641"/>
      <c r="W99" s="3641"/>
      <c r="X99" s="3641"/>
      <c r="Y99" s="3642"/>
      <c r="Z99" s="3640" t="s">
        <v>358</v>
      </c>
      <c r="AA99" s="3643"/>
      <c r="AB99" s="3644"/>
      <c r="AC99" s="3640" t="s">
        <v>358</v>
      </c>
      <c r="AD99" s="3641"/>
      <c r="AE99" s="3642"/>
      <c r="AF99" s="3640" t="s">
        <v>358</v>
      </c>
      <c r="AG99" s="3643"/>
      <c r="AH99" s="3643"/>
      <c r="AI99" s="3643"/>
      <c r="AJ99" s="3644"/>
    </row>
    <row r="100" spans="1:72" ht="15" outlineLevel="2">
      <c r="A100" s="3640" t="s">
        <v>413</v>
      </c>
      <c r="B100" s="3641"/>
      <c r="C100" s="3641"/>
      <c r="D100" s="3641"/>
      <c r="E100" s="3641"/>
      <c r="F100" s="3641"/>
      <c r="G100" s="3641"/>
      <c r="H100" s="3641"/>
      <c r="I100" s="3641"/>
      <c r="J100" s="3641"/>
      <c r="K100" s="3641"/>
      <c r="L100" s="3641"/>
      <c r="M100" s="3641"/>
      <c r="N100" s="3641"/>
      <c r="O100" s="3641"/>
      <c r="P100" s="3641"/>
      <c r="Q100" s="3641"/>
      <c r="R100" s="3641"/>
      <c r="S100" s="3641"/>
      <c r="T100" s="3641"/>
      <c r="U100" s="3641"/>
      <c r="V100" s="3641"/>
      <c r="W100" s="3641"/>
      <c r="X100" s="3641"/>
      <c r="Y100" s="3641"/>
      <c r="Z100" s="3641"/>
      <c r="AA100" s="3641"/>
      <c r="AB100" s="3641"/>
      <c r="AC100" s="3641"/>
      <c r="AD100" s="3641"/>
      <c r="AE100" s="3641"/>
      <c r="AF100" s="3641"/>
      <c r="AG100" s="3641"/>
      <c r="AH100" s="3641"/>
      <c r="AI100" s="3641"/>
      <c r="AJ100" s="3642"/>
    </row>
    <row r="101" spans="1:72" ht="16.5" outlineLevel="2">
      <c r="A101" s="3639" t="s">
        <v>300</v>
      </c>
      <c r="B101" s="3636"/>
      <c r="C101" s="3636"/>
      <c r="D101" s="3640" t="s">
        <v>409</v>
      </c>
      <c r="E101" s="3643"/>
      <c r="F101" s="3644"/>
      <c r="G101" s="3640" t="s">
        <v>414</v>
      </c>
      <c r="H101" s="3641"/>
      <c r="I101" s="3642"/>
      <c r="J101" s="3640" t="s">
        <v>415</v>
      </c>
      <c r="K101" s="3643"/>
      <c r="L101" s="3643"/>
      <c r="M101" s="3643"/>
      <c r="N101" s="3644"/>
      <c r="O101" s="3640" t="s">
        <v>416</v>
      </c>
      <c r="P101" s="3641"/>
      <c r="Q101" s="3642"/>
      <c r="R101" s="3640" t="s">
        <v>388</v>
      </c>
      <c r="S101" s="3641"/>
      <c r="T101" s="3642"/>
      <c r="U101" s="3640" t="s">
        <v>417</v>
      </c>
      <c r="V101" s="3641"/>
      <c r="W101" s="3641"/>
      <c r="X101" s="3641"/>
      <c r="Y101" s="3642"/>
      <c r="Z101" s="3640" t="s">
        <v>418</v>
      </c>
      <c r="AA101" s="3643"/>
      <c r="AB101" s="3644"/>
      <c r="AC101" s="3640" t="s">
        <v>372</v>
      </c>
      <c r="AD101" s="3641"/>
      <c r="AE101" s="3642"/>
      <c r="AF101" s="3640" t="s">
        <v>419</v>
      </c>
      <c r="AG101" s="3643"/>
      <c r="AH101" s="3643"/>
      <c r="AI101" s="3643"/>
      <c r="AJ101" s="3644"/>
    </row>
    <row r="102" spans="1:72" ht="16.5" outlineLevel="2">
      <c r="A102" s="3639" t="s">
        <v>354</v>
      </c>
      <c r="B102" s="3636"/>
      <c r="C102" s="3636"/>
      <c r="D102" s="3640" t="s">
        <v>358</v>
      </c>
      <c r="E102" s="3643"/>
      <c r="F102" s="3644"/>
      <c r="G102" s="3640" t="s">
        <v>420</v>
      </c>
      <c r="H102" s="3641"/>
      <c r="I102" s="3642"/>
      <c r="J102" s="3640" t="s">
        <v>421</v>
      </c>
      <c r="K102" s="3643"/>
      <c r="L102" s="3643"/>
      <c r="M102" s="3643"/>
      <c r="N102" s="3644"/>
      <c r="O102" s="3640" t="s">
        <v>388</v>
      </c>
      <c r="P102" s="3641"/>
      <c r="Q102" s="3642"/>
      <c r="R102" s="3640" t="s">
        <v>372</v>
      </c>
      <c r="S102" s="3641"/>
      <c r="T102" s="3642"/>
      <c r="U102" s="3640" t="s">
        <v>418</v>
      </c>
      <c r="V102" s="3641"/>
      <c r="W102" s="3641"/>
      <c r="X102" s="3641"/>
      <c r="Y102" s="3642"/>
      <c r="Z102" s="3640" t="s">
        <v>410</v>
      </c>
      <c r="AA102" s="3643"/>
      <c r="AB102" s="3644"/>
      <c r="AC102" s="3640" t="s">
        <v>372</v>
      </c>
      <c r="AD102" s="3641"/>
      <c r="AE102" s="3642"/>
      <c r="AF102" s="3640" t="s">
        <v>416</v>
      </c>
      <c r="AG102" s="3643"/>
      <c r="AH102" s="3643"/>
      <c r="AI102" s="3643"/>
      <c r="AJ102" s="3644"/>
    </row>
    <row r="103" spans="1:72" ht="16.5" outlineLevel="2">
      <c r="A103" s="3636" t="s">
        <v>357</v>
      </c>
      <c r="B103" s="3636"/>
      <c r="C103" s="3636"/>
      <c r="D103" s="3640" t="s">
        <v>358</v>
      </c>
      <c r="E103" s="3643"/>
      <c r="F103" s="3644"/>
      <c r="G103" s="3640" t="s">
        <v>359</v>
      </c>
      <c r="H103" s="3641"/>
      <c r="I103" s="3642"/>
      <c r="J103" s="3640" t="s">
        <v>355</v>
      </c>
      <c r="K103" s="3643"/>
      <c r="L103" s="3643"/>
      <c r="M103" s="3643"/>
      <c r="N103" s="3644"/>
      <c r="O103" s="3640" t="s">
        <v>358</v>
      </c>
      <c r="P103" s="3641"/>
      <c r="Q103" s="3642"/>
      <c r="R103" s="3640" t="s">
        <v>422</v>
      </c>
      <c r="S103" s="3641"/>
      <c r="T103" s="3642"/>
      <c r="U103" s="3640" t="s">
        <v>423</v>
      </c>
      <c r="V103" s="3641"/>
      <c r="W103" s="3641"/>
      <c r="X103" s="3641"/>
      <c r="Y103" s="3642"/>
      <c r="Z103" s="3640" t="s">
        <v>358</v>
      </c>
      <c r="AA103" s="3643"/>
      <c r="AB103" s="3644"/>
      <c r="AC103" s="3640" t="s">
        <v>358</v>
      </c>
      <c r="AD103" s="3641"/>
      <c r="AE103" s="3642"/>
      <c r="AF103" s="3640" t="s">
        <v>358</v>
      </c>
      <c r="AG103" s="3643"/>
      <c r="AH103" s="3643"/>
      <c r="AI103" s="3643"/>
      <c r="AJ103" s="3644"/>
    </row>
    <row r="104" spans="1:72" ht="15" outlineLevel="2">
      <c r="A104" s="3640" t="s">
        <v>424</v>
      </c>
      <c r="B104" s="3641"/>
      <c r="C104" s="3641"/>
      <c r="D104" s="3641"/>
      <c r="E104" s="3641"/>
      <c r="F104" s="3641"/>
      <c r="G104" s="3641"/>
      <c r="H104" s="3641"/>
      <c r="I104" s="3641"/>
      <c r="J104" s="3641"/>
      <c r="K104" s="3641"/>
      <c r="L104" s="3641"/>
      <c r="M104" s="3641"/>
      <c r="N104" s="3641"/>
      <c r="O104" s="3641"/>
      <c r="P104" s="3641"/>
      <c r="Q104" s="3641"/>
      <c r="R104" s="3641"/>
      <c r="S104" s="3641"/>
      <c r="T104" s="3641"/>
      <c r="U104" s="3641"/>
      <c r="V104" s="3641"/>
      <c r="W104" s="3641"/>
      <c r="X104" s="3641"/>
      <c r="Y104" s="3641"/>
      <c r="Z104" s="3641"/>
      <c r="AA104" s="3641"/>
      <c r="AB104" s="3641"/>
      <c r="AC104" s="3641"/>
      <c r="AD104" s="3641"/>
      <c r="AE104" s="3641"/>
      <c r="AF104" s="3641"/>
      <c r="AG104" s="3641"/>
      <c r="AH104" s="3641"/>
      <c r="AI104" s="3641"/>
      <c r="AJ104" s="3642"/>
    </row>
    <row r="105" spans="1:72" ht="16.5" outlineLevel="2">
      <c r="A105" s="3639" t="s">
        <v>300</v>
      </c>
      <c r="B105" s="3636"/>
      <c r="C105" s="3636"/>
      <c r="D105" s="3636" t="s">
        <v>386</v>
      </c>
      <c r="E105" s="3636"/>
      <c r="F105" s="3636"/>
      <c r="G105" s="3636" t="s">
        <v>386</v>
      </c>
      <c r="H105" s="3636"/>
      <c r="I105" s="3636"/>
      <c r="J105" s="3636" t="s">
        <v>386</v>
      </c>
      <c r="K105" s="3636"/>
      <c r="L105" s="3636"/>
      <c r="M105" s="3636"/>
      <c r="N105" s="3636"/>
      <c r="O105" s="3636" t="s">
        <v>386</v>
      </c>
      <c r="P105" s="3636"/>
      <c r="Q105" s="3636"/>
      <c r="R105" s="3636" t="s">
        <v>386</v>
      </c>
      <c r="S105" s="3636"/>
      <c r="T105" s="3636"/>
      <c r="U105" s="3636" t="s">
        <v>386</v>
      </c>
      <c r="V105" s="3636"/>
      <c r="W105" s="3636"/>
      <c r="X105" s="3636"/>
      <c r="Y105" s="3636"/>
      <c r="Z105" s="3636" t="s">
        <v>386</v>
      </c>
      <c r="AA105" s="3636"/>
      <c r="AB105" s="3636"/>
      <c r="AC105" s="3636" t="s">
        <v>386</v>
      </c>
      <c r="AD105" s="3636"/>
      <c r="AE105" s="3636"/>
      <c r="AF105" s="3636" t="s">
        <v>386</v>
      </c>
      <c r="AG105" s="3636"/>
      <c r="AH105" s="3636"/>
      <c r="AI105" s="3636"/>
      <c r="AJ105" s="3636"/>
    </row>
    <row r="106" spans="1:72" ht="16.5" outlineLevel="2">
      <c r="A106" s="3639" t="s">
        <v>354</v>
      </c>
      <c r="B106" s="3636"/>
      <c r="C106" s="3636"/>
      <c r="D106" s="3636" t="s">
        <v>386</v>
      </c>
      <c r="E106" s="3636"/>
      <c r="F106" s="3636"/>
      <c r="G106" s="3636" t="s">
        <v>386</v>
      </c>
      <c r="H106" s="3636"/>
      <c r="I106" s="3636"/>
      <c r="J106" s="3636" t="s">
        <v>386</v>
      </c>
      <c r="K106" s="3636"/>
      <c r="L106" s="3636"/>
      <c r="M106" s="3636"/>
      <c r="N106" s="3636"/>
      <c r="O106" s="3636" t="s">
        <v>386</v>
      </c>
      <c r="P106" s="3636"/>
      <c r="Q106" s="3636"/>
      <c r="R106" s="3636" t="s">
        <v>386</v>
      </c>
      <c r="S106" s="3636"/>
      <c r="T106" s="3636"/>
      <c r="U106" s="3636" t="s">
        <v>386</v>
      </c>
      <c r="V106" s="3636"/>
      <c r="W106" s="3636"/>
      <c r="X106" s="3636"/>
      <c r="Y106" s="3636"/>
      <c r="Z106" s="3636" t="s">
        <v>386</v>
      </c>
      <c r="AA106" s="3636"/>
      <c r="AB106" s="3636"/>
      <c r="AC106" s="3636" t="s">
        <v>386</v>
      </c>
      <c r="AD106" s="3636"/>
      <c r="AE106" s="3636"/>
      <c r="AF106" s="3636" t="s">
        <v>386</v>
      </c>
      <c r="AG106" s="3636"/>
      <c r="AH106" s="3636"/>
      <c r="AI106" s="3636"/>
      <c r="AJ106" s="3636"/>
    </row>
    <row r="107" spans="1:72" ht="16.5" outlineLevel="2">
      <c r="A107" s="3636" t="s">
        <v>357</v>
      </c>
      <c r="B107" s="3636"/>
      <c r="C107" s="3636"/>
      <c r="D107" s="3636" t="s">
        <v>386</v>
      </c>
      <c r="E107" s="3636"/>
      <c r="F107" s="3636"/>
      <c r="G107" s="3636" t="s">
        <v>386</v>
      </c>
      <c r="H107" s="3636"/>
      <c r="I107" s="3636"/>
      <c r="J107" s="3636" t="s">
        <v>386</v>
      </c>
      <c r="K107" s="3636"/>
      <c r="L107" s="3636"/>
      <c r="M107" s="3636"/>
      <c r="N107" s="3636"/>
      <c r="O107" s="3636" t="s">
        <v>386</v>
      </c>
      <c r="P107" s="3636"/>
      <c r="Q107" s="3636"/>
      <c r="R107" s="3636" t="s">
        <v>386</v>
      </c>
      <c r="S107" s="3636"/>
      <c r="T107" s="3636"/>
      <c r="U107" s="3636" t="s">
        <v>386</v>
      </c>
      <c r="V107" s="3636"/>
      <c r="W107" s="3636"/>
      <c r="X107" s="3636"/>
      <c r="Y107" s="3636"/>
      <c r="Z107" s="3636" t="s">
        <v>386</v>
      </c>
      <c r="AA107" s="3636"/>
      <c r="AB107" s="3636"/>
      <c r="AC107" s="3636" t="s">
        <v>386</v>
      </c>
      <c r="AD107" s="3636"/>
      <c r="AE107" s="3636"/>
      <c r="AF107" s="3636" t="s">
        <v>386</v>
      </c>
      <c r="AG107" s="3636"/>
      <c r="AH107" s="3636"/>
      <c r="AI107" s="3636"/>
      <c r="AJ107" s="3636"/>
    </row>
    <row r="108" spans="1:72" ht="16.5" outlineLevel="2">
      <c r="A108" s="3637" t="s">
        <v>425</v>
      </c>
      <c r="B108" s="3638"/>
      <c r="C108" s="3638"/>
      <c r="D108" s="3638"/>
      <c r="E108" s="3638"/>
      <c r="F108" s="3638"/>
      <c r="G108" s="3638"/>
      <c r="H108" s="3638"/>
      <c r="I108" s="3638"/>
      <c r="J108" s="3638"/>
      <c r="K108" s="3638"/>
      <c r="L108" s="3638"/>
      <c r="M108" s="3638"/>
      <c r="N108" s="3638"/>
      <c r="O108" s="3638"/>
      <c r="P108" s="3638"/>
      <c r="Q108" s="3638"/>
      <c r="R108" s="3638"/>
      <c r="S108" s="3638"/>
      <c r="T108" s="3638"/>
      <c r="U108" s="3638"/>
      <c r="V108" s="3638"/>
      <c r="W108" s="3638"/>
      <c r="X108" s="3638"/>
      <c r="Y108" s="3638"/>
      <c r="Z108" s="3638"/>
      <c r="AA108" s="3638"/>
      <c r="AB108" s="3638"/>
      <c r="AC108" s="3638"/>
      <c r="AD108" s="3638"/>
      <c r="AE108" s="3638"/>
      <c r="AF108" s="3638"/>
      <c r="AG108" s="3638"/>
      <c r="AH108" s="3638"/>
      <c r="AI108" s="3638"/>
      <c r="AJ108" s="3638"/>
    </row>
    <row r="109" spans="1:72" ht="15" outlineLevel="2">
      <c r="A109" s="3636" t="s">
        <v>331</v>
      </c>
      <c r="B109" s="3636"/>
      <c r="C109" s="3636"/>
      <c r="D109" s="3636"/>
      <c r="E109" s="3635" t="s">
        <v>426</v>
      </c>
      <c r="F109" s="3636"/>
      <c r="G109" s="3636"/>
      <c r="H109" s="3636"/>
      <c r="I109" s="3636"/>
      <c r="J109" s="3636"/>
      <c r="K109" s="3636" t="s">
        <v>332</v>
      </c>
      <c r="L109" s="3636"/>
      <c r="M109" s="3636"/>
      <c r="N109" s="3636"/>
      <c r="O109" s="3636"/>
      <c r="P109" s="3636"/>
      <c r="Q109" s="3635" t="s">
        <v>427</v>
      </c>
      <c r="R109" s="3636"/>
      <c r="S109" s="3636"/>
      <c r="T109" s="3636"/>
      <c r="U109" s="3636"/>
      <c r="V109" s="3636"/>
      <c r="W109" s="3636"/>
      <c r="X109" s="3636" t="s">
        <v>333</v>
      </c>
      <c r="Y109" s="3636"/>
      <c r="Z109" s="3636"/>
      <c r="AA109" s="3636"/>
      <c r="AB109" s="3636"/>
      <c r="AC109" s="3635" t="s">
        <v>428</v>
      </c>
      <c r="AD109" s="3636"/>
      <c r="AE109" s="3636"/>
      <c r="AF109" s="3636"/>
      <c r="AG109" s="3636"/>
      <c r="AH109" s="3636"/>
      <c r="AI109" s="3636"/>
      <c r="AJ109" s="3636"/>
    </row>
    <row r="110" spans="1:72" outlineLevel="1"/>
    <row r="111" spans="1:72" outlineLevel="1">
      <c r="A111" s="649" t="s">
        <v>1713</v>
      </c>
      <c r="AL111" s="649" t="s">
        <v>1714</v>
      </c>
    </row>
    <row r="112" spans="1:72" ht="15.75" outlineLevel="1">
      <c r="A112" s="211" t="s">
        <v>1715</v>
      </c>
      <c r="B112" s="261" t="s">
        <v>770</v>
      </c>
      <c r="C112" s="212"/>
      <c r="D112" s="212"/>
      <c r="E112" s="212"/>
      <c r="F112" s="212"/>
      <c r="G112" s="212"/>
      <c r="H112" s="216" t="s">
        <v>429</v>
      </c>
      <c r="I112" s="212"/>
      <c r="J112" s="212"/>
      <c r="K112" s="212"/>
      <c r="L112" s="212"/>
      <c r="M112" s="212"/>
      <c r="N112" s="212"/>
      <c r="O112" s="212"/>
      <c r="P112" s="212"/>
      <c r="Q112" s="212"/>
      <c r="R112" s="212"/>
      <c r="S112" s="212"/>
      <c r="T112" s="212"/>
      <c r="U112" s="212"/>
      <c r="V112" s="212"/>
      <c r="W112" s="212"/>
      <c r="X112" s="212"/>
      <c r="Y112" s="212"/>
      <c r="Z112" s="212"/>
      <c r="AA112" s="212"/>
      <c r="AB112" s="212"/>
      <c r="AC112" s="212"/>
      <c r="AD112" s="212"/>
      <c r="AE112" s="212"/>
      <c r="AF112" s="212"/>
      <c r="AG112" s="212"/>
      <c r="AH112" s="212"/>
      <c r="AI112" s="212"/>
      <c r="AJ112" s="212"/>
      <c r="AL112" s="3755" t="s">
        <v>1718</v>
      </c>
      <c r="AM112" s="3755"/>
      <c r="AN112" s="3756"/>
      <c r="AO112" s="3757"/>
      <c r="AP112" s="3757"/>
      <c r="AQ112" s="3757"/>
      <c r="AR112" s="3758"/>
      <c r="AS112" s="3758"/>
      <c r="AT112" s="3758"/>
      <c r="AU112" s="3758"/>
      <c r="AV112" s="3758"/>
      <c r="AW112" s="3758"/>
      <c r="AX112" s="3758"/>
      <c r="AY112" s="3758"/>
      <c r="AZ112" s="3758"/>
      <c r="BA112" s="3758"/>
      <c r="BB112" s="3758"/>
      <c r="BC112" s="3758"/>
      <c r="BD112" s="3758"/>
      <c r="BE112" s="3758"/>
      <c r="BF112" s="3758"/>
      <c r="BG112" s="3758"/>
      <c r="BH112" s="3758"/>
      <c r="BI112" s="3758"/>
      <c r="BJ112" s="3758"/>
      <c r="BK112" s="3758"/>
      <c r="BL112" s="3758"/>
      <c r="BM112" s="3758"/>
      <c r="BN112" s="3758"/>
      <c r="BO112" s="655"/>
      <c r="BP112" s="655"/>
      <c r="BQ112" s="655"/>
      <c r="BR112" s="655"/>
      <c r="BS112" s="655"/>
      <c r="BT112" s="655"/>
    </row>
    <row r="113" spans="1:72" ht="15.75" outlineLevel="2">
      <c r="A113" s="3658" t="s">
        <v>1474</v>
      </c>
      <c r="B113" s="3641"/>
      <c r="C113" s="3641"/>
      <c r="D113" s="3641"/>
      <c r="E113" s="3641"/>
      <c r="F113" s="3641"/>
      <c r="G113" s="3641"/>
      <c r="H113" s="3641"/>
      <c r="I113" s="3641"/>
      <c r="J113" s="3641"/>
      <c r="K113" s="3641"/>
      <c r="L113" s="3641"/>
      <c r="M113" s="3641"/>
      <c r="N113" s="3641"/>
      <c r="O113" s="3641"/>
      <c r="P113" s="3641"/>
      <c r="Q113" s="3641"/>
      <c r="R113" s="3641"/>
      <c r="S113" s="3641"/>
      <c r="T113" s="3641"/>
      <c r="U113" s="3641"/>
      <c r="V113" s="3641"/>
      <c r="W113" s="3641"/>
      <c r="X113" s="3641"/>
      <c r="Y113" s="3641"/>
      <c r="Z113" s="3641"/>
      <c r="AA113" s="3641"/>
      <c r="AB113" s="3641"/>
      <c r="AC113" s="3641"/>
      <c r="AD113" s="3641"/>
      <c r="AE113" s="3641"/>
      <c r="AF113" s="3641"/>
      <c r="AG113" s="3641"/>
      <c r="AH113" s="3641"/>
      <c r="AI113" s="3641"/>
      <c r="AJ113" s="3642"/>
      <c r="AL113" s="3750" t="s">
        <v>1663</v>
      </c>
      <c r="AM113" s="3512"/>
      <c r="AN113" s="3512"/>
      <c r="AO113" s="3512"/>
      <c r="AP113" s="3512"/>
      <c r="AQ113" s="3512"/>
      <c r="AR113" s="3512"/>
      <c r="AS113" s="3512"/>
      <c r="AT113" s="3512"/>
      <c r="AU113" s="3512"/>
      <c r="AV113" s="3512"/>
      <c r="AW113" s="3512"/>
      <c r="AX113" s="3512"/>
      <c r="AY113" s="3512"/>
      <c r="AZ113" s="3512"/>
      <c r="BA113" s="3512"/>
      <c r="BB113" s="3512"/>
      <c r="BC113" s="3512"/>
      <c r="BD113" s="3512"/>
      <c r="BE113" s="3512"/>
      <c r="BF113" s="3512"/>
      <c r="BG113" s="3512"/>
      <c r="BH113" s="3512"/>
      <c r="BI113" s="3512"/>
      <c r="BJ113" s="3512"/>
      <c r="BK113" s="3512"/>
      <c r="BL113" s="3512"/>
      <c r="BM113" s="3512"/>
      <c r="BN113" s="3512"/>
      <c r="BO113" s="3512"/>
      <c r="BP113" s="3512"/>
      <c r="BQ113" s="3512"/>
      <c r="BR113" s="3512"/>
      <c r="BS113" s="3512"/>
      <c r="BT113" s="3512"/>
    </row>
    <row r="114" spans="1:72" ht="15.75" outlineLevel="2">
      <c r="A114" s="3650" t="s">
        <v>330</v>
      </c>
      <c r="B114" s="3651"/>
      <c r="C114" s="3652"/>
      <c r="D114" s="3640" t="s">
        <v>430</v>
      </c>
      <c r="E114" s="3641"/>
      <c r="F114" s="3641"/>
      <c r="G114" s="3641"/>
      <c r="H114" s="3641"/>
      <c r="I114" s="3641"/>
      <c r="J114" s="3641"/>
      <c r="K114" s="3641"/>
      <c r="L114" s="3641"/>
      <c r="M114" s="3641"/>
      <c r="N114" s="3642"/>
      <c r="O114" s="3640" t="s">
        <v>431</v>
      </c>
      <c r="P114" s="3641"/>
      <c r="Q114" s="3641"/>
      <c r="R114" s="3641"/>
      <c r="S114" s="3641"/>
      <c r="T114" s="3641"/>
      <c r="U114" s="3641"/>
      <c r="V114" s="3641"/>
      <c r="W114" s="3641"/>
      <c r="X114" s="3641"/>
      <c r="Y114" s="3642"/>
      <c r="Z114" s="3640" t="s">
        <v>432</v>
      </c>
      <c r="AA114" s="3641"/>
      <c r="AB114" s="3641"/>
      <c r="AC114" s="3641"/>
      <c r="AD114" s="3641"/>
      <c r="AE114" s="3641"/>
      <c r="AF114" s="3641"/>
      <c r="AG114" s="3641"/>
      <c r="AH114" s="3641"/>
      <c r="AI114" s="3641"/>
      <c r="AJ114" s="3642"/>
      <c r="AL114" s="3759" t="s">
        <v>1664</v>
      </c>
      <c r="AM114" s="3760"/>
      <c r="AN114" s="3760"/>
      <c r="AO114" s="3760"/>
      <c r="AP114" s="3761"/>
      <c r="AQ114" s="3762" t="s">
        <v>1697</v>
      </c>
      <c r="AR114" s="3760"/>
      <c r="AS114" s="3760"/>
      <c r="AT114" s="3760"/>
      <c r="AU114" s="3760"/>
      <c r="AV114" s="3761"/>
      <c r="AW114" s="3762" t="s">
        <v>1698</v>
      </c>
      <c r="AX114" s="3760"/>
      <c r="AY114" s="3760"/>
      <c r="AZ114" s="3760"/>
      <c r="BA114" s="3760"/>
      <c r="BB114" s="3761"/>
      <c r="BC114" s="3762" t="s">
        <v>1699</v>
      </c>
      <c r="BD114" s="3760"/>
      <c r="BE114" s="3760"/>
      <c r="BF114" s="3760"/>
      <c r="BG114" s="3760"/>
      <c r="BH114" s="3761"/>
      <c r="BI114" s="3762" t="s">
        <v>1700</v>
      </c>
      <c r="BJ114" s="3760"/>
      <c r="BK114" s="3760"/>
      <c r="BL114" s="3760"/>
      <c r="BM114" s="3760"/>
      <c r="BN114" s="3761"/>
      <c r="BO114" s="3762" t="s">
        <v>1701</v>
      </c>
      <c r="BP114" s="3760"/>
      <c r="BQ114" s="3760"/>
      <c r="BR114" s="3760"/>
      <c r="BS114" s="3760"/>
      <c r="BT114" s="3761"/>
    </row>
    <row r="115" spans="1:72" ht="18.75" outlineLevel="2">
      <c r="A115" s="3653"/>
      <c r="B115" s="3654"/>
      <c r="C115" s="3655"/>
      <c r="D115" s="3646">
        <v>1</v>
      </c>
      <c r="E115" s="3643"/>
      <c r="F115" s="3644"/>
      <c r="G115" s="3640">
        <v>2</v>
      </c>
      <c r="H115" s="3641"/>
      <c r="I115" s="3642"/>
      <c r="J115" s="3645" t="s">
        <v>334</v>
      </c>
      <c r="K115" s="3641"/>
      <c r="L115" s="3641"/>
      <c r="M115" s="3641"/>
      <c r="N115" s="3642"/>
      <c r="O115" s="3646">
        <v>1</v>
      </c>
      <c r="P115" s="3643"/>
      <c r="Q115" s="3644"/>
      <c r="R115" s="3640">
        <v>2</v>
      </c>
      <c r="S115" s="3641"/>
      <c r="T115" s="3642"/>
      <c r="U115" s="3645" t="s">
        <v>334</v>
      </c>
      <c r="V115" s="3641"/>
      <c r="W115" s="3641"/>
      <c r="X115" s="3641"/>
      <c r="Y115" s="3642"/>
      <c r="Z115" s="3646">
        <v>1</v>
      </c>
      <c r="AA115" s="3643"/>
      <c r="AB115" s="3644"/>
      <c r="AC115" s="3640">
        <v>2</v>
      </c>
      <c r="AD115" s="3641"/>
      <c r="AE115" s="3642"/>
      <c r="AF115" s="3645" t="s">
        <v>334</v>
      </c>
      <c r="AG115" s="3641"/>
      <c r="AH115" s="3641"/>
      <c r="AI115" s="3641"/>
      <c r="AJ115" s="3642"/>
      <c r="AL115" s="3737" t="s">
        <v>1668</v>
      </c>
      <c r="AM115" s="3648"/>
      <c r="AN115" s="3648"/>
      <c r="AO115" s="3648"/>
      <c r="AP115" s="3649"/>
      <c r="AQ115" s="3724" t="s">
        <v>1702</v>
      </c>
      <c r="AR115" s="3648"/>
      <c r="AS115" s="3648"/>
      <c r="AT115" s="3648"/>
      <c r="AU115" s="3648"/>
      <c r="AV115" s="3649"/>
      <c r="AW115" s="3742" t="s">
        <v>1702</v>
      </c>
      <c r="AX115" s="3634"/>
      <c r="AY115" s="3634"/>
      <c r="AZ115" s="3634"/>
      <c r="BA115" s="3634"/>
      <c r="BB115" s="3634"/>
      <c r="BC115" s="3742" t="s">
        <v>1702</v>
      </c>
      <c r="BD115" s="3634"/>
      <c r="BE115" s="3634"/>
      <c r="BF115" s="3634"/>
      <c r="BG115" s="3634"/>
      <c r="BH115" s="3634"/>
      <c r="BI115" s="3742" t="s">
        <v>1655</v>
      </c>
      <c r="BJ115" s="3634"/>
      <c r="BK115" s="3634"/>
      <c r="BL115" s="3634"/>
      <c r="BM115" s="3634"/>
      <c r="BN115" s="3634"/>
      <c r="BO115" s="3742" t="s">
        <v>1655</v>
      </c>
      <c r="BP115" s="3634"/>
      <c r="BQ115" s="3634"/>
      <c r="BR115" s="3634"/>
      <c r="BS115" s="3634"/>
      <c r="BT115" s="3634"/>
    </row>
    <row r="116" spans="1:72" ht="18.75" outlineLevel="2">
      <c r="A116" s="3657" t="s">
        <v>336</v>
      </c>
      <c r="B116" s="3641"/>
      <c r="C116" s="3642"/>
      <c r="D116" s="3640" t="s">
        <v>433</v>
      </c>
      <c r="E116" s="3643"/>
      <c r="F116" s="3644"/>
      <c r="G116" s="3640" t="s">
        <v>434</v>
      </c>
      <c r="H116" s="3641"/>
      <c r="I116" s="3642"/>
      <c r="J116" s="3640" t="s">
        <v>435</v>
      </c>
      <c r="K116" s="3643"/>
      <c r="L116" s="3643"/>
      <c r="M116" s="3643"/>
      <c r="N116" s="3644"/>
      <c r="O116" s="3640" t="s">
        <v>436</v>
      </c>
      <c r="P116" s="3643"/>
      <c r="Q116" s="3644"/>
      <c r="R116" s="3640" t="s">
        <v>437</v>
      </c>
      <c r="S116" s="3641"/>
      <c r="T116" s="3642"/>
      <c r="U116" s="3640" t="s">
        <v>438</v>
      </c>
      <c r="V116" s="3643"/>
      <c r="W116" s="3643"/>
      <c r="X116" s="3643"/>
      <c r="Y116" s="3644"/>
      <c r="Z116" s="3640" t="s">
        <v>439</v>
      </c>
      <c r="AA116" s="3643"/>
      <c r="AB116" s="3644"/>
      <c r="AC116" s="3640" t="s">
        <v>306</v>
      </c>
      <c r="AD116" s="3641"/>
      <c r="AE116" s="3642"/>
      <c r="AF116" s="3640" t="s">
        <v>440</v>
      </c>
      <c r="AG116" s="3643"/>
      <c r="AH116" s="3643"/>
      <c r="AI116" s="3643"/>
      <c r="AJ116" s="3644"/>
      <c r="AL116" s="3737" t="s">
        <v>1672</v>
      </c>
      <c r="AM116" s="3648"/>
      <c r="AN116" s="3648"/>
      <c r="AO116" s="3648"/>
      <c r="AP116" s="3649"/>
      <c r="AQ116" s="3724" t="s">
        <v>1702</v>
      </c>
      <c r="AR116" s="3648"/>
      <c r="AS116" s="3648"/>
      <c r="AT116" s="3648"/>
      <c r="AU116" s="3648"/>
      <c r="AV116" s="3649"/>
      <c r="AW116" s="3742" t="s">
        <v>1702</v>
      </c>
      <c r="AX116" s="3634"/>
      <c r="AY116" s="3634"/>
      <c r="AZ116" s="3634"/>
      <c r="BA116" s="3634"/>
      <c r="BB116" s="3634"/>
      <c r="BC116" s="3742" t="s">
        <v>1702</v>
      </c>
      <c r="BD116" s="3634"/>
      <c r="BE116" s="3634"/>
      <c r="BF116" s="3634"/>
      <c r="BG116" s="3634"/>
      <c r="BH116" s="3634"/>
      <c r="BI116" s="3742" t="s">
        <v>1655</v>
      </c>
      <c r="BJ116" s="3634"/>
      <c r="BK116" s="3634"/>
      <c r="BL116" s="3634"/>
      <c r="BM116" s="3634"/>
      <c r="BN116" s="3634"/>
      <c r="BO116" s="3742" t="s">
        <v>1655</v>
      </c>
      <c r="BP116" s="3634"/>
      <c r="BQ116" s="3634"/>
      <c r="BR116" s="3634"/>
      <c r="BS116" s="3634"/>
      <c r="BT116" s="3634"/>
    </row>
    <row r="117" spans="1:72" ht="18.75" outlineLevel="2">
      <c r="A117" s="3657" t="s">
        <v>308</v>
      </c>
      <c r="B117" s="3641"/>
      <c r="C117" s="3642"/>
      <c r="D117" s="3640" t="s">
        <v>441</v>
      </c>
      <c r="E117" s="3643"/>
      <c r="F117" s="3644"/>
      <c r="G117" s="3640" t="s">
        <v>442</v>
      </c>
      <c r="H117" s="3641"/>
      <c r="I117" s="3642"/>
      <c r="J117" s="3640" t="s">
        <v>443</v>
      </c>
      <c r="K117" s="3643"/>
      <c r="L117" s="3643"/>
      <c r="M117" s="3643"/>
      <c r="N117" s="3644"/>
      <c r="O117" s="3640" t="s">
        <v>444</v>
      </c>
      <c r="P117" s="3643"/>
      <c r="Q117" s="3644"/>
      <c r="R117" s="3640" t="s">
        <v>444</v>
      </c>
      <c r="S117" s="3641"/>
      <c r="T117" s="3642"/>
      <c r="U117" s="3640" t="s">
        <v>444</v>
      </c>
      <c r="V117" s="3643"/>
      <c r="W117" s="3643"/>
      <c r="X117" s="3643"/>
      <c r="Y117" s="3644"/>
      <c r="Z117" s="3640" t="s">
        <v>445</v>
      </c>
      <c r="AA117" s="3643"/>
      <c r="AB117" s="3644"/>
      <c r="AC117" s="3640" t="s">
        <v>446</v>
      </c>
      <c r="AD117" s="3641"/>
      <c r="AE117" s="3642"/>
      <c r="AF117" s="3640" t="s">
        <v>447</v>
      </c>
      <c r="AG117" s="3643"/>
      <c r="AH117" s="3643"/>
      <c r="AI117" s="3643"/>
      <c r="AJ117" s="3644"/>
      <c r="AL117" s="3647" t="s">
        <v>1673</v>
      </c>
      <c r="AM117" s="3648"/>
      <c r="AN117" s="3648"/>
      <c r="AO117" s="3648"/>
      <c r="AP117" s="3649"/>
      <c r="AQ117" s="3724" t="s">
        <v>1655</v>
      </c>
      <c r="AR117" s="3648"/>
      <c r="AS117" s="3648"/>
      <c r="AT117" s="3648"/>
      <c r="AU117" s="3648"/>
      <c r="AV117" s="3649"/>
      <c r="AW117" s="3742" t="s">
        <v>1702</v>
      </c>
      <c r="AX117" s="3634"/>
      <c r="AY117" s="3634"/>
      <c r="AZ117" s="3634"/>
      <c r="BA117" s="3634"/>
      <c r="BB117" s="3634"/>
      <c r="BC117" s="3742" t="s">
        <v>1702</v>
      </c>
      <c r="BD117" s="3634"/>
      <c r="BE117" s="3634"/>
      <c r="BF117" s="3634"/>
      <c r="BG117" s="3634"/>
      <c r="BH117" s="3634"/>
      <c r="BI117" s="3742" t="s">
        <v>1655</v>
      </c>
      <c r="BJ117" s="3634"/>
      <c r="BK117" s="3634"/>
      <c r="BL117" s="3634"/>
      <c r="BM117" s="3634"/>
      <c r="BN117" s="3634"/>
      <c r="BO117" s="3742" t="s">
        <v>1655</v>
      </c>
      <c r="BP117" s="3634"/>
      <c r="BQ117" s="3634"/>
      <c r="BR117" s="3634"/>
      <c r="BS117" s="3634"/>
      <c r="BT117" s="3634"/>
    </row>
    <row r="118" spans="1:72" ht="18.75" outlineLevel="2">
      <c r="A118" s="3640" t="s">
        <v>448</v>
      </c>
      <c r="B118" s="3641"/>
      <c r="C118" s="3642"/>
      <c r="D118" s="3640" t="s">
        <v>317</v>
      </c>
      <c r="E118" s="3643"/>
      <c r="F118" s="3644"/>
      <c r="G118" s="3640" t="s">
        <v>317</v>
      </c>
      <c r="H118" s="3641"/>
      <c r="I118" s="3642"/>
      <c r="J118" s="3640" t="s">
        <v>317</v>
      </c>
      <c r="K118" s="3643"/>
      <c r="L118" s="3643"/>
      <c r="M118" s="3643"/>
      <c r="N118" s="3644"/>
      <c r="O118" s="3640" t="s">
        <v>449</v>
      </c>
      <c r="P118" s="3643"/>
      <c r="Q118" s="3644"/>
      <c r="R118" s="3640" t="s">
        <v>319</v>
      </c>
      <c r="S118" s="3641"/>
      <c r="T118" s="3642"/>
      <c r="U118" s="3640" t="s">
        <v>450</v>
      </c>
      <c r="V118" s="3643"/>
      <c r="W118" s="3643"/>
      <c r="X118" s="3643"/>
      <c r="Y118" s="3644"/>
      <c r="Z118" s="3640" t="s">
        <v>318</v>
      </c>
      <c r="AA118" s="3643"/>
      <c r="AB118" s="3644"/>
      <c r="AC118" s="3640" t="s">
        <v>318</v>
      </c>
      <c r="AD118" s="3641"/>
      <c r="AE118" s="3642"/>
      <c r="AF118" s="3640" t="s">
        <v>318</v>
      </c>
      <c r="AG118" s="3643"/>
      <c r="AH118" s="3643"/>
      <c r="AI118" s="3643"/>
      <c r="AJ118" s="3644"/>
      <c r="AL118" s="3647" t="s">
        <v>1674</v>
      </c>
      <c r="AM118" s="3648"/>
      <c r="AN118" s="3648"/>
      <c r="AO118" s="3648"/>
      <c r="AP118" s="3649"/>
      <c r="AQ118" s="3724" t="s">
        <v>1702</v>
      </c>
      <c r="AR118" s="3648"/>
      <c r="AS118" s="3648"/>
      <c r="AT118" s="3648"/>
      <c r="AU118" s="3648"/>
      <c r="AV118" s="3649"/>
      <c r="AW118" s="3742" t="s">
        <v>1702</v>
      </c>
      <c r="AX118" s="3634"/>
      <c r="AY118" s="3634"/>
      <c r="AZ118" s="3634"/>
      <c r="BA118" s="3634"/>
      <c r="BB118" s="3634"/>
      <c r="BC118" s="3742" t="s">
        <v>1702</v>
      </c>
      <c r="BD118" s="3634"/>
      <c r="BE118" s="3634"/>
      <c r="BF118" s="3634"/>
      <c r="BG118" s="3634"/>
      <c r="BH118" s="3634"/>
      <c r="BI118" s="3742" t="s">
        <v>1655</v>
      </c>
      <c r="BJ118" s="3634"/>
      <c r="BK118" s="3634"/>
      <c r="BL118" s="3634"/>
      <c r="BM118" s="3634"/>
      <c r="BN118" s="3634"/>
      <c r="BO118" s="3742" t="s">
        <v>1655</v>
      </c>
      <c r="BP118" s="3634"/>
      <c r="BQ118" s="3634"/>
      <c r="BR118" s="3634"/>
      <c r="BS118" s="3634"/>
      <c r="BT118" s="3634"/>
    </row>
    <row r="119" spans="1:72" ht="18.75" outlineLevel="2">
      <c r="A119" s="3640" t="s">
        <v>323</v>
      </c>
      <c r="B119" s="3641"/>
      <c r="C119" s="3642"/>
      <c r="D119" s="3640" t="s">
        <v>319</v>
      </c>
      <c r="E119" s="3643"/>
      <c r="F119" s="3644"/>
      <c r="G119" s="3640" t="s">
        <v>319</v>
      </c>
      <c r="H119" s="3641"/>
      <c r="I119" s="3642"/>
      <c r="J119" s="3640" t="s">
        <v>319</v>
      </c>
      <c r="K119" s="3643"/>
      <c r="L119" s="3643"/>
      <c r="M119" s="3643"/>
      <c r="N119" s="3644"/>
      <c r="O119" s="3640" t="s">
        <v>319</v>
      </c>
      <c r="P119" s="3643"/>
      <c r="Q119" s="3644"/>
      <c r="R119" s="3640" t="s">
        <v>326</v>
      </c>
      <c r="S119" s="3641"/>
      <c r="T119" s="3642"/>
      <c r="U119" s="3640" t="s">
        <v>319</v>
      </c>
      <c r="V119" s="3643"/>
      <c r="W119" s="3643"/>
      <c r="X119" s="3643"/>
      <c r="Y119" s="3644"/>
      <c r="Z119" s="3640" t="s">
        <v>319</v>
      </c>
      <c r="AA119" s="3643"/>
      <c r="AB119" s="3644"/>
      <c r="AC119" s="3640" t="s">
        <v>326</v>
      </c>
      <c r="AD119" s="3641"/>
      <c r="AE119" s="3642"/>
      <c r="AF119" s="3640" t="s">
        <v>319</v>
      </c>
      <c r="AG119" s="3643"/>
      <c r="AH119" s="3643"/>
      <c r="AI119" s="3643"/>
      <c r="AJ119" s="3644"/>
      <c r="AL119" s="3647" t="s">
        <v>1676</v>
      </c>
      <c r="AM119" s="3648"/>
      <c r="AN119" s="3648"/>
      <c r="AO119" s="3648"/>
      <c r="AP119" s="3649"/>
      <c r="AQ119" s="3724" t="s">
        <v>1702</v>
      </c>
      <c r="AR119" s="3648"/>
      <c r="AS119" s="3648"/>
      <c r="AT119" s="3648"/>
      <c r="AU119" s="3648"/>
      <c r="AV119" s="3649"/>
      <c r="AW119" s="3742" t="s">
        <v>1655</v>
      </c>
      <c r="AX119" s="3634"/>
      <c r="AY119" s="3634"/>
      <c r="AZ119" s="3634"/>
      <c r="BA119" s="3634"/>
      <c r="BB119" s="3634"/>
      <c r="BC119" s="3742" t="s">
        <v>1655</v>
      </c>
      <c r="BD119" s="3634"/>
      <c r="BE119" s="3634"/>
      <c r="BF119" s="3634"/>
      <c r="BG119" s="3634"/>
      <c r="BH119" s="3634"/>
      <c r="BI119" s="3742" t="s">
        <v>1655</v>
      </c>
      <c r="BJ119" s="3634"/>
      <c r="BK119" s="3634"/>
      <c r="BL119" s="3634"/>
      <c r="BM119" s="3634"/>
      <c r="BN119" s="3634"/>
      <c r="BO119" s="3742" t="s">
        <v>1655</v>
      </c>
      <c r="BP119" s="3634"/>
      <c r="BQ119" s="3634"/>
      <c r="BR119" s="3634"/>
      <c r="BS119" s="3634"/>
      <c r="BT119" s="3634"/>
    </row>
    <row r="120" spans="1:72" ht="16.5" outlineLevel="2">
      <c r="A120" s="3640" t="s">
        <v>451</v>
      </c>
      <c r="B120" s="3641"/>
      <c r="C120" s="3642"/>
      <c r="D120" s="3640" t="s">
        <v>449</v>
      </c>
      <c r="E120" s="3643"/>
      <c r="F120" s="3644"/>
      <c r="G120" s="3640" t="s">
        <v>344</v>
      </c>
      <c r="H120" s="3641"/>
      <c r="I120" s="3642"/>
      <c r="J120" s="3640" t="s">
        <v>452</v>
      </c>
      <c r="K120" s="3643"/>
      <c r="L120" s="3643"/>
      <c r="M120" s="3643"/>
      <c r="N120" s="3644"/>
      <c r="O120" s="3640" t="s">
        <v>317</v>
      </c>
      <c r="P120" s="3643"/>
      <c r="Q120" s="3644"/>
      <c r="R120" s="3640" t="s">
        <v>317</v>
      </c>
      <c r="S120" s="3641"/>
      <c r="T120" s="3642"/>
      <c r="U120" s="3640" t="s">
        <v>317</v>
      </c>
      <c r="V120" s="3643"/>
      <c r="W120" s="3643"/>
      <c r="X120" s="3643"/>
      <c r="Y120" s="3644"/>
      <c r="Z120" s="3640" t="s">
        <v>317</v>
      </c>
      <c r="AA120" s="3643"/>
      <c r="AB120" s="3644"/>
      <c r="AC120" s="3640" t="s">
        <v>317</v>
      </c>
      <c r="AD120" s="3641"/>
      <c r="AE120" s="3642"/>
      <c r="AF120" s="3640" t="s">
        <v>317</v>
      </c>
      <c r="AG120" s="3643"/>
      <c r="AH120" s="3643"/>
      <c r="AI120" s="3643"/>
      <c r="AJ120" s="3644"/>
      <c r="AL120" s="3750" t="s">
        <v>1678</v>
      </c>
      <c r="AM120" s="3512"/>
      <c r="AN120" s="3512"/>
      <c r="AO120" s="3512"/>
      <c r="AP120" s="3512"/>
      <c r="AQ120" s="3512"/>
      <c r="AR120" s="3512"/>
      <c r="AS120" s="3512"/>
      <c r="AT120" s="3512"/>
      <c r="AU120" s="3512"/>
      <c r="AV120" s="3512"/>
      <c r="AW120" s="3512"/>
      <c r="AX120" s="3512"/>
      <c r="AY120" s="3512"/>
      <c r="AZ120" s="3512"/>
      <c r="BA120" s="3512"/>
      <c r="BB120" s="3512"/>
      <c r="BC120" s="3512"/>
      <c r="BD120" s="3512"/>
      <c r="BE120" s="3512"/>
      <c r="BF120" s="3512"/>
      <c r="BG120" s="3512"/>
      <c r="BH120" s="3512"/>
      <c r="BI120" s="3512"/>
      <c r="BJ120" s="3512"/>
      <c r="BK120" s="3512"/>
      <c r="BL120" s="3512"/>
      <c r="BM120" s="3512"/>
      <c r="BN120" s="3512"/>
      <c r="BO120" s="3512"/>
      <c r="BP120" s="3512"/>
      <c r="BQ120" s="3512"/>
      <c r="BR120" s="3512"/>
      <c r="BS120" s="3512"/>
      <c r="BT120" s="3512"/>
    </row>
    <row r="121" spans="1:72" ht="15.75" outlineLevel="2">
      <c r="A121" s="3650" t="s">
        <v>330</v>
      </c>
      <c r="B121" s="3651"/>
      <c r="C121" s="3652"/>
      <c r="D121" s="3647" t="s">
        <v>453</v>
      </c>
      <c r="E121" s="3648"/>
      <c r="F121" s="3648"/>
      <c r="G121" s="3648"/>
      <c r="H121" s="3648"/>
      <c r="I121" s="3648"/>
      <c r="J121" s="3648"/>
      <c r="K121" s="3648"/>
      <c r="L121" s="3648"/>
      <c r="M121" s="3648"/>
      <c r="N121" s="3648"/>
      <c r="O121" s="3648"/>
      <c r="P121" s="3648"/>
      <c r="Q121" s="3648"/>
      <c r="R121" s="3648"/>
      <c r="S121" s="3649"/>
      <c r="T121" s="3647" t="s">
        <v>454</v>
      </c>
      <c r="U121" s="3648"/>
      <c r="V121" s="3648"/>
      <c r="W121" s="3648"/>
      <c r="X121" s="3648"/>
      <c r="Y121" s="3648"/>
      <c r="Z121" s="3648"/>
      <c r="AA121" s="3648"/>
      <c r="AB121" s="3648"/>
      <c r="AC121" s="3648"/>
      <c r="AD121" s="3648"/>
      <c r="AE121" s="3648"/>
      <c r="AF121" s="3648"/>
      <c r="AG121" s="3648"/>
      <c r="AH121" s="3648"/>
      <c r="AI121" s="3648"/>
      <c r="AJ121" s="3649"/>
      <c r="AL121" s="3751" t="s">
        <v>1664</v>
      </c>
      <c r="AM121" s="3752"/>
      <c r="AN121" s="3512" t="s">
        <v>1679</v>
      </c>
      <c r="AO121" s="3512"/>
      <c r="AP121" s="3512"/>
      <c r="AQ121" s="3512"/>
      <c r="AR121" s="3512"/>
      <c r="AS121" s="3512"/>
      <c r="AT121" s="3512"/>
      <c r="AU121" s="3512"/>
      <c r="AV121" s="3512"/>
      <c r="AW121" s="3512"/>
      <c r="AX121" s="3512"/>
      <c r="AY121" s="3512" t="s">
        <v>1680</v>
      </c>
      <c r="AZ121" s="3512"/>
      <c r="BA121" s="3512"/>
      <c r="BB121" s="3512"/>
      <c r="BC121" s="3512"/>
      <c r="BD121" s="3512"/>
      <c r="BE121" s="3512"/>
      <c r="BF121" s="3512"/>
      <c r="BG121" s="3512"/>
      <c r="BH121" s="3512"/>
      <c r="BI121" s="3512"/>
      <c r="BJ121" s="3512" t="s">
        <v>1681</v>
      </c>
      <c r="BK121" s="3512"/>
      <c r="BL121" s="3512"/>
      <c r="BM121" s="3512"/>
      <c r="BN121" s="3512"/>
      <c r="BO121" s="3512"/>
      <c r="BP121" s="3512"/>
      <c r="BQ121" s="3512"/>
      <c r="BR121" s="3512"/>
      <c r="BS121" s="3512"/>
      <c r="BT121" s="3512"/>
    </row>
    <row r="122" spans="1:72" ht="15.75" outlineLevel="2">
      <c r="A122" s="3653"/>
      <c r="B122" s="3654"/>
      <c r="C122" s="3655"/>
      <c r="D122" s="3647">
        <v>1</v>
      </c>
      <c r="E122" s="3648"/>
      <c r="F122" s="3648"/>
      <c r="G122" s="3648"/>
      <c r="H122" s="3649"/>
      <c r="I122" s="3647">
        <v>2</v>
      </c>
      <c r="J122" s="3648"/>
      <c r="K122" s="3648"/>
      <c r="L122" s="3648"/>
      <c r="M122" s="3648"/>
      <c r="N122" s="3649"/>
      <c r="O122" s="3656" t="s">
        <v>334</v>
      </c>
      <c r="P122" s="3648"/>
      <c r="Q122" s="3648"/>
      <c r="R122" s="3648"/>
      <c r="S122" s="3649"/>
      <c r="T122" s="3647">
        <v>1</v>
      </c>
      <c r="U122" s="3648"/>
      <c r="V122" s="3648"/>
      <c r="W122" s="3648"/>
      <c r="X122" s="3648"/>
      <c r="Y122" s="3649"/>
      <c r="Z122" s="3647">
        <v>2</v>
      </c>
      <c r="AA122" s="3648"/>
      <c r="AB122" s="3648"/>
      <c r="AC122" s="3648"/>
      <c r="AD122" s="3649"/>
      <c r="AE122" s="3656" t="s">
        <v>334</v>
      </c>
      <c r="AF122" s="3648"/>
      <c r="AG122" s="3648"/>
      <c r="AH122" s="3648"/>
      <c r="AI122" s="3648"/>
      <c r="AJ122" s="3649"/>
      <c r="AL122" s="3753"/>
      <c r="AM122" s="3754"/>
      <c r="AN122" s="3749" t="s">
        <v>1704</v>
      </c>
      <c r="AO122" s="3749"/>
      <c r="AP122" s="3749"/>
      <c r="AQ122" s="3749" t="s">
        <v>1705</v>
      </c>
      <c r="AR122" s="3749"/>
      <c r="AS122" s="3749"/>
      <c r="AT122" s="3749"/>
      <c r="AU122" s="3749" t="s">
        <v>1706</v>
      </c>
      <c r="AV122" s="3749"/>
      <c r="AW122" s="3749"/>
      <c r="AX122" s="3749"/>
      <c r="AY122" s="3749" t="s">
        <v>1704</v>
      </c>
      <c r="AZ122" s="3749"/>
      <c r="BA122" s="3749"/>
      <c r="BB122" s="3749" t="s">
        <v>1705</v>
      </c>
      <c r="BC122" s="3749"/>
      <c r="BD122" s="3749"/>
      <c r="BE122" s="3749"/>
      <c r="BF122" s="3749" t="s">
        <v>1706</v>
      </c>
      <c r="BG122" s="3749"/>
      <c r="BH122" s="3749"/>
      <c r="BI122" s="3749"/>
      <c r="BJ122" s="3749" t="s">
        <v>1704</v>
      </c>
      <c r="BK122" s="3749"/>
      <c r="BL122" s="3749"/>
      <c r="BM122" s="3749" t="s">
        <v>1705</v>
      </c>
      <c r="BN122" s="3749"/>
      <c r="BO122" s="3749"/>
      <c r="BP122" s="3749"/>
      <c r="BQ122" s="3749" t="s">
        <v>1707</v>
      </c>
      <c r="BR122" s="3749"/>
      <c r="BS122" s="3749"/>
      <c r="BT122" s="3749"/>
    </row>
    <row r="123" spans="1:72" ht="18.75" outlineLevel="2">
      <c r="A123" s="3657" t="s">
        <v>308</v>
      </c>
      <c r="B123" s="3641"/>
      <c r="C123" s="3642"/>
      <c r="D123" s="3647" t="s">
        <v>317</v>
      </c>
      <c r="E123" s="3648"/>
      <c r="F123" s="3648"/>
      <c r="G123" s="3648"/>
      <c r="H123" s="3649"/>
      <c r="I123" s="3647" t="s">
        <v>317</v>
      </c>
      <c r="J123" s="3648"/>
      <c r="K123" s="3648"/>
      <c r="L123" s="3648"/>
      <c r="M123" s="3648"/>
      <c r="N123" s="3649"/>
      <c r="O123" s="3647" t="s">
        <v>317</v>
      </c>
      <c r="P123" s="3648"/>
      <c r="Q123" s="3648"/>
      <c r="R123" s="3648"/>
      <c r="S123" s="3649"/>
      <c r="T123" s="3647" t="s">
        <v>317</v>
      </c>
      <c r="U123" s="3648"/>
      <c r="V123" s="3648"/>
      <c r="W123" s="3648"/>
      <c r="X123" s="3648"/>
      <c r="Y123" s="3649"/>
      <c r="Z123" s="3647" t="s">
        <v>317</v>
      </c>
      <c r="AA123" s="3648"/>
      <c r="AB123" s="3648"/>
      <c r="AC123" s="3648"/>
      <c r="AD123" s="3649"/>
      <c r="AE123" s="3647" t="s">
        <v>317</v>
      </c>
      <c r="AF123" s="3648"/>
      <c r="AG123" s="3648"/>
      <c r="AH123" s="3648"/>
      <c r="AI123" s="3648"/>
      <c r="AJ123" s="3649"/>
      <c r="AL123" s="3748" t="s">
        <v>1668</v>
      </c>
      <c r="AM123" s="3634"/>
      <c r="AN123" s="3742" t="s">
        <v>1702</v>
      </c>
      <c r="AO123" s="3634"/>
      <c r="AP123" s="3634"/>
      <c r="AQ123" s="3742" t="s">
        <v>1702</v>
      </c>
      <c r="AR123" s="3634"/>
      <c r="AS123" s="3634"/>
      <c r="AT123" s="3634"/>
      <c r="AU123" s="3742" t="s">
        <v>1655</v>
      </c>
      <c r="AV123" s="3634"/>
      <c r="AW123" s="3634"/>
      <c r="AX123" s="3634"/>
      <c r="AY123" s="3742" t="s">
        <v>1702</v>
      </c>
      <c r="AZ123" s="3634"/>
      <c r="BA123" s="3634"/>
      <c r="BB123" s="3742" t="s">
        <v>1702</v>
      </c>
      <c r="BC123" s="3634"/>
      <c r="BD123" s="3634"/>
      <c r="BE123" s="3634"/>
      <c r="BF123" s="3742" t="s">
        <v>1655</v>
      </c>
      <c r="BG123" s="3634"/>
      <c r="BH123" s="3634"/>
      <c r="BI123" s="3634"/>
      <c r="BJ123" s="3742" t="s">
        <v>1702</v>
      </c>
      <c r="BK123" s="3634"/>
      <c r="BL123" s="3634"/>
      <c r="BM123" s="3742" t="s">
        <v>1702</v>
      </c>
      <c r="BN123" s="3634"/>
      <c r="BO123" s="3634"/>
      <c r="BP123" s="3634"/>
      <c r="BQ123" s="3742" t="s">
        <v>1655</v>
      </c>
      <c r="BR123" s="3634"/>
      <c r="BS123" s="3634"/>
      <c r="BT123" s="3634"/>
    </row>
    <row r="124" spans="1:72" ht="18.75" outlineLevel="2">
      <c r="A124" s="3645" t="s">
        <v>329</v>
      </c>
      <c r="B124" s="3641"/>
      <c r="C124" s="3641"/>
      <c r="D124" s="3641"/>
      <c r="E124" s="3641"/>
      <c r="F124" s="3641"/>
      <c r="G124" s="3641"/>
      <c r="H124" s="3641"/>
      <c r="I124" s="3641"/>
      <c r="J124" s="3641"/>
      <c r="K124" s="3641"/>
      <c r="L124" s="3641"/>
      <c r="M124" s="3641"/>
      <c r="N124" s="3641"/>
      <c r="O124" s="3641"/>
      <c r="P124" s="3641"/>
      <c r="Q124" s="3641"/>
      <c r="R124" s="3641"/>
      <c r="S124" s="3641"/>
      <c r="T124" s="3641"/>
      <c r="U124" s="3641"/>
      <c r="V124" s="3641"/>
      <c r="W124" s="3641"/>
      <c r="X124" s="3641"/>
      <c r="Y124" s="3641"/>
      <c r="Z124" s="3641"/>
      <c r="AA124" s="3641"/>
      <c r="AB124" s="3641"/>
      <c r="AC124" s="3641"/>
      <c r="AD124" s="3641"/>
      <c r="AE124" s="3641"/>
      <c r="AF124" s="3641"/>
      <c r="AG124" s="3641"/>
      <c r="AH124" s="3641"/>
      <c r="AI124" s="3641"/>
      <c r="AJ124" s="3642"/>
      <c r="AL124" s="3748" t="s">
        <v>1672</v>
      </c>
      <c r="AM124" s="3634"/>
      <c r="AN124" s="3742" t="s">
        <v>1702</v>
      </c>
      <c r="AO124" s="3634"/>
      <c r="AP124" s="3634"/>
      <c r="AQ124" s="3742" t="s">
        <v>1702</v>
      </c>
      <c r="AR124" s="3634"/>
      <c r="AS124" s="3634"/>
      <c r="AT124" s="3634"/>
      <c r="AU124" s="3742" t="s">
        <v>1655</v>
      </c>
      <c r="AV124" s="3634"/>
      <c r="AW124" s="3634"/>
      <c r="AX124" s="3634"/>
      <c r="AY124" s="3742" t="s">
        <v>1702</v>
      </c>
      <c r="AZ124" s="3634"/>
      <c r="BA124" s="3634"/>
      <c r="BB124" s="3742" t="s">
        <v>1702</v>
      </c>
      <c r="BC124" s="3634"/>
      <c r="BD124" s="3634"/>
      <c r="BE124" s="3634"/>
      <c r="BF124" s="3742" t="s">
        <v>1655</v>
      </c>
      <c r="BG124" s="3634"/>
      <c r="BH124" s="3634"/>
      <c r="BI124" s="3634"/>
      <c r="BJ124" s="3742" t="s">
        <v>1702</v>
      </c>
      <c r="BK124" s="3634"/>
      <c r="BL124" s="3634"/>
      <c r="BM124" s="3742" t="s">
        <v>1702</v>
      </c>
      <c r="BN124" s="3634"/>
      <c r="BO124" s="3634"/>
      <c r="BP124" s="3634"/>
      <c r="BQ124" s="3742" t="s">
        <v>1655</v>
      </c>
      <c r="BR124" s="3634"/>
      <c r="BS124" s="3634"/>
      <c r="BT124" s="3634"/>
    </row>
    <row r="125" spans="1:72" ht="18.75" outlineLevel="2">
      <c r="A125" s="3650" t="s">
        <v>330</v>
      </c>
      <c r="B125" s="3651"/>
      <c r="C125" s="3652"/>
      <c r="D125" s="3640" t="s">
        <v>331</v>
      </c>
      <c r="E125" s="3641"/>
      <c r="F125" s="3641"/>
      <c r="G125" s="3641"/>
      <c r="H125" s="3641"/>
      <c r="I125" s="3641"/>
      <c r="J125" s="3641"/>
      <c r="K125" s="3641"/>
      <c r="L125" s="3641"/>
      <c r="M125" s="3641"/>
      <c r="N125" s="3642"/>
      <c r="O125" s="3640" t="s">
        <v>332</v>
      </c>
      <c r="P125" s="3641"/>
      <c r="Q125" s="3641"/>
      <c r="R125" s="3641"/>
      <c r="S125" s="3641"/>
      <c r="T125" s="3641"/>
      <c r="U125" s="3641"/>
      <c r="V125" s="3641"/>
      <c r="W125" s="3641"/>
      <c r="X125" s="3641"/>
      <c r="Y125" s="3642"/>
      <c r="Z125" s="3640" t="s">
        <v>333</v>
      </c>
      <c r="AA125" s="3641"/>
      <c r="AB125" s="3641"/>
      <c r="AC125" s="3641"/>
      <c r="AD125" s="3641"/>
      <c r="AE125" s="3641"/>
      <c r="AF125" s="3641"/>
      <c r="AG125" s="3641"/>
      <c r="AH125" s="3641"/>
      <c r="AI125" s="3641"/>
      <c r="AJ125" s="3642"/>
      <c r="AL125" s="3634" t="s">
        <v>1673</v>
      </c>
      <c r="AM125" s="3634"/>
      <c r="AN125" s="3742" t="s">
        <v>1655</v>
      </c>
      <c r="AO125" s="3634"/>
      <c r="AP125" s="3634"/>
      <c r="AQ125" s="3742" t="s">
        <v>1702</v>
      </c>
      <c r="AR125" s="3634"/>
      <c r="AS125" s="3634"/>
      <c r="AT125" s="3634"/>
      <c r="AU125" s="3742" t="s">
        <v>1655</v>
      </c>
      <c r="AV125" s="3634"/>
      <c r="AW125" s="3634"/>
      <c r="AX125" s="3634"/>
      <c r="AY125" s="3742" t="s">
        <v>1655</v>
      </c>
      <c r="AZ125" s="3634"/>
      <c r="BA125" s="3634"/>
      <c r="BB125" s="3742" t="s">
        <v>1702</v>
      </c>
      <c r="BC125" s="3634"/>
      <c r="BD125" s="3634"/>
      <c r="BE125" s="3634"/>
      <c r="BF125" s="3742" t="s">
        <v>1655</v>
      </c>
      <c r="BG125" s="3634"/>
      <c r="BH125" s="3634"/>
      <c r="BI125" s="3634"/>
      <c r="BJ125" s="3742" t="s">
        <v>1655</v>
      </c>
      <c r="BK125" s="3634"/>
      <c r="BL125" s="3634"/>
      <c r="BM125" s="3742" t="s">
        <v>1702</v>
      </c>
      <c r="BN125" s="3634"/>
      <c r="BO125" s="3634"/>
      <c r="BP125" s="3634"/>
      <c r="BQ125" s="3742" t="s">
        <v>1655</v>
      </c>
      <c r="BR125" s="3634"/>
      <c r="BS125" s="3634"/>
      <c r="BT125" s="3634"/>
    </row>
    <row r="126" spans="1:72" ht="18.75" outlineLevel="2">
      <c r="A126" s="3653"/>
      <c r="B126" s="3654"/>
      <c r="C126" s="3655"/>
      <c r="D126" s="3646">
        <v>1</v>
      </c>
      <c r="E126" s="3643"/>
      <c r="F126" s="3644"/>
      <c r="G126" s="3640">
        <v>2</v>
      </c>
      <c r="H126" s="3641"/>
      <c r="I126" s="3642"/>
      <c r="J126" s="3645" t="s">
        <v>334</v>
      </c>
      <c r="K126" s="3641"/>
      <c r="L126" s="3641"/>
      <c r="M126" s="3641"/>
      <c r="N126" s="3642"/>
      <c r="O126" s="3646">
        <v>1</v>
      </c>
      <c r="P126" s="3643"/>
      <c r="Q126" s="3644"/>
      <c r="R126" s="3640">
        <v>2</v>
      </c>
      <c r="S126" s="3641"/>
      <c r="T126" s="3642"/>
      <c r="U126" s="3645" t="s">
        <v>334</v>
      </c>
      <c r="V126" s="3641"/>
      <c r="W126" s="3641"/>
      <c r="X126" s="3641"/>
      <c r="Y126" s="3642"/>
      <c r="Z126" s="3646">
        <v>1</v>
      </c>
      <c r="AA126" s="3643"/>
      <c r="AB126" s="3644"/>
      <c r="AC126" s="3640">
        <v>2</v>
      </c>
      <c r="AD126" s="3641"/>
      <c r="AE126" s="3642"/>
      <c r="AF126" s="3645" t="s">
        <v>334</v>
      </c>
      <c r="AG126" s="3641"/>
      <c r="AH126" s="3641"/>
      <c r="AI126" s="3641"/>
      <c r="AJ126" s="3642"/>
      <c r="AL126" s="3634" t="s">
        <v>1674</v>
      </c>
      <c r="AM126" s="3634"/>
      <c r="AN126" s="3742" t="s">
        <v>1702</v>
      </c>
      <c r="AO126" s="3634"/>
      <c r="AP126" s="3634"/>
      <c r="AQ126" s="3742" t="s">
        <v>1655</v>
      </c>
      <c r="AR126" s="3634"/>
      <c r="AS126" s="3634"/>
      <c r="AT126" s="3634"/>
      <c r="AU126" s="3742" t="s">
        <v>1655</v>
      </c>
      <c r="AV126" s="3634"/>
      <c r="AW126" s="3634"/>
      <c r="AX126" s="3634"/>
      <c r="AY126" s="3742" t="s">
        <v>1702</v>
      </c>
      <c r="AZ126" s="3634"/>
      <c r="BA126" s="3634"/>
      <c r="BB126" s="3742" t="s">
        <v>1655</v>
      </c>
      <c r="BC126" s="3634"/>
      <c r="BD126" s="3634"/>
      <c r="BE126" s="3634"/>
      <c r="BF126" s="3742" t="s">
        <v>1655</v>
      </c>
      <c r="BG126" s="3634"/>
      <c r="BH126" s="3634"/>
      <c r="BI126" s="3634"/>
      <c r="BJ126" s="3742" t="s">
        <v>1702</v>
      </c>
      <c r="BK126" s="3634"/>
      <c r="BL126" s="3634"/>
      <c r="BM126" s="3742" t="s">
        <v>1655</v>
      </c>
      <c r="BN126" s="3634"/>
      <c r="BO126" s="3634"/>
      <c r="BP126" s="3634"/>
      <c r="BQ126" s="3742" t="s">
        <v>1655</v>
      </c>
      <c r="BR126" s="3634"/>
      <c r="BS126" s="3634"/>
      <c r="BT126" s="3634"/>
    </row>
    <row r="127" spans="1:72" ht="18.75" outlineLevel="2">
      <c r="A127" s="3640" t="s">
        <v>455</v>
      </c>
      <c r="B127" s="3641"/>
      <c r="C127" s="3641"/>
      <c r="D127" s="3641"/>
      <c r="E127" s="3641"/>
      <c r="F127" s="3641"/>
      <c r="G127" s="3641"/>
      <c r="H127" s="3641"/>
      <c r="I127" s="3641"/>
      <c r="J127" s="3641"/>
      <c r="K127" s="3641"/>
      <c r="L127" s="3641"/>
      <c r="M127" s="3641"/>
      <c r="N127" s="3641"/>
      <c r="O127" s="3641"/>
      <c r="P127" s="3641"/>
      <c r="Q127" s="3641"/>
      <c r="R127" s="3641"/>
      <c r="S127" s="3641"/>
      <c r="T127" s="3641"/>
      <c r="U127" s="3641"/>
      <c r="V127" s="3641"/>
      <c r="W127" s="3641"/>
      <c r="X127" s="3641"/>
      <c r="Y127" s="3641"/>
      <c r="Z127" s="3641"/>
      <c r="AA127" s="3641"/>
      <c r="AB127" s="3641"/>
      <c r="AC127" s="3641"/>
      <c r="AD127" s="3641"/>
      <c r="AE127" s="3641"/>
      <c r="AF127" s="3641"/>
      <c r="AG127" s="3641"/>
      <c r="AH127" s="3641"/>
      <c r="AI127" s="3641"/>
      <c r="AJ127" s="3642"/>
      <c r="AL127" s="3746" t="s">
        <v>1709</v>
      </c>
      <c r="AM127" s="3747"/>
      <c r="AN127" s="3747"/>
      <c r="AO127" s="3747"/>
      <c r="AP127" s="3747"/>
      <c r="AQ127" s="3747"/>
      <c r="AR127" s="3747"/>
      <c r="AS127" s="3747"/>
      <c r="AT127" s="3747"/>
      <c r="AU127" s="3747"/>
      <c r="AV127" s="3747"/>
      <c r="AW127" s="3747"/>
      <c r="AX127" s="3747"/>
      <c r="AY127" s="3747"/>
      <c r="AZ127" s="3747"/>
      <c r="BA127" s="3747"/>
      <c r="BB127" s="3747"/>
      <c r="BC127" s="3747"/>
      <c r="BD127" s="3747"/>
      <c r="BE127" s="3747"/>
      <c r="BF127" s="3747"/>
      <c r="BG127" s="3747"/>
      <c r="BH127" s="3747"/>
      <c r="BI127" s="3747"/>
      <c r="BJ127" s="3747"/>
      <c r="BK127" s="3747"/>
      <c r="BL127" s="3747"/>
      <c r="BM127" s="3747"/>
      <c r="BN127" s="3747"/>
      <c r="BO127" s="3747"/>
      <c r="BP127" s="3747"/>
      <c r="BQ127" s="3747"/>
      <c r="BR127" s="3747"/>
      <c r="BS127" s="3747"/>
      <c r="BT127" s="3747"/>
    </row>
    <row r="128" spans="1:72" ht="16.5" outlineLevel="2">
      <c r="A128" s="3639" t="s">
        <v>336</v>
      </c>
      <c r="B128" s="3636"/>
      <c r="C128" s="3636"/>
      <c r="D128" s="3640" t="s">
        <v>456</v>
      </c>
      <c r="E128" s="3643"/>
      <c r="F128" s="3644"/>
      <c r="G128" s="3640" t="s">
        <v>457</v>
      </c>
      <c r="H128" s="3641"/>
      <c r="I128" s="3642"/>
      <c r="J128" s="3640" t="s">
        <v>458</v>
      </c>
      <c r="K128" s="3643"/>
      <c r="L128" s="3643"/>
      <c r="M128" s="3643"/>
      <c r="N128" s="3644"/>
      <c r="O128" s="3640" t="s">
        <v>456</v>
      </c>
      <c r="P128" s="3641"/>
      <c r="Q128" s="3642"/>
      <c r="R128" s="3640" t="s">
        <v>459</v>
      </c>
      <c r="S128" s="3641"/>
      <c r="T128" s="3642"/>
      <c r="U128" s="3640" t="s">
        <v>460</v>
      </c>
      <c r="V128" s="3641"/>
      <c r="W128" s="3641"/>
      <c r="X128" s="3641"/>
      <c r="Y128" s="3642"/>
      <c r="Z128" s="3640" t="s">
        <v>461</v>
      </c>
      <c r="AA128" s="3643"/>
      <c r="AB128" s="3644"/>
      <c r="AC128" s="3640" t="s">
        <v>459</v>
      </c>
      <c r="AD128" s="3641"/>
      <c r="AE128" s="3642"/>
      <c r="AF128" s="3640" t="s">
        <v>462</v>
      </c>
      <c r="AG128" s="3643"/>
      <c r="AH128" s="3643"/>
      <c r="AI128" s="3643"/>
      <c r="AJ128" s="3644"/>
      <c r="AL128" s="3512" t="s">
        <v>1679</v>
      </c>
      <c r="AM128" s="3512"/>
      <c r="AN128" s="3512"/>
      <c r="AO128" s="3512"/>
      <c r="AP128" s="3512"/>
      <c r="AQ128" s="3724" t="s">
        <v>1702</v>
      </c>
      <c r="AR128" s="3648"/>
      <c r="AS128" s="3648"/>
      <c r="AT128" s="3648"/>
      <c r="AU128" s="3648"/>
      <c r="AV128" s="3649"/>
      <c r="AW128" s="3512" t="s">
        <v>1680</v>
      </c>
      <c r="AX128" s="3512"/>
      <c r="AY128" s="3512"/>
      <c r="AZ128" s="3512"/>
      <c r="BA128" s="3512"/>
      <c r="BB128" s="3512"/>
      <c r="BC128" s="3724" t="s">
        <v>1702</v>
      </c>
      <c r="BD128" s="3648"/>
      <c r="BE128" s="3648"/>
      <c r="BF128" s="3648"/>
      <c r="BG128" s="3648"/>
      <c r="BH128" s="3649"/>
      <c r="BI128" s="3512" t="s">
        <v>1681</v>
      </c>
      <c r="BJ128" s="3512"/>
      <c r="BK128" s="3512"/>
      <c r="BL128" s="3512"/>
      <c r="BM128" s="3512"/>
      <c r="BN128" s="3512"/>
      <c r="BO128" s="3724" t="s">
        <v>1702</v>
      </c>
      <c r="BP128" s="3648"/>
      <c r="BQ128" s="3648"/>
      <c r="BR128" s="3648"/>
      <c r="BS128" s="3648"/>
      <c r="BT128" s="3649"/>
    </row>
    <row r="129" spans="1:43" ht="16.5" outlineLevel="2">
      <c r="A129" s="3639" t="s">
        <v>308</v>
      </c>
      <c r="B129" s="3636"/>
      <c r="C129" s="3636"/>
      <c r="D129" s="3640" t="s">
        <v>342</v>
      </c>
      <c r="E129" s="3643"/>
      <c r="F129" s="3644"/>
      <c r="G129" s="3640" t="s">
        <v>449</v>
      </c>
      <c r="H129" s="3641"/>
      <c r="I129" s="3642"/>
      <c r="J129" s="3640" t="s">
        <v>463</v>
      </c>
      <c r="K129" s="3643"/>
      <c r="L129" s="3643"/>
      <c r="M129" s="3643"/>
      <c r="N129" s="3644"/>
      <c r="O129" s="3640" t="s">
        <v>321</v>
      </c>
      <c r="P129" s="3641"/>
      <c r="Q129" s="3642"/>
      <c r="R129" s="3640" t="s">
        <v>342</v>
      </c>
      <c r="S129" s="3641"/>
      <c r="T129" s="3642"/>
      <c r="U129" s="3640" t="s">
        <v>464</v>
      </c>
      <c r="V129" s="3641"/>
      <c r="W129" s="3641"/>
      <c r="X129" s="3641"/>
      <c r="Y129" s="3642"/>
      <c r="Z129" s="3640" t="s">
        <v>322</v>
      </c>
      <c r="AA129" s="3643"/>
      <c r="AB129" s="3644"/>
      <c r="AC129" s="3640" t="s">
        <v>465</v>
      </c>
      <c r="AD129" s="3641"/>
      <c r="AE129" s="3642"/>
      <c r="AF129" s="3640" t="s">
        <v>342</v>
      </c>
      <c r="AG129" s="3643"/>
      <c r="AH129" s="3643"/>
      <c r="AI129" s="3643"/>
      <c r="AJ129" s="3644"/>
    </row>
    <row r="130" spans="1:43" ht="16.5" outlineLevel="2">
      <c r="A130" s="3636" t="s">
        <v>323</v>
      </c>
      <c r="B130" s="3636"/>
      <c r="C130" s="3636"/>
      <c r="D130" s="3640" t="s">
        <v>319</v>
      </c>
      <c r="E130" s="3643"/>
      <c r="F130" s="3644"/>
      <c r="G130" s="3640" t="s">
        <v>319</v>
      </c>
      <c r="H130" s="3641"/>
      <c r="I130" s="3642"/>
      <c r="J130" s="3640" t="s">
        <v>319</v>
      </c>
      <c r="K130" s="3643"/>
      <c r="L130" s="3643"/>
      <c r="M130" s="3643"/>
      <c r="N130" s="3644"/>
      <c r="O130" s="3640" t="s">
        <v>449</v>
      </c>
      <c r="P130" s="3641"/>
      <c r="Q130" s="3642"/>
      <c r="R130" s="3640" t="s">
        <v>319</v>
      </c>
      <c r="S130" s="3641"/>
      <c r="T130" s="3642"/>
      <c r="U130" s="3640" t="s">
        <v>450</v>
      </c>
      <c r="V130" s="3641"/>
      <c r="W130" s="3641"/>
      <c r="X130" s="3641"/>
      <c r="Y130" s="3642"/>
      <c r="Z130" s="3640" t="s">
        <v>449</v>
      </c>
      <c r="AA130" s="3643"/>
      <c r="AB130" s="3644"/>
      <c r="AC130" s="3640" t="s">
        <v>319</v>
      </c>
      <c r="AD130" s="3641"/>
      <c r="AE130" s="3642"/>
      <c r="AF130" s="3640" t="s">
        <v>450</v>
      </c>
      <c r="AG130" s="3643"/>
      <c r="AH130" s="3643"/>
      <c r="AI130" s="3643"/>
      <c r="AJ130" s="3644"/>
    </row>
    <row r="131" spans="1:43" ht="15" outlineLevel="2">
      <c r="A131" s="3640" t="s">
        <v>466</v>
      </c>
      <c r="B131" s="3641"/>
      <c r="C131" s="3641"/>
      <c r="D131" s="3641"/>
      <c r="E131" s="3641"/>
      <c r="F131" s="3641"/>
      <c r="G131" s="3641"/>
      <c r="H131" s="3641"/>
      <c r="I131" s="3641"/>
      <c r="J131" s="3641"/>
      <c r="K131" s="3641"/>
      <c r="L131" s="3641"/>
      <c r="M131" s="3641"/>
      <c r="N131" s="3641"/>
      <c r="O131" s="3641"/>
      <c r="P131" s="3641"/>
      <c r="Q131" s="3641"/>
      <c r="R131" s="3641"/>
      <c r="S131" s="3641"/>
      <c r="T131" s="3641"/>
      <c r="U131" s="3641"/>
      <c r="V131" s="3641"/>
      <c r="W131" s="3641"/>
      <c r="X131" s="3641"/>
      <c r="Y131" s="3641"/>
      <c r="Z131" s="3641"/>
      <c r="AA131" s="3641"/>
      <c r="AB131" s="3641"/>
      <c r="AC131" s="3641"/>
      <c r="AD131" s="3641"/>
      <c r="AE131" s="3641"/>
      <c r="AF131" s="3641"/>
      <c r="AG131" s="3641"/>
      <c r="AH131" s="3641"/>
      <c r="AI131" s="3641"/>
      <c r="AJ131" s="3642"/>
    </row>
    <row r="132" spans="1:43" ht="16.5" outlineLevel="2">
      <c r="A132" s="3639" t="s">
        <v>336</v>
      </c>
      <c r="B132" s="3636"/>
      <c r="C132" s="3636"/>
      <c r="D132" s="3640" t="s">
        <v>467</v>
      </c>
      <c r="E132" s="3643"/>
      <c r="F132" s="3644"/>
      <c r="G132" s="3640" t="s">
        <v>319</v>
      </c>
      <c r="H132" s="3641"/>
      <c r="I132" s="3642"/>
      <c r="J132" s="3640" t="s">
        <v>468</v>
      </c>
      <c r="K132" s="3643"/>
      <c r="L132" s="3643"/>
      <c r="M132" s="3643"/>
      <c r="N132" s="3644"/>
      <c r="O132" s="3640" t="s">
        <v>469</v>
      </c>
      <c r="P132" s="3641"/>
      <c r="Q132" s="3642"/>
      <c r="R132" s="3640" t="s">
        <v>467</v>
      </c>
      <c r="S132" s="3641"/>
      <c r="T132" s="3642"/>
      <c r="U132" s="3640" t="s">
        <v>470</v>
      </c>
      <c r="V132" s="3641"/>
      <c r="W132" s="3641"/>
      <c r="X132" s="3641"/>
      <c r="Y132" s="3642"/>
      <c r="Z132" s="3640" t="s">
        <v>467</v>
      </c>
      <c r="AA132" s="3643"/>
      <c r="AB132" s="3644"/>
      <c r="AC132" s="3640" t="s">
        <v>347</v>
      </c>
      <c r="AD132" s="3641"/>
      <c r="AE132" s="3642"/>
      <c r="AF132" s="3640" t="s">
        <v>463</v>
      </c>
      <c r="AG132" s="3643"/>
      <c r="AH132" s="3643"/>
      <c r="AI132" s="3643"/>
      <c r="AJ132" s="3644"/>
    </row>
    <row r="133" spans="1:43" ht="16.5" outlineLevel="2">
      <c r="A133" s="3639" t="s">
        <v>308</v>
      </c>
      <c r="B133" s="3636"/>
      <c r="C133" s="3636"/>
      <c r="D133" s="3640" t="s">
        <v>321</v>
      </c>
      <c r="E133" s="3643"/>
      <c r="F133" s="3644"/>
      <c r="G133" s="3640" t="s">
        <v>319</v>
      </c>
      <c r="H133" s="3641"/>
      <c r="I133" s="3642"/>
      <c r="J133" s="3640" t="s">
        <v>322</v>
      </c>
      <c r="K133" s="3643"/>
      <c r="L133" s="3643"/>
      <c r="M133" s="3643"/>
      <c r="N133" s="3644"/>
      <c r="O133" s="3640" t="s">
        <v>467</v>
      </c>
      <c r="P133" s="3641"/>
      <c r="Q133" s="3642"/>
      <c r="R133" s="3640" t="s">
        <v>471</v>
      </c>
      <c r="S133" s="3641"/>
      <c r="T133" s="3642"/>
      <c r="U133" s="3640" t="s">
        <v>472</v>
      </c>
      <c r="V133" s="3641"/>
      <c r="W133" s="3641"/>
      <c r="X133" s="3641"/>
      <c r="Y133" s="3642"/>
      <c r="Z133" s="3640" t="s">
        <v>467</v>
      </c>
      <c r="AA133" s="3643"/>
      <c r="AB133" s="3644"/>
      <c r="AC133" s="3640" t="s">
        <v>473</v>
      </c>
      <c r="AD133" s="3641"/>
      <c r="AE133" s="3642"/>
      <c r="AF133" s="3640" t="s">
        <v>471</v>
      </c>
      <c r="AG133" s="3643"/>
      <c r="AH133" s="3643"/>
      <c r="AI133" s="3643"/>
      <c r="AJ133" s="3644"/>
    </row>
    <row r="134" spans="1:43" ht="16.5" outlineLevel="2">
      <c r="A134" s="3636" t="s">
        <v>316</v>
      </c>
      <c r="B134" s="3636"/>
      <c r="C134" s="3636"/>
      <c r="D134" s="3640" t="s">
        <v>319</v>
      </c>
      <c r="E134" s="3643"/>
      <c r="F134" s="3644"/>
      <c r="G134" s="3640" t="s">
        <v>319</v>
      </c>
      <c r="H134" s="3641"/>
      <c r="I134" s="3642"/>
      <c r="J134" s="3640" t="s">
        <v>319</v>
      </c>
      <c r="K134" s="3643"/>
      <c r="L134" s="3643"/>
      <c r="M134" s="3643"/>
      <c r="N134" s="3644"/>
      <c r="O134" s="3640" t="s">
        <v>449</v>
      </c>
      <c r="P134" s="3641"/>
      <c r="Q134" s="3642"/>
      <c r="R134" s="3640" t="s">
        <v>319</v>
      </c>
      <c r="S134" s="3641"/>
      <c r="T134" s="3642"/>
      <c r="U134" s="3640" t="s">
        <v>450</v>
      </c>
      <c r="V134" s="3641"/>
      <c r="W134" s="3641"/>
      <c r="X134" s="3641"/>
      <c r="Y134" s="3642"/>
      <c r="Z134" s="3640" t="s">
        <v>319</v>
      </c>
      <c r="AA134" s="3643"/>
      <c r="AB134" s="3644"/>
      <c r="AC134" s="3640" t="s">
        <v>449</v>
      </c>
      <c r="AD134" s="3641"/>
      <c r="AE134" s="3642"/>
      <c r="AF134" s="3640" t="s">
        <v>450</v>
      </c>
      <c r="AG134" s="3643"/>
      <c r="AH134" s="3643"/>
      <c r="AI134" s="3643"/>
      <c r="AJ134" s="3644"/>
    </row>
    <row r="135" spans="1:43" ht="15" outlineLevel="2">
      <c r="A135" s="3640" t="s">
        <v>474</v>
      </c>
      <c r="B135" s="3641"/>
      <c r="C135" s="3641"/>
      <c r="D135" s="3641"/>
      <c r="E135" s="3641"/>
      <c r="F135" s="3641"/>
      <c r="G135" s="3641"/>
      <c r="H135" s="3641"/>
      <c r="I135" s="3641"/>
      <c r="J135" s="3641"/>
      <c r="K135" s="3641"/>
      <c r="L135" s="3641"/>
      <c r="M135" s="3641"/>
      <c r="N135" s="3641"/>
      <c r="O135" s="3641"/>
      <c r="P135" s="3641"/>
      <c r="Q135" s="3641"/>
      <c r="R135" s="3641"/>
      <c r="S135" s="3641"/>
      <c r="T135" s="3641"/>
      <c r="U135" s="3641"/>
      <c r="V135" s="3641"/>
      <c r="W135" s="3641"/>
      <c r="X135" s="3641"/>
      <c r="Y135" s="3641"/>
      <c r="Z135" s="3641"/>
      <c r="AA135" s="3641"/>
      <c r="AB135" s="3641"/>
      <c r="AC135" s="3641"/>
      <c r="AD135" s="3641"/>
      <c r="AE135" s="3641"/>
      <c r="AF135" s="3641"/>
      <c r="AG135" s="3641"/>
      <c r="AH135" s="3641"/>
      <c r="AI135" s="3641"/>
      <c r="AJ135" s="3642"/>
    </row>
    <row r="136" spans="1:43" ht="16.5" outlineLevel="2">
      <c r="A136" s="3639" t="s">
        <v>336</v>
      </c>
      <c r="B136" s="3636"/>
      <c r="C136" s="3636"/>
      <c r="D136" s="3636" t="s">
        <v>317</v>
      </c>
      <c r="E136" s="3636"/>
      <c r="F136" s="3636"/>
      <c r="G136" s="3636" t="s">
        <v>317</v>
      </c>
      <c r="H136" s="3636"/>
      <c r="I136" s="3636"/>
      <c r="J136" s="3636" t="s">
        <v>317</v>
      </c>
      <c r="K136" s="3636"/>
      <c r="L136" s="3636"/>
      <c r="M136" s="3636"/>
      <c r="N136" s="3636"/>
      <c r="O136" s="3636" t="s">
        <v>317</v>
      </c>
      <c r="P136" s="3636"/>
      <c r="Q136" s="3636"/>
      <c r="R136" s="3636" t="s">
        <v>317</v>
      </c>
      <c r="S136" s="3636"/>
      <c r="T136" s="3636"/>
      <c r="U136" s="3636" t="s">
        <v>317</v>
      </c>
      <c r="V136" s="3636"/>
      <c r="W136" s="3636"/>
      <c r="X136" s="3636"/>
      <c r="Y136" s="3636"/>
      <c r="Z136" s="3636" t="s">
        <v>317</v>
      </c>
      <c r="AA136" s="3636"/>
      <c r="AB136" s="3636"/>
      <c r="AC136" s="3636" t="s">
        <v>317</v>
      </c>
      <c r="AD136" s="3636"/>
      <c r="AE136" s="3636"/>
      <c r="AF136" s="3636" t="s">
        <v>317</v>
      </c>
      <c r="AG136" s="3636"/>
      <c r="AH136" s="3636"/>
      <c r="AI136" s="3636"/>
      <c r="AJ136" s="3636"/>
    </row>
    <row r="137" spans="1:43" ht="16.5" outlineLevel="2">
      <c r="A137" s="3639" t="s">
        <v>308</v>
      </c>
      <c r="B137" s="3636"/>
      <c r="C137" s="3636"/>
      <c r="D137" s="3636" t="s">
        <v>317</v>
      </c>
      <c r="E137" s="3636"/>
      <c r="F137" s="3636"/>
      <c r="G137" s="3636" t="s">
        <v>317</v>
      </c>
      <c r="H137" s="3636"/>
      <c r="I137" s="3636"/>
      <c r="J137" s="3636" t="s">
        <v>317</v>
      </c>
      <c r="K137" s="3636"/>
      <c r="L137" s="3636"/>
      <c r="M137" s="3636"/>
      <c r="N137" s="3636"/>
      <c r="O137" s="3636" t="s">
        <v>317</v>
      </c>
      <c r="P137" s="3636"/>
      <c r="Q137" s="3636"/>
      <c r="R137" s="3636" t="s">
        <v>317</v>
      </c>
      <c r="S137" s="3636"/>
      <c r="T137" s="3636"/>
      <c r="U137" s="3636" t="s">
        <v>317</v>
      </c>
      <c r="V137" s="3636"/>
      <c r="W137" s="3636"/>
      <c r="X137" s="3636"/>
      <c r="Y137" s="3636"/>
      <c r="Z137" s="3636" t="s">
        <v>317</v>
      </c>
      <c r="AA137" s="3636"/>
      <c r="AB137" s="3636"/>
      <c r="AC137" s="3636" t="s">
        <v>317</v>
      </c>
      <c r="AD137" s="3636"/>
      <c r="AE137" s="3636"/>
      <c r="AF137" s="3636" t="s">
        <v>317</v>
      </c>
      <c r="AG137" s="3636"/>
      <c r="AH137" s="3636"/>
      <c r="AI137" s="3636"/>
      <c r="AJ137" s="3636"/>
    </row>
    <row r="138" spans="1:43" ht="16.5" outlineLevel="2">
      <c r="A138" s="3636" t="s">
        <v>316</v>
      </c>
      <c r="B138" s="3636"/>
      <c r="C138" s="3636"/>
      <c r="D138" s="3636" t="s">
        <v>317</v>
      </c>
      <c r="E138" s="3636"/>
      <c r="F138" s="3636"/>
      <c r="G138" s="3636" t="s">
        <v>317</v>
      </c>
      <c r="H138" s="3636"/>
      <c r="I138" s="3636"/>
      <c r="J138" s="3636" t="s">
        <v>317</v>
      </c>
      <c r="K138" s="3636"/>
      <c r="L138" s="3636"/>
      <c r="M138" s="3636"/>
      <c r="N138" s="3636"/>
      <c r="O138" s="3636" t="s">
        <v>317</v>
      </c>
      <c r="P138" s="3636"/>
      <c r="Q138" s="3636"/>
      <c r="R138" s="3636" t="s">
        <v>317</v>
      </c>
      <c r="S138" s="3636"/>
      <c r="T138" s="3636"/>
      <c r="U138" s="3636" t="s">
        <v>317</v>
      </c>
      <c r="V138" s="3636"/>
      <c r="W138" s="3636"/>
      <c r="X138" s="3636"/>
      <c r="Y138" s="3636"/>
      <c r="Z138" s="3636" t="s">
        <v>317</v>
      </c>
      <c r="AA138" s="3636"/>
      <c r="AB138" s="3636"/>
      <c r="AC138" s="3636" t="s">
        <v>317</v>
      </c>
      <c r="AD138" s="3636"/>
      <c r="AE138" s="3636"/>
      <c r="AF138" s="3636" t="s">
        <v>317</v>
      </c>
      <c r="AG138" s="3636"/>
      <c r="AH138" s="3636"/>
      <c r="AI138" s="3636"/>
      <c r="AJ138" s="3636"/>
    </row>
    <row r="139" spans="1:43" ht="16.5" outlineLevel="2">
      <c r="A139" s="3637" t="s">
        <v>425</v>
      </c>
      <c r="B139" s="3638"/>
      <c r="C139" s="3638"/>
      <c r="D139" s="3638"/>
      <c r="E139" s="3638"/>
      <c r="F139" s="3638"/>
      <c r="G139" s="3638"/>
      <c r="H139" s="3638"/>
      <c r="I139" s="3638"/>
      <c r="J139" s="3638"/>
      <c r="K139" s="3638"/>
      <c r="L139" s="3638"/>
      <c r="M139" s="3638"/>
      <c r="N139" s="3638"/>
      <c r="O139" s="3638"/>
      <c r="P139" s="3638"/>
      <c r="Q139" s="3638"/>
      <c r="R139" s="3638"/>
      <c r="S139" s="3638"/>
      <c r="T139" s="3638"/>
      <c r="U139" s="3638"/>
      <c r="V139" s="3638"/>
      <c r="W139" s="3638"/>
      <c r="X139" s="3638"/>
      <c r="Y139" s="3638"/>
      <c r="Z139" s="3638"/>
      <c r="AA139" s="3638"/>
      <c r="AB139" s="3638"/>
      <c r="AC139" s="3638"/>
      <c r="AD139" s="3638"/>
      <c r="AE139" s="3638"/>
      <c r="AF139" s="3638"/>
      <c r="AG139" s="3638"/>
      <c r="AH139" s="3638"/>
      <c r="AI139" s="3638"/>
      <c r="AJ139" s="3638"/>
    </row>
    <row r="140" spans="1:43" ht="15" outlineLevel="2">
      <c r="A140" s="3636" t="s">
        <v>331</v>
      </c>
      <c r="B140" s="3636"/>
      <c r="C140" s="3636"/>
      <c r="D140" s="3636"/>
      <c r="E140" s="3635" t="s">
        <v>475</v>
      </c>
      <c r="F140" s="3636"/>
      <c r="G140" s="3636"/>
      <c r="H140" s="3636"/>
      <c r="I140" s="3636"/>
      <c r="J140" s="3636"/>
      <c r="K140" s="3636" t="s">
        <v>332</v>
      </c>
      <c r="L140" s="3636"/>
      <c r="M140" s="3636"/>
      <c r="N140" s="3636"/>
      <c r="O140" s="3636"/>
      <c r="P140" s="3636"/>
      <c r="Q140" s="3635" t="s">
        <v>476</v>
      </c>
      <c r="R140" s="3636"/>
      <c r="S140" s="3636"/>
      <c r="T140" s="3636"/>
      <c r="U140" s="3636"/>
      <c r="V140" s="3636"/>
      <c r="W140" s="3636"/>
      <c r="X140" s="3636" t="s">
        <v>333</v>
      </c>
      <c r="Y140" s="3636"/>
      <c r="Z140" s="3636"/>
      <c r="AA140" s="3636"/>
      <c r="AB140" s="3636"/>
      <c r="AC140" s="3635" t="s">
        <v>477</v>
      </c>
      <c r="AD140" s="3636"/>
      <c r="AE140" s="3636"/>
      <c r="AF140" s="3636"/>
      <c r="AG140" s="3636"/>
      <c r="AH140" s="3636"/>
      <c r="AI140" s="3636"/>
      <c r="AJ140" s="3636"/>
    </row>
    <row r="141" spans="1:43" outlineLevel="1"/>
    <row r="143" spans="1:43" ht="15.75">
      <c r="A143" s="217" t="s">
        <v>1721</v>
      </c>
      <c r="B143" s="217"/>
      <c r="C143" s="217"/>
      <c r="D143" s="217"/>
      <c r="E143" s="217"/>
      <c r="F143" s="217"/>
      <c r="G143" s="217"/>
      <c r="H143" s="217"/>
      <c r="I143" t="s">
        <v>478</v>
      </c>
      <c r="J143" s="217"/>
      <c r="K143" s="217"/>
      <c r="L143" s="217"/>
      <c r="M143" s="217"/>
      <c r="N143" s="217"/>
      <c r="O143" s="217"/>
      <c r="P143" s="217"/>
      <c r="Q143" s="217"/>
      <c r="R143" s="217"/>
      <c r="S143" s="217"/>
      <c r="T143" s="217"/>
      <c r="U143" s="217"/>
      <c r="V143" s="217"/>
      <c r="W143" s="217"/>
      <c r="X143" s="217"/>
      <c r="Y143" s="217"/>
      <c r="Z143" s="217"/>
      <c r="AA143" s="217"/>
      <c r="AB143" s="217"/>
      <c r="AC143" s="217"/>
      <c r="AD143" s="217"/>
      <c r="AE143" s="217"/>
      <c r="AF143" s="217"/>
      <c r="AG143" s="217"/>
      <c r="AH143" s="217"/>
      <c r="AI143" s="217"/>
      <c r="AJ143" s="217"/>
    </row>
    <row r="144" spans="1:43" ht="15.75">
      <c r="A144" s="649" t="s">
        <v>1724</v>
      </c>
      <c r="B144" s="217"/>
      <c r="C144" s="217"/>
      <c r="D144" s="217"/>
      <c r="E144" s="217"/>
      <c r="F144" s="217"/>
      <c r="G144" s="217"/>
      <c r="H144" s="217"/>
      <c r="J144" s="217"/>
      <c r="K144" s="217"/>
      <c r="L144" s="217"/>
      <c r="M144" s="217"/>
      <c r="N144" s="217"/>
      <c r="O144" s="217"/>
      <c r="P144" s="217"/>
      <c r="Q144" s="217"/>
      <c r="R144" s="217"/>
      <c r="S144" s="217"/>
      <c r="T144" s="217"/>
      <c r="U144" s="217"/>
      <c r="V144" s="217"/>
      <c r="W144" s="217"/>
      <c r="X144" s="217"/>
      <c r="Y144" s="217"/>
      <c r="Z144" s="217"/>
      <c r="AA144" s="217"/>
      <c r="AB144" s="217"/>
      <c r="AC144" s="217"/>
      <c r="AD144" s="217"/>
      <c r="AE144" s="217"/>
      <c r="AF144" s="217"/>
      <c r="AG144" s="217"/>
      <c r="AH144" s="217"/>
      <c r="AI144" s="217"/>
      <c r="AJ144" s="217"/>
      <c r="AL144" s="649" t="s">
        <v>1720</v>
      </c>
      <c r="AQ144" s="649" t="s">
        <v>1722</v>
      </c>
    </row>
    <row r="145" spans="1:41" ht="15.75" outlineLevel="1">
      <c r="A145" s="3519" t="s">
        <v>479</v>
      </c>
      <c r="B145" s="3512"/>
      <c r="C145" s="3512"/>
      <c r="D145" s="3512"/>
      <c r="E145" s="3512"/>
      <c r="F145" s="3512"/>
      <c r="G145" s="3512"/>
      <c r="H145" s="3512"/>
      <c r="I145" s="3512"/>
      <c r="J145" s="3512"/>
      <c r="K145" s="3512"/>
      <c r="L145" s="3512"/>
      <c r="M145" s="3512"/>
      <c r="N145" s="3512"/>
      <c r="O145" s="3512"/>
      <c r="P145" s="3512"/>
      <c r="Q145" s="3512"/>
      <c r="R145" s="3512"/>
      <c r="S145" s="3512"/>
      <c r="T145" s="3512"/>
      <c r="U145" s="3512"/>
      <c r="V145" s="3512"/>
      <c r="W145" s="3512"/>
      <c r="X145" s="3512"/>
      <c r="Y145" s="3512"/>
      <c r="Z145" s="3512"/>
      <c r="AA145" s="3512"/>
      <c r="AB145" s="3512"/>
      <c r="AC145" s="3512"/>
      <c r="AD145" s="3512"/>
      <c r="AE145" s="3569" t="s">
        <v>480</v>
      </c>
      <c r="AF145" s="3512"/>
      <c r="AG145" s="3512"/>
      <c r="AH145" s="3512"/>
      <c r="AI145" s="3512"/>
      <c r="AJ145" s="3512"/>
      <c r="AM145" s="649" t="s">
        <v>1723</v>
      </c>
      <c r="AO145" s="656"/>
    </row>
    <row r="146" spans="1:41" ht="15.75" outlineLevel="1">
      <c r="A146" s="3512">
        <v>1</v>
      </c>
      <c r="B146" s="3512"/>
      <c r="C146" s="3512"/>
      <c r="D146" s="3512"/>
      <c r="E146" s="3512"/>
      <c r="F146" s="3512"/>
      <c r="G146" s="3512">
        <v>2</v>
      </c>
      <c r="H146" s="3512"/>
      <c r="I146" s="3512"/>
      <c r="J146" s="3512"/>
      <c r="K146" s="3512"/>
      <c r="L146" s="3512"/>
      <c r="M146" s="3512">
        <v>3</v>
      </c>
      <c r="N146" s="3512"/>
      <c r="O146" s="3512"/>
      <c r="P146" s="3512"/>
      <c r="Q146" s="3512"/>
      <c r="R146" s="3512"/>
      <c r="S146" s="3512">
        <v>4</v>
      </c>
      <c r="T146" s="3512"/>
      <c r="U146" s="3512"/>
      <c r="V146" s="3512"/>
      <c r="W146" s="3512"/>
      <c r="X146" s="3512"/>
      <c r="Y146" s="3512">
        <v>5</v>
      </c>
      <c r="Z146" s="3512"/>
      <c r="AA146" s="3512"/>
      <c r="AB146" s="3512"/>
      <c r="AC146" s="3512"/>
      <c r="AD146" s="3512"/>
      <c r="AE146" s="3512"/>
      <c r="AF146" s="3512"/>
      <c r="AG146" s="3512"/>
      <c r="AH146" s="3512"/>
      <c r="AI146" s="3512"/>
      <c r="AJ146" s="3512"/>
    </row>
    <row r="147" spans="1:41" ht="15.75" outlineLevel="1">
      <c r="A147" s="3634" t="s">
        <v>481</v>
      </c>
      <c r="B147" s="3634"/>
      <c r="C147" s="3634"/>
      <c r="D147" s="3634"/>
      <c r="E147" s="3634"/>
      <c r="F147" s="3634"/>
      <c r="G147" s="3634" t="s">
        <v>481</v>
      </c>
      <c r="H147" s="3634"/>
      <c r="I147" s="3634"/>
      <c r="J147" s="3634"/>
      <c r="K147" s="3634"/>
      <c r="L147" s="3634"/>
      <c r="M147" s="3634" t="s">
        <v>481</v>
      </c>
      <c r="N147" s="3634"/>
      <c r="O147" s="3634"/>
      <c r="P147" s="3634"/>
      <c r="Q147" s="3634"/>
      <c r="R147" s="3634"/>
      <c r="S147" s="3634" t="s">
        <v>481</v>
      </c>
      <c r="T147" s="3634"/>
      <c r="U147" s="3634"/>
      <c r="V147" s="3634"/>
      <c r="W147" s="3634"/>
      <c r="X147" s="3634"/>
      <c r="Y147" s="3634" t="s">
        <v>481</v>
      </c>
      <c r="Z147" s="3634"/>
      <c r="AA147" s="3634"/>
      <c r="AB147" s="3634"/>
      <c r="AC147" s="3634"/>
      <c r="AD147" s="3634"/>
      <c r="AE147" s="3634" t="s">
        <v>482</v>
      </c>
      <c r="AF147" s="3634"/>
      <c r="AG147" s="3634"/>
      <c r="AH147" s="3634"/>
      <c r="AI147" s="3634"/>
      <c r="AJ147" s="3634"/>
      <c r="AK147" s="257"/>
    </row>
    <row r="148" spans="1:41" ht="15.75" outlineLevel="1">
      <c r="A148" s="3633" t="s">
        <v>1719</v>
      </c>
      <c r="B148" s="3634"/>
      <c r="C148" s="3634"/>
      <c r="D148" s="3634"/>
      <c r="E148" s="3634"/>
      <c r="F148" s="3634"/>
      <c r="G148" s="3634"/>
      <c r="H148" s="3634"/>
      <c r="I148" s="3634"/>
      <c r="J148" s="3634" t="s">
        <v>771</v>
      </c>
      <c r="K148" s="3634"/>
      <c r="L148" s="3634"/>
      <c r="M148" s="3634"/>
      <c r="N148" s="3634"/>
      <c r="O148" s="3634"/>
      <c r="P148" s="3634"/>
      <c r="Q148" s="3634"/>
      <c r="R148" s="3634"/>
      <c r="S148" s="3634"/>
      <c r="T148" s="3634"/>
      <c r="U148" s="3634"/>
      <c r="V148" s="3634"/>
      <c r="W148" s="3634"/>
      <c r="X148" s="3634"/>
      <c r="Y148" s="3634"/>
      <c r="Z148" s="3634"/>
      <c r="AA148" s="3634"/>
      <c r="AB148" s="3634"/>
      <c r="AC148" s="3634"/>
      <c r="AD148" s="3634"/>
      <c r="AE148" s="3634"/>
      <c r="AF148" s="3634"/>
      <c r="AG148" s="3634"/>
      <c r="AH148" s="3634"/>
      <c r="AI148" s="3634"/>
      <c r="AJ148" s="3634"/>
    </row>
    <row r="150" spans="1:41" ht="19.5" customHeight="1">
      <c r="A150" s="153" t="s">
        <v>787</v>
      </c>
      <c r="D150" s="649" t="s">
        <v>1725</v>
      </c>
    </row>
    <row r="151" spans="1:41" ht="20.100000000000001" customHeight="1">
      <c r="D151" s="3700" t="s">
        <v>773</v>
      </c>
      <c r="E151" s="3701"/>
      <c r="F151" s="3701"/>
      <c r="G151" s="3701"/>
      <c r="H151" s="3701"/>
      <c r="I151" s="3691" t="s">
        <v>1498</v>
      </c>
      <c r="J151" s="3692"/>
      <c r="K151" s="3692"/>
      <c r="L151" s="3692"/>
      <c r="M151" s="3692"/>
      <c r="N151" s="3692"/>
      <c r="O151" s="3691" t="s">
        <v>1499</v>
      </c>
      <c r="P151" s="3692"/>
      <c r="Q151" s="3692"/>
      <c r="R151" s="3692"/>
      <c r="S151" s="3692"/>
      <c r="T151" s="3692"/>
      <c r="U151" s="3692"/>
      <c r="V151" s="3691" t="s">
        <v>1500</v>
      </c>
      <c r="W151" s="3692"/>
      <c r="X151" s="3692"/>
      <c r="Y151" s="3692"/>
      <c r="Z151" s="3692"/>
      <c r="AA151" s="3692"/>
      <c r="AB151" s="3692"/>
      <c r="AC151" s="3702" t="s">
        <v>1501</v>
      </c>
      <c r="AD151" s="3703"/>
      <c r="AE151" s="3703"/>
      <c r="AF151" s="3703"/>
      <c r="AG151" s="3703"/>
      <c r="AH151" s="3703"/>
    </row>
    <row r="152" spans="1:41" ht="20.100000000000001" customHeight="1">
      <c r="D152" s="3691" t="s">
        <v>1502</v>
      </c>
      <c r="E152" s="2298"/>
      <c r="F152" s="2298"/>
      <c r="G152" s="2298"/>
      <c r="H152" s="2298"/>
      <c r="I152" s="3691" t="s">
        <v>1503</v>
      </c>
      <c r="J152" s="3692"/>
      <c r="K152" s="3692"/>
      <c r="L152" s="3692"/>
      <c r="M152" s="3692"/>
      <c r="N152" s="3692"/>
      <c r="O152" s="3691" t="s">
        <v>1505</v>
      </c>
      <c r="P152" s="3692"/>
      <c r="Q152" s="3692"/>
      <c r="R152" s="3692"/>
      <c r="S152" s="3692"/>
      <c r="T152" s="3692"/>
      <c r="U152" s="3692"/>
      <c r="V152" s="3692">
        <v>1</v>
      </c>
      <c r="W152" s="3692"/>
      <c r="X152" s="3692"/>
      <c r="Y152" s="3692"/>
      <c r="Z152" s="3692"/>
      <c r="AA152" s="3692"/>
      <c r="AB152" s="3692"/>
      <c r="AC152" s="3693">
        <v>1.2E-4</v>
      </c>
      <c r="AD152" s="3693"/>
      <c r="AE152" s="3693"/>
      <c r="AF152" s="3693">
        <v>1.2999999999999999E-4</v>
      </c>
      <c r="AG152" s="3693"/>
      <c r="AH152" s="3693"/>
    </row>
    <row r="153" spans="1:41" ht="20.100000000000001" customHeight="1">
      <c r="D153" s="2298"/>
      <c r="E153" s="2298"/>
      <c r="F153" s="2298"/>
      <c r="G153" s="2298"/>
      <c r="H153" s="2298"/>
      <c r="I153" s="3692" t="s">
        <v>793</v>
      </c>
      <c r="J153" s="3692"/>
      <c r="K153" s="3692"/>
      <c r="L153" s="3692"/>
      <c r="M153" s="3692"/>
      <c r="N153" s="3692"/>
      <c r="O153" s="3691" t="s">
        <v>1506</v>
      </c>
      <c r="P153" s="3692"/>
      <c r="Q153" s="3692"/>
      <c r="R153" s="3692"/>
      <c r="S153" s="3692"/>
      <c r="T153" s="3692"/>
      <c r="U153" s="3692"/>
      <c r="V153" s="3691" t="s">
        <v>1509</v>
      </c>
      <c r="W153" s="3692"/>
      <c r="X153" s="3692"/>
      <c r="Y153" s="3692"/>
      <c r="Z153" s="3692"/>
      <c r="AA153" s="3692"/>
      <c r="AB153" s="3692"/>
      <c r="AC153" s="3693">
        <v>1.2E-4</v>
      </c>
      <c r="AD153" s="3693"/>
      <c r="AE153" s="3693"/>
      <c r="AF153" s="3693">
        <v>1.2999999999999999E-4</v>
      </c>
      <c r="AG153" s="3693"/>
      <c r="AH153" s="3693"/>
    </row>
    <row r="154" spans="1:41" ht="20.100000000000001" customHeight="1">
      <c r="D154" s="2298"/>
      <c r="E154" s="2298"/>
      <c r="F154" s="2298"/>
      <c r="G154" s="2298"/>
      <c r="H154" s="2298"/>
      <c r="I154" s="3692" t="s">
        <v>793</v>
      </c>
      <c r="J154" s="3692"/>
      <c r="K154" s="3692"/>
      <c r="L154" s="3692"/>
      <c r="M154" s="3692"/>
      <c r="N154" s="3692"/>
      <c r="O154" s="3691" t="s">
        <v>1507</v>
      </c>
      <c r="P154" s="3692"/>
      <c r="Q154" s="3692"/>
      <c r="R154" s="3692"/>
      <c r="S154" s="3692"/>
      <c r="T154" s="3692"/>
      <c r="U154" s="3692"/>
      <c r="V154" s="3691" t="s">
        <v>1510</v>
      </c>
      <c r="W154" s="3692"/>
      <c r="X154" s="3692"/>
      <c r="Y154" s="3692"/>
      <c r="Z154" s="3692"/>
      <c r="AA154" s="3692"/>
      <c r="AB154" s="3692"/>
      <c r="AC154" s="3693">
        <v>1.8000000000000001E-4</v>
      </c>
      <c r="AD154" s="3693"/>
      <c r="AE154" s="3693"/>
      <c r="AF154" s="3693">
        <v>1.2999999999999999E-4</v>
      </c>
      <c r="AG154" s="3693"/>
      <c r="AH154" s="3693"/>
    </row>
    <row r="155" spans="1:41" ht="20.100000000000001" customHeight="1">
      <c r="D155" s="2298"/>
      <c r="E155" s="2298"/>
      <c r="F155" s="2298"/>
      <c r="G155" s="2298"/>
      <c r="H155" s="2298"/>
      <c r="I155" s="3691" t="s">
        <v>1504</v>
      </c>
      <c r="J155" s="3692"/>
      <c r="K155" s="3692"/>
      <c r="L155" s="3692"/>
      <c r="M155" s="3692"/>
      <c r="N155" s="3692"/>
      <c r="O155" s="3691" t="s">
        <v>1508</v>
      </c>
      <c r="P155" s="3692"/>
      <c r="Q155" s="3692"/>
      <c r="R155" s="3692"/>
      <c r="S155" s="3692"/>
      <c r="T155" s="3692"/>
      <c r="U155" s="3692"/>
      <c r="V155" s="3691" t="s">
        <v>1511</v>
      </c>
      <c r="W155" s="3692"/>
      <c r="X155" s="3692"/>
      <c r="Y155" s="3692"/>
      <c r="Z155" s="3692"/>
      <c r="AA155" s="3692"/>
      <c r="AB155" s="3692"/>
      <c r="AC155" s="3693">
        <v>3.5E-4</v>
      </c>
      <c r="AD155" s="3693"/>
      <c r="AE155" s="3693"/>
      <c r="AF155" s="3693">
        <v>1.2999999999999999E-4</v>
      </c>
      <c r="AG155" s="3693"/>
      <c r="AH155" s="3693"/>
    </row>
    <row r="156" spans="1:41" s="257" customFormat="1" ht="14.25" customHeight="1">
      <c r="B156" s="261"/>
      <c r="C156" s="261"/>
      <c r="D156" s="261"/>
      <c r="E156" s="261"/>
      <c r="F156" s="261"/>
      <c r="G156" s="261"/>
      <c r="H156" s="261"/>
      <c r="I156" s="263"/>
      <c r="J156" s="263"/>
      <c r="K156" s="263"/>
      <c r="L156" s="263"/>
      <c r="M156" s="263"/>
      <c r="N156" s="263"/>
      <c r="O156" s="263"/>
      <c r="P156" s="263"/>
      <c r="Q156" s="263"/>
      <c r="R156" s="261"/>
      <c r="S156" s="261"/>
      <c r="T156" s="261"/>
      <c r="U156" s="261"/>
      <c r="V156" s="261"/>
      <c r="W156" s="261"/>
      <c r="X156" s="261"/>
      <c r="Y156" s="261"/>
      <c r="Z156" s="261"/>
      <c r="AA156" s="261"/>
      <c r="AB156" s="261"/>
      <c r="AC156" s="261"/>
      <c r="AD156" s="261"/>
      <c r="AE156" s="261"/>
      <c r="AF156" s="261"/>
      <c r="AG156" s="261"/>
      <c r="AH156" s="261"/>
      <c r="AI156" s="261"/>
      <c r="AJ156" s="261"/>
    </row>
    <row r="157" spans="1:41" ht="20.100000000000001" customHeight="1">
      <c r="D157" s="3692" t="s">
        <v>788</v>
      </c>
      <c r="E157" s="2298"/>
      <c r="F157" s="2298"/>
      <c r="G157" s="2298"/>
      <c r="H157" s="2298"/>
      <c r="I157" s="3692" t="s">
        <v>789</v>
      </c>
      <c r="J157" s="3692"/>
      <c r="K157" s="3692"/>
      <c r="L157" s="3692"/>
      <c r="M157" s="3692"/>
      <c r="N157" s="3692"/>
      <c r="O157" s="3692" t="s">
        <v>790</v>
      </c>
      <c r="P157" s="3692"/>
      <c r="Q157" s="3692"/>
      <c r="R157" s="3692"/>
      <c r="S157" s="3692"/>
      <c r="T157" s="3692"/>
      <c r="U157" s="3692"/>
      <c r="V157" s="3692" t="s">
        <v>791</v>
      </c>
      <c r="W157" s="3692"/>
      <c r="X157" s="3692"/>
      <c r="Y157" s="3692"/>
      <c r="Z157" s="3692"/>
      <c r="AA157" s="3692"/>
      <c r="AB157" s="3692"/>
      <c r="AC157" s="3703" t="s">
        <v>792</v>
      </c>
      <c r="AD157" s="3703"/>
      <c r="AE157" s="3703"/>
      <c r="AF157" s="3703"/>
      <c r="AG157" s="3703"/>
      <c r="AH157" s="3703"/>
    </row>
    <row r="158" spans="1:41" ht="20.100000000000001" customHeight="1">
      <c r="D158" s="3692" t="s">
        <v>797</v>
      </c>
      <c r="E158" s="2298"/>
      <c r="F158" s="2298"/>
      <c r="G158" s="2298"/>
      <c r="H158" s="2298"/>
      <c r="I158" s="3692" t="s">
        <v>798</v>
      </c>
      <c r="J158" s="3692"/>
      <c r="K158" s="3692"/>
      <c r="L158" s="3692"/>
      <c r="M158" s="3692"/>
      <c r="N158" s="3692"/>
      <c r="O158" s="3691" t="s">
        <v>1521</v>
      </c>
      <c r="P158" s="3692"/>
      <c r="Q158" s="3692"/>
      <c r="R158" s="3692"/>
      <c r="S158" s="3692"/>
      <c r="T158" s="3692"/>
      <c r="U158" s="3692"/>
      <c r="V158" s="3692">
        <v>1</v>
      </c>
      <c r="W158" s="3692"/>
      <c r="X158" s="3692"/>
      <c r="Y158" s="3692"/>
      <c r="Z158" s="3692"/>
      <c r="AA158" s="3692"/>
      <c r="AB158" s="3692"/>
      <c r="AC158" s="3693">
        <v>1.2999999999999999E-4</v>
      </c>
      <c r="AD158" s="3693"/>
      <c r="AE158" s="3693"/>
      <c r="AF158" s="3693">
        <v>1.2999999999999999E-4</v>
      </c>
      <c r="AG158" s="3693"/>
      <c r="AH158" s="3693"/>
    </row>
    <row r="159" spans="1:41" ht="20.100000000000001" customHeight="1">
      <c r="D159" s="2298"/>
      <c r="E159" s="2298"/>
      <c r="F159" s="2298"/>
      <c r="G159" s="2298"/>
      <c r="H159" s="2298"/>
      <c r="I159" s="3692" t="s">
        <v>798</v>
      </c>
      <c r="J159" s="3692"/>
      <c r="K159" s="3692"/>
      <c r="L159" s="3692"/>
      <c r="M159" s="3692"/>
      <c r="N159" s="3692"/>
      <c r="O159" s="3691" t="s">
        <v>794</v>
      </c>
      <c r="P159" s="3692"/>
      <c r="Q159" s="3692"/>
      <c r="R159" s="3692"/>
      <c r="S159" s="3692"/>
      <c r="T159" s="3692"/>
      <c r="U159" s="3692"/>
      <c r="V159" s="3691" t="s">
        <v>1518</v>
      </c>
      <c r="W159" s="3692"/>
      <c r="X159" s="3692"/>
      <c r="Y159" s="3692"/>
      <c r="Z159" s="3692"/>
      <c r="AA159" s="3692"/>
      <c r="AB159" s="3692"/>
      <c r="AC159" s="3693">
        <v>1.2999999999999999E-4</v>
      </c>
      <c r="AD159" s="3693"/>
      <c r="AE159" s="3693"/>
      <c r="AF159" s="3693">
        <v>1.2999999999999999E-4</v>
      </c>
      <c r="AG159" s="3693"/>
      <c r="AH159" s="3693"/>
    </row>
    <row r="160" spans="1:41" ht="20.100000000000001" customHeight="1">
      <c r="D160" s="2298"/>
      <c r="E160" s="2298"/>
      <c r="F160" s="2298"/>
      <c r="G160" s="2298"/>
      <c r="H160" s="2298"/>
      <c r="I160" s="3692" t="s">
        <v>798</v>
      </c>
      <c r="J160" s="3692"/>
      <c r="K160" s="3692"/>
      <c r="L160" s="3692"/>
      <c r="M160" s="3692"/>
      <c r="N160" s="3692"/>
      <c r="O160" s="3691" t="s">
        <v>795</v>
      </c>
      <c r="P160" s="3692"/>
      <c r="Q160" s="3692"/>
      <c r="R160" s="3692"/>
      <c r="S160" s="3692"/>
      <c r="T160" s="3692"/>
      <c r="U160" s="3692"/>
      <c r="V160" s="3692" t="s">
        <v>796</v>
      </c>
      <c r="W160" s="3692"/>
      <c r="X160" s="3692"/>
      <c r="Y160" s="3692"/>
      <c r="Z160" s="3692"/>
      <c r="AA160" s="3692"/>
      <c r="AB160" s="3692"/>
      <c r="AC160" s="3693">
        <v>3.8999999999999999E-4</v>
      </c>
      <c r="AD160" s="3693"/>
      <c r="AE160" s="3693"/>
      <c r="AF160" s="3693">
        <v>1.2999999999999999E-4</v>
      </c>
      <c r="AG160" s="3693"/>
      <c r="AH160" s="3693"/>
    </row>
    <row r="161" spans="1:38" ht="20.100000000000001" customHeight="1">
      <c r="D161" s="2298"/>
      <c r="E161" s="2298"/>
      <c r="F161" s="2298"/>
      <c r="G161" s="2298"/>
      <c r="H161" s="2298"/>
      <c r="I161" s="3692" t="s">
        <v>799</v>
      </c>
      <c r="J161" s="3692"/>
      <c r="K161" s="3692"/>
      <c r="L161" s="3692"/>
      <c r="M161" s="3692"/>
      <c r="N161" s="3692"/>
      <c r="O161" s="3691" t="s">
        <v>800</v>
      </c>
      <c r="P161" s="3692"/>
      <c r="Q161" s="3692"/>
      <c r="R161" s="3692"/>
      <c r="S161" s="3692"/>
      <c r="T161" s="3692"/>
      <c r="U161" s="3692"/>
      <c r="V161" s="3692">
        <v>1</v>
      </c>
      <c r="W161" s="3692"/>
      <c r="X161" s="3692"/>
      <c r="Y161" s="3692"/>
      <c r="Z161" s="3692"/>
      <c r="AA161" s="3692"/>
      <c r="AB161" s="3692"/>
      <c r="AC161" s="3693">
        <v>1.2999999999999999E-4</v>
      </c>
      <c r="AD161" s="3693"/>
      <c r="AE161" s="3693"/>
      <c r="AF161" s="3693">
        <v>1.2999999999999999E-4</v>
      </c>
      <c r="AG161" s="3693"/>
      <c r="AH161" s="3693"/>
    </row>
    <row r="162" spans="1:38" ht="20.100000000000001" customHeight="1">
      <c r="D162" s="2298"/>
      <c r="E162" s="2298"/>
      <c r="F162" s="2298"/>
      <c r="G162" s="2298"/>
      <c r="H162" s="2298"/>
      <c r="I162" s="3692" t="s">
        <v>799</v>
      </c>
      <c r="J162" s="3692"/>
      <c r="K162" s="3692"/>
      <c r="L162" s="3692"/>
      <c r="M162" s="3692"/>
      <c r="N162" s="3692"/>
      <c r="O162" s="3691" t="s">
        <v>795</v>
      </c>
      <c r="P162" s="3692"/>
      <c r="Q162" s="3692"/>
      <c r="R162" s="3692"/>
      <c r="S162" s="3692"/>
      <c r="T162" s="3692"/>
      <c r="U162" s="3692"/>
      <c r="V162" s="3691" t="s">
        <v>1520</v>
      </c>
      <c r="W162" s="3692"/>
      <c r="X162" s="3692"/>
      <c r="Y162" s="3692"/>
      <c r="Z162" s="3692"/>
      <c r="AA162" s="3692"/>
      <c r="AB162" s="3692"/>
      <c r="AC162" s="3693">
        <v>1.8000000000000001E-4</v>
      </c>
      <c r="AD162" s="3693"/>
      <c r="AE162" s="3693"/>
      <c r="AF162" s="3693">
        <v>1.8000000000000001E-4</v>
      </c>
      <c r="AG162" s="3693"/>
      <c r="AH162" s="3693"/>
    </row>
    <row r="163" spans="1:38" s="257" customFormat="1" ht="14.25" customHeight="1">
      <c r="B163" s="261"/>
      <c r="C163" s="261"/>
      <c r="D163" s="261"/>
      <c r="E163" s="261"/>
      <c r="F163" s="261"/>
      <c r="G163" s="261"/>
      <c r="H163" s="261"/>
      <c r="I163" s="263"/>
      <c r="J163" s="263"/>
      <c r="K163" s="263"/>
      <c r="L163" s="263"/>
      <c r="M163" s="263"/>
      <c r="N163" s="263"/>
      <c r="O163" s="263"/>
      <c r="P163" s="263"/>
      <c r="Q163" s="263"/>
      <c r="R163" s="261"/>
      <c r="S163" s="261"/>
      <c r="T163" s="261"/>
      <c r="U163" s="261"/>
      <c r="V163" s="261"/>
      <c r="W163" s="261"/>
      <c r="X163" s="261"/>
      <c r="Y163" s="261"/>
      <c r="Z163" s="261"/>
      <c r="AA163" s="261"/>
      <c r="AB163" s="261"/>
      <c r="AC163" s="261"/>
      <c r="AD163" s="261"/>
      <c r="AE163" s="261"/>
      <c r="AF163" s="261"/>
      <c r="AG163" s="261"/>
      <c r="AH163" s="261"/>
      <c r="AI163" s="261"/>
      <c r="AJ163" s="261"/>
    </row>
    <row r="164" spans="1:38" ht="20.100000000000001" customHeight="1">
      <c r="D164" s="3692" t="s">
        <v>788</v>
      </c>
      <c r="E164" s="2298"/>
      <c r="F164" s="2298"/>
      <c r="G164" s="2298"/>
      <c r="H164" s="2298"/>
      <c r="I164" s="3692" t="s">
        <v>789</v>
      </c>
      <c r="J164" s="3692"/>
      <c r="K164" s="3692"/>
      <c r="L164" s="3692"/>
      <c r="M164" s="3692"/>
      <c r="N164" s="3692"/>
      <c r="O164" s="3692" t="s">
        <v>790</v>
      </c>
      <c r="P164" s="3692"/>
      <c r="Q164" s="3692"/>
      <c r="R164" s="3692"/>
      <c r="S164" s="3692"/>
      <c r="T164" s="3692"/>
      <c r="U164" s="3692"/>
      <c r="V164" s="3692" t="s">
        <v>791</v>
      </c>
      <c r="W164" s="3692"/>
      <c r="X164" s="3692"/>
      <c r="Y164" s="3692"/>
      <c r="Z164" s="3692"/>
      <c r="AA164" s="3692"/>
      <c r="AB164" s="3692"/>
      <c r="AC164" s="3703" t="s">
        <v>792</v>
      </c>
      <c r="AD164" s="3703"/>
      <c r="AE164" s="3703"/>
      <c r="AF164" s="3703"/>
      <c r="AG164" s="3703"/>
      <c r="AH164" s="3703"/>
    </row>
    <row r="165" spans="1:38" ht="20.100000000000001" customHeight="1">
      <c r="D165" s="3692" t="s">
        <v>801</v>
      </c>
      <c r="E165" s="2298"/>
      <c r="F165" s="2298"/>
      <c r="G165" s="2298"/>
      <c r="H165" s="2298"/>
      <c r="I165" s="3691" t="s">
        <v>1512</v>
      </c>
      <c r="J165" s="3692"/>
      <c r="K165" s="3692"/>
      <c r="L165" s="3692"/>
      <c r="M165" s="3692"/>
      <c r="N165" s="3692"/>
      <c r="O165" s="3691" t="s">
        <v>1505</v>
      </c>
      <c r="P165" s="3692"/>
      <c r="Q165" s="3692"/>
      <c r="R165" s="3692"/>
      <c r="S165" s="3692"/>
      <c r="T165" s="3692"/>
      <c r="U165" s="3692"/>
      <c r="V165" s="3692">
        <v>1</v>
      </c>
      <c r="W165" s="3692"/>
      <c r="X165" s="3692"/>
      <c r="Y165" s="3692"/>
      <c r="Z165" s="3692"/>
      <c r="AA165" s="3692"/>
      <c r="AB165" s="3692"/>
      <c r="AC165" s="3693">
        <v>1.3999999999999999E-4</v>
      </c>
      <c r="AD165" s="3693"/>
      <c r="AE165" s="3693"/>
      <c r="AF165" s="3693">
        <v>1.2999999999999999E-4</v>
      </c>
      <c r="AG165" s="3693"/>
      <c r="AH165" s="3693"/>
    </row>
    <row r="166" spans="1:38" ht="20.100000000000001" customHeight="1">
      <c r="D166" s="2298"/>
      <c r="E166" s="2298"/>
      <c r="F166" s="2298"/>
      <c r="G166" s="2298"/>
      <c r="H166" s="2298"/>
      <c r="I166" s="3692" t="s">
        <v>798</v>
      </c>
      <c r="J166" s="3692"/>
      <c r="K166" s="3692"/>
      <c r="L166" s="3692"/>
      <c r="M166" s="3692"/>
      <c r="N166" s="3692"/>
      <c r="O166" s="3691" t="s">
        <v>794</v>
      </c>
      <c r="P166" s="3692"/>
      <c r="Q166" s="3692"/>
      <c r="R166" s="3692"/>
      <c r="S166" s="3692"/>
      <c r="T166" s="3692"/>
      <c r="U166" s="3692"/>
      <c r="V166" s="3691" t="s">
        <v>1509</v>
      </c>
      <c r="W166" s="3692"/>
      <c r="X166" s="3692"/>
      <c r="Y166" s="3692"/>
      <c r="Z166" s="3692"/>
      <c r="AA166" s="3692"/>
      <c r="AB166" s="3692"/>
      <c r="AC166" s="3693">
        <v>1.3999999999999999E-4</v>
      </c>
      <c r="AD166" s="3693"/>
      <c r="AE166" s="3693"/>
      <c r="AF166" s="3693">
        <v>1.2999999999999999E-4</v>
      </c>
      <c r="AG166" s="3693"/>
      <c r="AH166" s="3693"/>
    </row>
    <row r="167" spans="1:38" ht="20.100000000000001" customHeight="1">
      <c r="D167" s="2298"/>
      <c r="E167" s="2298"/>
      <c r="F167" s="2298"/>
      <c r="G167" s="2298"/>
      <c r="H167" s="2298"/>
      <c r="I167" s="3692" t="s">
        <v>798</v>
      </c>
      <c r="J167" s="3692"/>
      <c r="K167" s="3692"/>
      <c r="L167" s="3692"/>
      <c r="M167" s="3692"/>
      <c r="N167" s="3692"/>
      <c r="O167" s="3691" t="s">
        <v>802</v>
      </c>
      <c r="P167" s="3692"/>
      <c r="Q167" s="3692"/>
      <c r="R167" s="3692"/>
      <c r="S167" s="3692"/>
      <c r="T167" s="3692"/>
      <c r="U167" s="3692"/>
      <c r="V167" s="3691" t="s">
        <v>1516</v>
      </c>
      <c r="W167" s="3692"/>
      <c r="X167" s="3692"/>
      <c r="Y167" s="3692"/>
      <c r="Z167" s="3692"/>
      <c r="AA167" s="3692"/>
      <c r="AB167" s="3692"/>
      <c r="AC167" s="3693">
        <v>1.9000000000000001E-4</v>
      </c>
      <c r="AD167" s="3693"/>
      <c r="AE167" s="3693"/>
      <c r="AF167" s="3693">
        <v>1.2999999999999999E-4</v>
      </c>
      <c r="AG167" s="3693"/>
      <c r="AH167" s="3693"/>
    </row>
    <row r="168" spans="1:38" ht="20.100000000000001" customHeight="1">
      <c r="D168" s="2298"/>
      <c r="E168" s="2298"/>
      <c r="F168" s="2298"/>
      <c r="G168" s="2298"/>
      <c r="H168" s="2298"/>
      <c r="I168" s="3692" t="s">
        <v>798</v>
      </c>
      <c r="J168" s="3692"/>
      <c r="K168" s="3692"/>
      <c r="L168" s="3692"/>
      <c r="M168" s="3692"/>
      <c r="N168" s="3692"/>
      <c r="O168" s="3691" t="s">
        <v>1514</v>
      </c>
      <c r="P168" s="3692"/>
      <c r="Q168" s="3692"/>
      <c r="R168" s="3692"/>
      <c r="S168" s="3692"/>
      <c r="T168" s="3692"/>
      <c r="U168" s="3692"/>
      <c r="V168" s="3691" t="s">
        <v>1519</v>
      </c>
      <c r="W168" s="3692"/>
      <c r="X168" s="3692"/>
      <c r="Y168" s="3692"/>
      <c r="Z168" s="3692"/>
      <c r="AA168" s="3692"/>
      <c r="AB168" s="3692"/>
      <c r="AC168" s="3693">
        <v>3.6000000000000002E-4</v>
      </c>
      <c r="AD168" s="3693"/>
      <c r="AE168" s="3693"/>
      <c r="AF168" s="3693">
        <v>1.2999999999999999E-4</v>
      </c>
      <c r="AG168" s="3693"/>
      <c r="AH168" s="3693"/>
    </row>
    <row r="169" spans="1:38" ht="20.100000000000001" customHeight="1">
      <c r="D169" s="2298"/>
      <c r="E169" s="2298"/>
      <c r="F169" s="2298"/>
      <c r="G169" s="2298"/>
      <c r="H169" s="2298"/>
      <c r="I169" s="3691" t="s">
        <v>1513</v>
      </c>
      <c r="J169" s="3692"/>
      <c r="K169" s="3692"/>
      <c r="L169" s="3692"/>
      <c r="M169" s="3692"/>
      <c r="N169" s="3692"/>
      <c r="O169" s="3691" t="s">
        <v>1515</v>
      </c>
      <c r="P169" s="3692"/>
      <c r="Q169" s="3692"/>
      <c r="R169" s="3692"/>
      <c r="S169" s="3692"/>
      <c r="T169" s="3692"/>
      <c r="U169" s="3692"/>
      <c r="V169" s="3692">
        <v>1</v>
      </c>
      <c r="W169" s="3692"/>
      <c r="X169" s="3692"/>
      <c r="Y169" s="3692"/>
      <c r="Z169" s="3692"/>
      <c r="AA169" s="3692"/>
      <c r="AB169" s="3692"/>
      <c r="AC169" s="3693">
        <v>1.3999999999999999E-4</v>
      </c>
      <c r="AD169" s="3693"/>
      <c r="AE169" s="3693"/>
      <c r="AF169" s="3693">
        <v>1.2999999999999999E-4</v>
      </c>
      <c r="AG169" s="3693"/>
      <c r="AH169" s="3693"/>
    </row>
    <row r="170" spans="1:38" ht="20.100000000000001" customHeight="1">
      <c r="D170" s="2298"/>
      <c r="E170" s="2298"/>
      <c r="F170" s="2298"/>
      <c r="G170" s="2298"/>
      <c r="H170" s="2298"/>
      <c r="I170" s="3692" t="s">
        <v>799</v>
      </c>
      <c r="J170" s="3692"/>
      <c r="K170" s="3692"/>
      <c r="L170" s="3692"/>
      <c r="M170" s="3692"/>
      <c r="N170" s="3692"/>
      <c r="O170" s="3691" t="s">
        <v>795</v>
      </c>
      <c r="P170" s="3692"/>
      <c r="Q170" s="3692"/>
      <c r="R170" s="3692"/>
      <c r="S170" s="3692"/>
      <c r="T170" s="3692"/>
      <c r="U170" s="3692"/>
      <c r="V170" s="3691" t="s">
        <v>1517</v>
      </c>
      <c r="W170" s="3692"/>
      <c r="X170" s="3692"/>
      <c r="Y170" s="3692"/>
      <c r="Z170" s="3692"/>
      <c r="AA170" s="3692"/>
      <c r="AB170" s="3692"/>
      <c r="AC170" s="3693">
        <v>1.9000000000000001E-4</v>
      </c>
      <c r="AD170" s="3693"/>
      <c r="AE170" s="3693"/>
      <c r="AF170" s="3693">
        <v>1.8000000000000001E-4</v>
      </c>
      <c r="AG170" s="3693"/>
      <c r="AH170" s="3693"/>
    </row>
    <row r="174" spans="1:38">
      <c r="A174" s="261" t="s">
        <v>634</v>
      </c>
      <c r="B174" s="262"/>
      <c r="C174" s="262"/>
      <c r="D174" s="262"/>
      <c r="E174" s="262"/>
      <c r="F174" s="262"/>
      <c r="G174" s="3690"/>
      <c r="H174" s="3690"/>
      <c r="I174" s="3690"/>
      <c r="J174" s="3690"/>
      <c r="K174" s="3690"/>
      <c r="L174" s="3690"/>
      <c r="M174" s="3690"/>
      <c r="N174" s="3690"/>
      <c r="O174" s="3690"/>
      <c r="P174" s="3690"/>
      <c r="Q174" s="3690"/>
      <c r="R174" s="262"/>
      <c r="S174" s="262"/>
      <c r="T174" s="262"/>
      <c r="U174" s="262"/>
      <c r="V174" s="262"/>
      <c r="W174" s="261"/>
      <c r="X174" s="261"/>
      <c r="Y174" s="261"/>
      <c r="Z174" s="3699"/>
      <c r="AA174" s="3699"/>
      <c r="AB174" s="3699"/>
      <c r="AC174" s="3699"/>
      <c r="AD174" s="3699"/>
      <c r="AE174" s="3699"/>
      <c r="AF174" s="3699"/>
      <c r="AG174" s="3699"/>
      <c r="AH174" s="3699"/>
      <c r="AI174" s="261"/>
      <c r="AJ174" s="261"/>
    </row>
    <row r="175" spans="1:38">
      <c r="A175" s="265" t="s">
        <v>635</v>
      </c>
      <c r="B175" s="261" t="s">
        <v>772</v>
      </c>
      <c r="C175" s="261"/>
      <c r="D175" s="261"/>
      <c r="E175" s="261"/>
      <c r="F175" s="262"/>
      <c r="G175" s="262"/>
      <c r="H175" s="3689"/>
      <c r="I175" s="3689"/>
      <c r="J175" s="3689"/>
      <c r="K175" s="3689"/>
      <c r="L175" s="3689"/>
      <c r="M175" s="3689"/>
      <c r="N175" s="3689"/>
      <c r="O175" s="3689"/>
      <c r="P175" s="3689"/>
      <c r="Q175" s="3689"/>
      <c r="R175" s="262"/>
      <c r="S175" s="266"/>
      <c r="T175" s="262"/>
      <c r="U175" s="262"/>
      <c r="V175" s="262"/>
      <c r="W175" s="262"/>
      <c r="X175" s="262"/>
      <c r="Y175" s="262"/>
      <c r="Z175" s="262"/>
      <c r="AA175" s="262"/>
      <c r="AB175" s="261"/>
      <c r="AC175" s="261"/>
      <c r="AD175" s="261"/>
      <c r="AE175" s="261"/>
      <c r="AF175" s="261"/>
      <c r="AG175" s="261"/>
      <c r="AH175" s="261"/>
      <c r="AI175" s="261"/>
      <c r="AJ175" s="261"/>
    </row>
    <row r="176" spans="1:38">
      <c r="A176" s="648" t="s">
        <v>1726</v>
      </c>
      <c r="B176" s="261"/>
      <c r="C176" s="261"/>
      <c r="D176" s="261"/>
      <c r="E176" s="261"/>
      <c r="F176" s="262"/>
      <c r="G176" s="262"/>
      <c r="H176" s="598"/>
      <c r="I176" s="598"/>
      <c r="J176" s="598"/>
      <c r="K176" s="598"/>
      <c r="L176" s="598"/>
      <c r="M176" s="598"/>
      <c r="N176" s="598"/>
      <c r="O176" s="598"/>
      <c r="P176" s="598"/>
      <c r="Q176" s="598"/>
      <c r="R176" s="262"/>
      <c r="S176" s="266"/>
      <c r="T176" s="262"/>
      <c r="U176" s="262"/>
      <c r="V176" s="262"/>
      <c r="W176" s="262"/>
      <c r="X176" s="262"/>
      <c r="Y176" s="262"/>
      <c r="Z176" s="262"/>
      <c r="AA176" s="262"/>
      <c r="AB176" s="261"/>
      <c r="AC176" s="261"/>
      <c r="AD176" s="261"/>
      <c r="AE176" s="261"/>
      <c r="AF176" s="261"/>
      <c r="AG176" s="261"/>
      <c r="AH176" s="261"/>
      <c r="AI176" s="261"/>
      <c r="AJ176" s="261"/>
      <c r="AL176" s="649" t="s">
        <v>1691</v>
      </c>
    </row>
    <row r="177" spans="1:72" ht="15.75">
      <c r="A177" s="265" t="s">
        <v>636</v>
      </c>
      <c r="B177" s="261"/>
      <c r="C177" s="261"/>
      <c r="D177" s="261"/>
      <c r="E177" s="261"/>
      <c r="F177" s="261"/>
      <c r="G177" s="261"/>
      <c r="H177" s="261" t="s">
        <v>637</v>
      </c>
      <c r="I177" s="261"/>
      <c r="J177" s="261"/>
      <c r="K177" s="261"/>
      <c r="L177" s="261"/>
      <c r="M177" s="261"/>
      <c r="N177" s="261"/>
      <c r="O177" s="261"/>
      <c r="P177" s="261"/>
      <c r="Q177" s="261"/>
      <c r="R177" s="261"/>
      <c r="S177" s="261"/>
      <c r="T177" s="261"/>
      <c r="U177" s="261"/>
      <c r="V177" s="261"/>
      <c r="W177" s="261"/>
      <c r="X177" s="261"/>
      <c r="Y177" s="261"/>
      <c r="Z177" s="261"/>
      <c r="AA177" s="261"/>
      <c r="AB177" s="261"/>
      <c r="AC177" s="261"/>
      <c r="AD177" s="261"/>
      <c r="AE177" s="261"/>
      <c r="AF177" s="261"/>
      <c r="AG177" s="261"/>
      <c r="AH177" s="261"/>
      <c r="AI177" s="261"/>
      <c r="AJ177" s="261"/>
      <c r="AL177" s="3763" t="s">
        <v>1737</v>
      </c>
      <c r="AM177" s="3763"/>
      <c r="AN177" s="3764"/>
      <c r="AO177" s="3745"/>
      <c r="AP177" s="3745"/>
      <c r="AQ177" s="3745"/>
      <c r="AR177" s="3745"/>
      <c r="AS177" s="3745"/>
      <c r="AT177" s="3745"/>
      <c r="AU177" s="3745"/>
      <c r="AV177" s="3745"/>
      <c r="AW177" s="3745"/>
      <c r="AX177" s="3745"/>
      <c r="AY177" s="3745"/>
      <c r="AZ177" s="3745"/>
      <c r="BA177" s="3745"/>
      <c r="BB177" s="3745"/>
      <c r="BC177" s="3745"/>
      <c r="BD177" s="3745"/>
      <c r="BE177" s="3745"/>
      <c r="BF177" s="3745"/>
      <c r="BG177" s="3745"/>
      <c r="BH177" s="3745"/>
      <c r="BI177" s="3745"/>
      <c r="BJ177" s="3745"/>
      <c r="BK177" s="3745"/>
      <c r="BL177" s="653"/>
      <c r="BM177" s="653"/>
      <c r="BN177" s="657"/>
      <c r="BO177" s="657"/>
      <c r="BP177" s="657"/>
      <c r="BQ177" s="657"/>
      <c r="BR177" s="657"/>
      <c r="BS177" s="658"/>
      <c r="BT177" s="267"/>
    </row>
    <row r="178" spans="1:72" ht="15.75">
      <c r="A178" s="3734" t="s">
        <v>638</v>
      </c>
      <c r="B178" s="3735"/>
      <c r="C178" s="3735"/>
      <c r="D178" s="3735"/>
      <c r="E178" s="3735"/>
      <c r="F178" s="3735"/>
      <c r="G178" s="3735"/>
      <c r="H178" s="3735"/>
      <c r="I178" s="3735"/>
      <c r="J178" s="3735"/>
      <c r="K178" s="3735"/>
      <c r="L178" s="3735"/>
      <c r="M178" s="3735"/>
      <c r="N178" s="3735"/>
      <c r="O178" s="3735"/>
      <c r="P178" s="3735"/>
      <c r="Q178" s="3735"/>
      <c r="R178" s="3735"/>
      <c r="S178" s="3735"/>
      <c r="T178" s="3735"/>
      <c r="U178" s="3735"/>
      <c r="V178" s="3735"/>
      <c r="W178" s="3735"/>
      <c r="X178" s="3735"/>
      <c r="Y178" s="3735"/>
      <c r="Z178" s="3735"/>
      <c r="AA178" s="3735"/>
      <c r="AB178" s="3735"/>
      <c r="AC178" s="3735"/>
      <c r="AD178" s="3735"/>
      <c r="AE178" s="3735"/>
      <c r="AF178" s="3735"/>
      <c r="AG178" s="3735"/>
      <c r="AH178" s="3735"/>
      <c r="AI178" s="3735"/>
      <c r="AJ178" s="3736"/>
      <c r="AL178" s="3730" t="s">
        <v>1663</v>
      </c>
      <c r="AM178" s="3648"/>
      <c r="AN178" s="3648"/>
      <c r="AO178" s="3648"/>
      <c r="AP178" s="3648"/>
      <c r="AQ178" s="3648"/>
      <c r="AR178" s="3648"/>
      <c r="AS178" s="3648"/>
      <c r="AT178" s="3648"/>
      <c r="AU178" s="3648"/>
      <c r="AV178" s="3648"/>
      <c r="AW178" s="3648"/>
      <c r="AX178" s="3648"/>
      <c r="AY178" s="3648"/>
      <c r="AZ178" s="3648"/>
      <c r="BA178" s="3648"/>
      <c r="BB178" s="3648"/>
      <c r="BC178" s="3648"/>
      <c r="BD178" s="3648"/>
      <c r="BE178" s="3648"/>
      <c r="BF178" s="3648"/>
      <c r="BG178" s="3648"/>
      <c r="BH178" s="3648"/>
      <c r="BI178" s="3648"/>
      <c r="BJ178" s="3648"/>
      <c r="BK178" s="3648"/>
      <c r="BL178" s="3648"/>
      <c r="BM178" s="3648"/>
      <c r="BN178" s="3648"/>
      <c r="BO178" s="3648"/>
      <c r="BP178" s="3648"/>
      <c r="BQ178" s="3648"/>
      <c r="BR178" s="3648"/>
      <c r="BS178" s="3648"/>
      <c r="BT178" s="3649"/>
    </row>
    <row r="179" spans="1:72" ht="15.75">
      <c r="A179" s="3695" t="s">
        <v>639</v>
      </c>
      <c r="B179" s="3696"/>
      <c r="C179" s="3696"/>
      <c r="D179" s="3697" t="s">
        <v>640</v>
      </c>
      <c r="E179" s="3697"/>
      <c r="F179" s="3697"/>
      <c r="G179" s="3697"/>
      <c r="H179" s="3697"/>
      <c r="I179" s="3697"/>
      <c r="J179" s="3697"/>
      <c r="K179" s="3697"/>
      <c r="L179" s="3697"/>
      <c r="M179" s="3697"/>
      <c r="N179" s="3697"/>
      <c r="O179" s="3697" t="s">
        <v>641</v>
      </c>
      <c r="P179" s="3697"/>
      <c r="Q179" s="3697"/>
      <c r="R179" s="3697"/>
      <c r="S179" s="3697"/>
      <c r="T179" s="3697"/>
      <c r="U179" s="3697"/>
      <c r="V179" s="3697"/>
      <c r="W179" s="3697"/>
      <c r="X179" s="3697"/>
      <c r="Y179" s="3697"/>
      <c r="Z179" s="3731" t="s">
        <v>642</v>
      </c>
      <c r="AA179" s="3732"/>
      <c r="AB179" s="3732"/>
      <c r="AC179" s="3732"/>
      <c r="AD179" s="3732"/>
      <c r="AE179" s="3732"/>
      <c r="AF179" s="3732"/>
      <c r="AG179" s="3732"/>
      <c r="AH179" s="3732"/>
      <c r="AI179" s="3732"/>
      <c r="AJ179" s="3733"/>
      <c r="AL179" s="3730" t="s">
        <v>1664</v>
      </c>
      <c r="AM179" s="3648"/>
      <c r="AN179" s="3648"/>
      <c r="AO179" s="3648"/>
      <c r="AP179" s="3648"/>
      <c r="AQ179" s="3648"/>
      <c r="AR179" s="3648"/>
      <c r="AS179" s="3648"/>
      <c r="AT179" s="3648"/>
      <c r="AU179" s="3648"/>
      <c r="AV179" s="3649"/>
      <c r="AW179" s="3647" t="s">
        <v>1665</v>
      </c>
      <c r="AX179" s="3648"/>
      <c r="AY179" s="3648"/>
      <c r="AZ179" s="3648"/>
      <c r="BA179" s="3648"/>
      <c r="BB179" s="3648"/>
      <c r="BC179" s="3648"/>
      <c r="BD179" s="3649"/>
      <c r="BE179" s="3647" t="s">
        <v>1666</v>
      </c>
      <c r="BF179" s="3648"/>
      <c r="BG179" s="3648"/>
      <c r="BH179" s="3648"/>
      <c r="BI179" s="3648"/>
      <c r="BJ179" s="3648"/>
      <c r="BK179" s="3648"/>
      <c r="BL179" s="3649"/>
      <c r="BM179" s="3647" t="s">
        <v>1667</v>
      </c>
      <c r="BN179" s="3648"/>
      <c r="BO179" s="3648"/>
      <c r="BP179" s="3648"/>
      <c r="BQ179" s="3648"/>
      <c r="BR179" s="3648"/>
      <c r="BS179" s="3648"/>
      <c r="BT179" s="3649"/>
    </row>
    <row r="180" spans="1:72" ht="18.75">
      <c r="A180" s="3696"/>
      <c r="B180" s="3696"/>
      <c r="C180" s="3696"/>
      <c r="D180" s="3698">
        <v>1</v>
      </c>
      <c r="E180" s="3696"/>
      <c r="F180" s="3696"/>
      <c r="G180" s="3696">
        <v>2</v>
      </c>
      <c r="H180" s="3696"/>
      <c r="I180" s="3696"/>
      <c r="J180" s="3696" t="s">
        <v>643</v>
      </c>
      <c r="K180" s="3696"/>
      <c r="L180" s="3696"/>
      <c r="M180" s="3696"/>
      <c r="N180" s="3696"/>
      <c r="O180" s="3698">
        <v>1</v>
      </c>
      <c r="P180" s="3696"/>
      <c r="Q180" s="3696"/>
      <c r="R180" s="3696">
        <v>2</v>
      </c>
      <c r="S180" s="3696"/>
      <c r="T180" s="3696"/>
      <c r="U180" s="3696" t="s">
        <v>643</v>
      </c>
      <c r="V180" s="3696"/>
      <c r="W180" s="3696"/>
      <c r="X180" s="3696"/>
      <c r="Y180" s="3696"/>
      <c r="Z180" s="3698">
        <v>1</v>
      </c>
      <c r="AA180" s="3696"/>
      <c r="AB180" s="3696"/>
      <c r="AC180" s="3696">
        <v>2</v>
      </c>
      <c r="AD180" s="3696"/>
      <c r="AE180" s="3696"/>
      <c r="AF180" s="3696" t="s">
        <v>643</v>
      </c>
      <c r="AG180" s="3696"/>
      <c r="AH180" s="3696"/>
      <c r="AI180" s="3696"/>
      <c r="AJ180" s="3696"/>
      <c r="AL180" s="3737" t="s">
        <v>1668</v>
      </c>
      <c r="AM180" s="3648"/>
      <c r="AN180" s="3648"/>
      <c r="AO180" s="3648"/>
      <c r="AP180" s="3648"/>
      <c r="AQ180" s="3648"/>
      <c r="AR180" s="3648"/>
      <c r="AS180" s="3648"/>
      <c r="AT180" s="3648"/>
      <c r="AU180" s="3648"/>
      <c r="AV180" s="3649"/>
      <c r="AW180" s="3724" t="s">
        <v>1727</v>
      </c>
      <c r="AX180" s="3725"/>
      <c r="AY180" s="3725"/>
      <c r="AZ180" s="3725"/>
      <c r="BA180" s="3725"/>
      <c r="BB180" s="3725"/>
      <c r="BC180" s="3725"/>
      <c r="BD180" s="3726"/>
      <c r="BE180" s="3724" t="s">
        <v>1727</v>
      </c>
      <c r="BF180" s="3725"/>
      <c r="BG180" s="3725"/>
      <c r="BH180" s="3725"/>
      <c r="BI180" s="3725"/>
      <c r="BJ180" s="3725"/>
      <c r="BK180" s="3725"/>
      <c r="BL180" s="3726"/>
      <c r="BM180" s="3724" t="s">
        <v>1669</v>
      </c>
      <c r="BN180" s="3725"/>
      <c r="BO180" s="3725"/>
      <c r="BP180" s="3725"/>
      <c r="BQ180" s="3725"/>
      <c r="BR180" s="3725"/>
      <c r="BS180" s="3725"/>
      <c r="BT180" s="3726"/>
    </row>
    <row r="181" spans="1:72" ht="18.75">
      <c r="A181" s="3704" t="s">
        <v>644</v>
      </c>
      <c r="B181" s="3705"/>
      <c r="C181" s="3705"/>
      <c r="D181" s="3636" t="s">
        <v>645</v>
      </c>
      <c r="E181" s="3636"/>
      <c r="F181" s="3636"/>
      <c r="G181" s="3636" t="s">
        <v>646</v>
      </c>
      <c r="H181" s="3636"/>
      <c r="I181" s="3636"/>
      <c r="J181" s="3636" t="s">
        <v>647</v>
      </c>
      <c r="K181" s="3636"/>
      <c r="L181" s="3636"/>
      <c r="M181" s="3636"/>
      <c r="N181" s="3636"/>
      <c r="O181" s="3636" t="s">
        <v>648</v>
      </c>
      <c r="P181" s="3636"/>
      <c r="Q181" s="3636"/>
      <c r="R181" s="3636" t="s">
        <v>648</v>
      </c>
      <c r="S181" s="3636"/>
      <c r="T181" s="3636"/>
      <c r="U181" s="3636" t="s">
        <v>648</v>
      </c>
      <c r="V181" s="3636"/>
      <c r="W181" s="3636"/>
      <c r="X181" s="3636"/>
      <c r="Y181" s="3636"/>
      <c r="Z181" s="3636" t="s">
        <v>649</v>
      </c>
      <c r="AA181" s="3636"/>
      <c r="AB181" s="3636"/>
      <c r="AC181" s="3636" t="s">
        <v>649</v>
      </c>
      <c r="AD181" s="3636"/>
      <c r="AE181" s="3636"/>
      <c r="AF181" s="3636" t="s">
        <v>649</v>
      </c>
      <c r="AG181" s="3636"/>
      <c r="AH181" s="3636"/>
      <c r="AI181" s="3636"/>
      <c r="AJ181" s="3636"/>
      <c r="AL181" s="3647" t="s">
        <v>1728</v>
      </c>
      <c r="AM181" s="3648"/>
      <c r="AN181" s="3648"/>
      <c r="AO181" s="3648"/>
      <c r="AP181" s="3648"/>
      <c r="AQ181" s="3648"/>
      <c r="AR181" s="3648"/>
      <c r="AS181" s="3648"/>
      <c r="AT181" s="3648"/>
      <c r="AU181" s="3648"/>
      <c r="AV181" s="3649"/>
      <c r="AW181" s="3724" t="s">
        <v>1669</v>
      </c>
      <c r="AX181" s="3725"/>
      <c r="AY181" s="3725"/>
      <c r="AZ181" s="3725"/>
      <c r="BA181" s="3725"/>
      <c r="BB181" s="3725"/>
      <c r="BC181" s="3725"/>
      <c r="BD181" s="3726"/>
      <c r="BE181" s="3724" t="s">
        <v>1669</v>
      </c>
      <c r="BF181" s="3725"/>
      <c r="BG181" s="3725"/>
      <c r="BH181" s="3725"/>
      <c r="BI181" s="3725"/>
      <c r="BJ181" s="3725"/>
      <c r="BK181" s="3725"/>
      <c r="BL181" s="3726"/>
      <c r="BM181" s="3724" t="s">
        <v>1727</v>
      </c>
      <c r="BN181" s="3725"/>
      <c r="BO181" s="3725"/>
      <c r="BP181" s="3725"/>
      <c r="BQ181" s="3725"/>
      <c r="BR181" s="3725"/>
      <c r="BS181" s="3725"/>
      <c r="BT181" s="3726"/>
    </row>
    <row r="182" spans="1:72" ht="18.75">
      <c r="A182" s="3706" t="s">
        <v>650</v>
      </c>
      <c r="B182" s="3707"/>
      <c r="C182" s="3708"/>
      <c r="D182" s="3636" t="s">
        <v>651</v>
      </c>
      <c r="E182" s="3636"/>
      <c r="F182" s="3636"/>
      <c r="G182" s="3636" t="s">
        <v>651</v>
      </c>
      <c r="H182" s="3636"/>
      <c r="I182" s="3636"/>
      <c r="J182" s="3636" t="s">
        <v>651</v>
      </c>
      <c r="K182" s="3636"/>
      <c r="L182" s="3636"/>
      <c r="M182" s="3636"/>
      <c r="N182" s="3636"/>
      <c r="O182" s="3636" t="s">
        <v>652</v>
      </c>
      <c r="P182" s="3636"/>
      <c r="Q182" s="3636"/>
      <c r="R182" s="3636" t="s">
        <v>652</v>
      </c>
      <c r="S182" s="3636"/>
      <c r="T182" s="3636"/>
      <c r="U182" s="3636" t="s">
        <v>652</v>
      </c>
      <c r="V182" s="3636"/>
      <c r="W182" s="3636"/>
      <c r="X182" s="3636"/>
      <c r="Y182" s="3636"/>
      <c r="Z182" s="3636" t="s">
        <v>653</v>
      </c>
      <c r="AA182" s="3636"/>
      <c r="AB182" s="3636"/>
      <c r="AC182" s="3636" t="s">
        <v>649</v>
      </c>
      <c r="AD182" s="3636"/>
      <c r="AE182" s="3636"/>
      <c r="AF182" s="3636" t="s">
        <v>654</v>
      </c>
      <c r="AG182" s="3636"/>
      <c r="AH182" s="3636"/>
      <c r="AI182" s="3636"/>
      <c r="AJ182" s="3636"/>
      <c r="AL182" s="3737" t="s">
        <v>1729</v>
      </c>
      <c r="AM182" s="3648"/>
      <c r="AN182" s="3648"/>
      <c r="AO182" s="3648"/>
      <c r="AP182" s="3648"/>
      <c r="AQ182" s="3648"/>
      <c r="AR182" s="3648"/>
      <c r="AS182" s="3648"/>
      <c r="AT182" s="3648"/>
      <c r="AU182" s="3648"/>
      <c r="AV182" s="3649"/>
      <c r="AW182" s="3724" t="s">
        <v>1669</v>
      </c>
      <c r="AX182" s="3725"/>
      <c r="AY182" s="3725"/>
      <c r="AZ182" s="3725"/>
      <c r="BA182" s="3725"/>
      <c r="BB182" s="3725"/>
      <c r="BC182" s="3725"/>
      <c r="BD182" s="3726"/>
      <c r="BE182" s="3724" t="s">
        <v>1730</v>
      </c>
      <c r="BF182" s="3725"/>
      <c r="BG182" s="3725"/>
      <c r="BH182" s="3725"/>
      <c r="BI182" s="3725"/>
      <c r="BJ182" s="3725"/>
      <c r="BK182" s="3725"/>
      <c r="BL182" s="3726"/>
      <c r="BM182" s="3724" t="s">
        <v>1727</v>
      </c>
      <c r="BN182" s="3725"/>
      <c r="BO182" s="3725"/>
      <c r="BP182" s="3725"/>
      <c r="BQ182" s="3725"/>
      <c r="BR182" s="3725"/>
      <c r="BS182" s="3725"/>
      <c r="BT182" s="3726"/>
    </row>
    <row r="183" spans="1:72" ht="18.75">
      <c r="A183" s="3709" t="s">
        <v>655</v>
      </c>
      <c r="B183" s="3707"/>
      <c r="C183" s="3708"/>
      <c r="D183" s="3636" t="s">
        <v>656</v>
      </c>
      <c r="E183" s="3636"/>
      <c r="F183" s="3636"/>
      <c r="G183" s="3636" t="s">
        <v>656</v>
      </c>
      <c r="H183" s="3636"/>
      <c r="I183" s="3636"/>
      <c r="J183" s="3636" t="s">
        <v>656</v>
      </c>
      <c r="K183" s="3636"/>
      <c r="L183" s="3636"/>
      <c r="M183" s="3636"/>
      <c r="N183" s="3636"/>
      <c r="O183" s="3636" t="s">
        <v>657</v>
      </c>
      <c r="P183" s="3636"/>
      <c r="Q183" s="3636"/>
      <c r="R183" s="3636" t="s">
        <v>657</v>
      </c>
      <c r="S183" s="3636"/>
      <c r="T183" s="3636"/>
      <c r="U183" s="3636" t="s">
        <v>657</v>
      </c>
      <c r="V183" s="3636"/>
      <c r="W183" s="3636"/>
      <c r="X183" s="3636"/>
      <c r="Y183" s="3636"/>
      <c r="Z183" s="3636" t="s">
        <v>653</v>
      </c>
      <c r="AA183" s="3636"/>
      <c r="AB183" s="3636"/>
      <c r="AC183" s="3636" t="s">
        <v>658</v>
      </c>
      <c r="AD183" s="3636"/>
      <c r="AE183" s="3636"/>
      <c r="AF183" s="3636" t="s">
        <v>659</v>
      </c>
      <c r="AG183" s="3636"/>
      <c r="AH183" s="3636"/>
      <c r="AI183" s="3636"/>
      <c r="AJ183" s="3636"/>
      <c r="AL183" s="3647" t="s">
        <v>1731</v>
      </c>
      <c r="AM183" s="3648"/>
      <c r="AN183" s="3648"/>
      <c r="AO183" s="3648"/>
      <c r="AP183" s="3648"/>
      <c r="AQ183" s="3648"/>
      <c r="AR183" s="3648"/>
      <c r="AS183" s="3648"/>
      <c r="AT183" s="3648"/>
      <c r="AU183" s="3648"/>
      <c r="AV183" s="3649"/>
      <c r="AW183" s="3724" t="s">
        <v>1655</v>
      </c>
      <c r="AX183" s="3725"/>
      <c r="AY183" s="3725"/>
      <c r="AZ183" s="3725"/>
      <c r="BA183" s="3725"/>
      <c r="BB183" s="3725"/>
      <c r="BC183" s="3725"/>
      <c r="BD183" s="3726"/>
      <c r="BE183" s="3724" t="s">
        <v>1694</v>
      </c>
      <c r="BF183" s="3725"/>
      <c r="BG183" s="3725"/>
      <c r="BH183" s="3725"/>
      <c r="BI183" s="3725"/>
      <c r="BJ183" s="3725"/>
      <c r="BK183" s="3725"/>
      <c r="BL183" s="3726"/>
      <c r="BM183" s="3724" t="s">
        <v>1727</v>
      </c>
      <c r="BN183" s="3725"/>
      <c r="BO183" s="3725"/>
      <c r="BP183" s="3725"/>
      <c r="BQ183" s="3725"/>
      <c r="BR183" s="3725"/>
      <c r="BS183" s="3725"/>
      <c r="BT183" s="3726"/>
    </row>
    <row r="184" spans="1:72" ht="18.75">
      <c r="A184" s="3706" t="s">
        <v>660</v>
      </c>
      <c r="B184" s="3707"/>
      <c r="C184" s="3708"/>
      <c r="D184" s="3636" t="s">
        <v>661</v>
      </c>
      <c r="E184" s="3636"/>
      <c r="F184" s="3636"/>
      <c r="G184" s="3636" t="s">
        <v>661</v>
      </c>
      <c r="H184" s="3636"/>
      <c r="I184" s="3636"/>
      <c r="J184" s="3636" t="s">
        <v>661</v>
      </c>
      <c r="K184" s="3636"/>
      <c r="L184" s="3636"/>
      <c r="M184" s="3636"/>
      <c r="N184" s="3636"/>
      <c r="O184" s="3636" t="s">
        <v>662</v>
      </c>
      <c r="P184" s="3636"/>
      <c r="Q184" s="3636"/>
      <c r="R184" s="3636" t="s">
        <v>663</v>
      </c>
      <c r="S184" s="3636"/>
      <c r="T184" s="3636"/>
      <c r="U184" s="3636" t="s">
        <v>664</v>
      </c>
      <c r="V184" s="3636"/>
      <c r="W184" s="3636"/>
      <c r="X184" s="3636"/>
      <c r="Y184" s="3636"/>
      <c r="Z184" s="3636" t="s">
        <v>658</v>
      </c>
      <c r="AA184" s="3636"/>
      <c r="AB184" s="3636"/>
      <c r="AC184" s="3636" t="s">
        <v>658</v>
      </c>
      <c r="AD184" s="3636"/>
      <c r="AE184" s="3636"/>
      <c r="AF184" s="3636" t="s">
        <v>658</v>
      </c>
      <c r="AG184" s="3636"/>
      <c r="AH184" s="3636"/>
      <c r="AI184" s="3636"/>
      <c r="AJ184" s="3636"/>
      <c r="AL184" s="3647" t="s">
        <v>1732</v>
      </c>
      <c r="AM184" s="3648"/>
      <c r="AN184" s="3648"/>
      <c r="AO184" s="3648"/>
      <c r="AP184" s="3648"/>
      <c r="AQ184" s="3648"/>
      <c r="AR184" s="3648"/>
      <c r="AS184" s="3648"/>
      <c r="AT184" s="3648"/>
      <c r="AU184" s="3648"/>
      <c r="AV184" s="3649"/>
      <c r="AW184" s="3724" t="s">
        <v>1669</v>
      </c>
      <c r="AX184" s="3725"/>
      <c r="AY184" s="3725"/>
      <c r="AZ184" s="3725"/>
      <c r="BA184" s="3725"/>
      <c r="BB184" s="3725"/>
      <c r="BC184" s="3725"/>
      <c r="BD184" s="3726"/>
      <c r="BE184" s="3724" t="s">
        <v>1730</v>
      </c>
      <c r="BF184" s="3725"/>
      <c r="BG184" s="3725"/>
      <c r="BH184" s="3725"/>
      <c r="BI184" s="3725"/>
      <c r="BJ184" s="3725"/>
      <c r="BK184" s="3725"/>
      <c r="BL184" s="3726"/>
      <c r="BM184" s="3724" t="s">
        <v>1727</v>
      </c>
      <c r="BN184" s="3725"/>
      <c r="BO184" s="3725"/>
      <c r="BP184" s="3725"/>
      <c r="BQ184" s="3725"/>
      <c r="BR184" s="3725"/>
      <c r="BS184" s="3725"/>
      <c r="BT184" s="3726"/>
    </row>
    <row r="185" spans="1:72" ht="18.75">
      <c r="A185" s="3706" t="s">
        <v>665</v>
      </c>
      <c r="B185" s="3707"/>
      <c r="C185" s="3708"/>
      <c r="D185" s="3636" t="s">
        <v>652</v>
      </c>
      <c r="E185" s="3636"/>
      <c r="F185" s="3636"/>
      <c r="G185" s="3636" t="s">
        <v>652</v>
      </c>
      <c r="H185" s="3636"/>
      <c r="I185" s="3636"/>
      <c r="J185" s="3636" t="s">
        <v>652</v>
      </c>
      <c r="K185" s="3636"/>
      <c r="L185" s="3636"/>
      <c r="M185" s="3636"/>
      <c r="N185" s="3636"/>
      <c r="O185" s="3636" t="s">
        <v>652</v>
      </c>
      <c r="P185" s="3636"/>
      <c r="Q185" s="3636"/>
      <c r="R185" s="3636" t="s">
        <v>662</v>
      </c>
      <c r="S185" s="3636"/>
      <c r="T185" s="3636"/>
      <c r="U185" s="3636" t="s">
        <v>666</v>
      </c>
      <c r="V185" s="3636"/>
      <c r="W185" s="3636"/>
      <c r="X185" s="3636"/>
      <c r="Y185" s="3636"/>
      <c r="Z185" s="3636" t="s">
        <v>667</v>
      </c>
      <c r="AA185" s="3636"/>
      <c r="AB185" s="3636"/>
      <c r="AC185" s="3636" t="s">
        <v>652</v>
      </c>
      <c r="AD185" s="3636"/>
      <c r="AE185" s="3636"/>
      <c r="AF185" s="3636" t="s">
        <v>658</v>
      </c>
      <c r="AG185" s="3636"/>
      <c r="AH185" s="3636"/>
      <c r="AI185" s="3636"/>
      <c r="AJ185" s="3636"/>
      <c r="AL185" s="3647" t="s">
        <v>1733</v>
      </c>
      <c r="AM185" s="3648"/>
      <c r="AN185" s="3648"/>
      <c r="AO185" s="3648"/>
      <c r="AP185" s="3648"/>
      <c r="AQ185" s="3648"/>
      <c r="AR185" s="3648"/>
      <c r="AS185" s="3648"/>
      <c r="AT185" s="3648"/>
      <c r="AU185" s="3648"/>
      <c r="AV185" s="3649"/>
      <c r="AW185" s="3724" t="s">
        <v>1669</v>
      </c>
      <c r="AX185" s="3725"/>
      <c r="AY185" s="3725"/>
      <c r="AZ185" s="3725"/>
      <c r="BA185" s="3725"/>
      <c r="BB185" s="3725"/>
      <c r="BC185" s="3725"/>
      <c r="BD185" s="3726"/>
      <c r="BE185" s="3724" t="s">
        <v>1655</v>
      </c>
      <c r="BF185" s="3725"/>
      <c r="BG185" s="3725"/>
      <c r="BH185" s="3725"/>
      <c r="BI185" s="3725"/>
      <c r="BJ185" s="3725"/>
      <c r="BK185" s="3725"/>
      <c r="BL185" s="3726"/>
      <c r="BM185" s="3724" t="s">
        <v>1655</v>
      </c>
      <c r="BN185" s="3725"/>
      <c r="BO185" s="3725"/>
      <c r="BP185" s="3725"/>
      <c r="BQ185" s="3725"/>
      <c r="BR185" s="3725"/>
      <c r="BS185" s="3725"/>
      <c r="BT185" s="3726"/>
    </row>
    <row r="186" spans="1:72" ht="16.5">
      <c r="A186" s="3706" t="s">
        <v>668</v>
      </c>
      <c r="B186" s="3707"/>
      <c r="C186" s="3708"/>
      <c r="D186" s="3636" t="s">
        <v>652</v>
      </c>
      <c r="E186" s="3636"/>
      <c r="F186" s="3636"/>
      <c r="G186" s="3636" t="s">
        <v>652</v>
      </c>
      <c r="H186" s="3636"/>
      <c r="I186" s="3636"/>
      <c r="J186" s="3636" t="s">
        <v>652</v>
      </c>
      <c r="K186" s="3636"/>
      <c r="L186" s="3636"/>
      <c r="M186" s="3636"/>
      <c r="N186" s="3636"/>
      <c r="O186" s="3636" t="s">
        <v>661</v>
      </c>
      <c r="P186" s="3636"/>
      <c r="Q186" s="3636"/>
      <c r="R186" s="3636" t="s">
        <v>661</v>
      </c>
      <c r="S186" s="3636"/>
      <c r="T186" s="3636"/>
      <c r="U186" s="3636" t="s">
        <v>661</v>
      </c>
      <c r="V186" s="3636"/>
      <c r="W186" s="3636"/>
      <c r="X186" s="3636"/>
      <c r="Y186" s="3636"/>
      <c r="Z186" s="3636" t="s">
        <v>661</v>
      </c>
      <c r="AA186" s="3636"/>
      <c r="AB186" s="3636"/>
      <c r="AC186" s="3636" t="s">
        <v>661</v>
      </c>
      <c r="AD186" s="3636"/>
      <c r="AE186" s="3636"/>
      <c r="AF186" s="3636" t="s">
        <v>661</v>
      </c>
      <c r="AG186" s="3636"/>
      <c r="AH186" s="3636"/>
      <c r="AI186" s="3636"/>
      <c r="AJ186" s="3636"/>
      <c r="AL186" s="3730" t="s">
        <v>1678</v>
      </c>
      <c r="AM186" s="3648"/>
      <c r="AN186" s="3648"/>
      <c r="AO186" s="3648"/>
      <c r="AP186" s="3648"/>
      <c r="AQ186" s="3648"/>
      <c r="AR186" s="3648"/>
      <c r="AS186" s="3648"/>
      <c r="AT186" s="3648"/>
      <c r="AU186" s="3648"/>
      <c r="AV186" s="3648"/>
      <c r="AW186" s="3648"/>
      <c r="AX186" s="3648"/>
      <c r="AY186" s="3648"/>
      <c r="AZ186" s="3648"/>
      <c r="BA186" s="3648"/>
      <c r="BB186" s="3648"/>
      <c r="BC186" s="3648"/>
      <c r="BD186" s="3648"/>
      <c r="BE186" s="3648"/>
      <c r="BF186" s="3648"/>
      <c r="BG186" s="3648"/>
      <c r="BH186" s="3648"/>
      <c r="BI186" s="3648"/>
      <c r="BJ186" s="3648"/>
      <c r="BK186" s="3648"/>
      <c r="BL186" s="3648"/>
      <c r="BM186" s="3648"/>
      <c r="BN186" s="3648"/>
      <c r="BO186" s="3648"/>
      <c r="BP186" s="3648"/>
      <c r="BQ186" s="3648"/>
      <c r="BR186" s="3648"/>
      <c r="BS186" s="3648"/>
      <c r="BT186" s="3649"/>
    </row>
    <row r="187" spans="1:72" ht="15.75">
      <c r="A187" s="3710" t="s">
        <v>669</v>
      </c>
      <c r="B187" s="3711"/>
      <c r="C187" s="3711"/>
      <c r="D187" s="3711"/>
      <c r="E187" s="3711"/>
      <c r="F187" s="3711"/>
      <c r="G187" s="3711"/>
      <c r="H187" s="3711"/>
      <c r="I187" s="3711"/>
      <c r="J187" s="3711"/>
      <c r="K187" s="3711"/>
      <c r="L187" s="3711"/>
      <c r="M187" s="3711"/>
      <c r="N187" s="3711"/>
      <c r="O187" s="3711"/>
      <c r="P187" s="3711"/>
      <c r="Q187" s="3711"/>
      <c r="R187" s="3711"/>
      <c r="S187" s="3711"/>
      <c r="T187" s="3711"/>
      <c r="U187" s="3711"/>
      <c r="V187" s="3711"/>
      <c r="W187" s="3711"/>
      <c r="X187" s="3711"/>
      <c r="Y187" s="3711"/>
      <c r="Z187" s="3711"/>
      <c r="AA187" s="3711"/>
      <c r="AB187" s="3711"/>
      <c r="AC187" s="3711"/>
      <c r="AD187" s="3711"/>
      <c r="AE187" s="3711"/>
      <c r="AF187" s="3711"/>
      <c r="AG187" s="3711"/>
      <c r="AH187" s="3711"/>
      <c r="AI187" s="3711"/>
      <c r="AJ187" s="3712"/>
      <c r="AL187" s="3743" t="s">
        <v>1664</v>
      </c>
      <c r="AM187" s="3744"/>
      <c r="AN187" s="3744"/>
      <c r="AO187" s="3744"/>
      <c r="AP187" s="3543"/>
      <c r="AQ187" s="3647" t="s">
        <v>1679</v>
      </c>
      <c r="AR187" s="3648"/>
      <c r="AS187" s="3648"/>
      <c r="AT187" s="3648"/>
      <c r="AU187" s="3648"/>
      <c r="AV187" s="3648"/>
      <c r="AW187" s="3648"/>
      <c r="AX187" s="3648"/>
      <c r="AY187" s="3648"/>
      <c r="AZ187" s="3649"/>
      <c r="BA187" s="3647" t="s">
        <v>1680</v>
      </c>
      <c r="BB187" s="3648"/>
      <c r="BC187" s="3648"/>
      <c r="BD187" s="3648"/>
      <c r="BE187" s="3648"/>
      <c r="BF187" s="3648"/>
      <c r="BG187" s="3648"/>
      <c r="BH187" s="3648"/>
      <c r="BI187" s="3648"/>
      <c r="BJ187" s="3649"/>
      <c r="BK187" s="3463" t="s">
        <v>1681</v>
      </c>
      <c r="BL187" s="3501"/>
      <c r="BM187" s="3501"/>
      <c r="BN187" s="3501"/>
      <c r="BO187" s="3501"/>
      <c r="BP187" s="3501"/>
      <c r="BQ187" s="3501"/>
      <c r="BR187" s="3501"/>
      <c r="BS187" s="3501"/>
      <c r="BT187" s="3500"/>
    </row>
    <row r="188" spans="1:72" ht="15.75">
      <c r="A188" s="3713" t="s">
        <v>639</v>
      </c>
      <c r="B188" s="3636"/>
      <c r="C188" s="3636"/>
      <c r="D188" s="3636" t="s">
        <v>670</v>
      </c>
      <c r="E188" s="3636"/>
      <c r="F188" s="3636"/>
      <c r="G188" s="3636"/>
      <c r="H188" s="3636"/>
      <c r="I188" s="3636"/>
      <c r="J188" s="3636"/>
      <c r="K188" s="3636"/>
      <c r="L188" s="3636"/>
      <c r="M188" s="3636"/>
      <c r="N188" s="3636"/>
      <c r="O188" s="3636" t="s">
        <v>671</v>
      </c>
      <c r="P188" s="3636"/>
      <c r="Q188" s="3636"/>
      <c r="R188" s="3636"/>
      <c r="S188" s="3636"/>
      <c r="T188" s="3636"/>
      <c r="U188" s="3636"/>
      <c r="V188" s="3636"/>
      <c r="W188" s="3636"/>
      <c r="X188" s="3636"/>
      <c r="Y188" s="3636"/>
      <c r="Z188" s="3640" t="s">
        <v>672</v>
      </c>
      <c r="AA188" s="3641"/>
      <c r="AB188" s="3641"/>
      <c r="AC188" s="3641"/>
      <c r="AD188" s="3641"/>
      <c r="AE188" s="3641"/>
      <c r="AF188" s="3641"/>
      <c r="AG188" s="3641"/>
      <c r="AH188" s="3641"/>
      <c r="AI188" s="3641"/>
      <c r="AJ188" s="3642"/>
      <c r="AL188" s="2447"/>
      <c r="AM188" s="3745"/>
      <c r="AN188" s="3745"/>
      <c r="AO188" s="3745"/>
      <c r="AP188" s="2448"/>
      <c r="AQ188" s="3463" t="s">
        <v>1682</v>
      </c>
      <c r="AR188" s="3501"/>
      <c r="AS188" s="3501"/>
      <c r="AT188" s="3501"/>
      <c r="AU188" s="3500"/>
      <c r="AV188" s="3463" t="s">
        <v>1683</v>
      </c>
      <c r="AW188" s="3501"/>
      <c r="AX188" s="3501"/>
      <c r="AY188" s="3501"/>
      <c r="AZ188" s="3500"/>
      <c r="BA188" s="3463" t="s">
        <v>1682</v>
      </c>
      <c r="BB188" s="3501"/>
      <c r="BC188" s="3501"/>
      <c r="BD188" s="3501"/>
      <c r="BE188" s="3500"/>
      <c r="BF188" s="3463" t="s">
        <v>1683</v>
      </c>
      <c r="BG188" s="3501"/>
      <c r="BH188" s="3501"/>
      <c r="BI188" s="3501"/>
      <c r="BJ188" s="3500"/>
      <c r="BK188" s="3463" t="s">
        <v>1682</v>
      </c>
      <c r="BL188" s="3501"/>
      <c r="BM188" s="3501"/>
      <c r="BN188" s="3501"/>
      <c r="BO188" s="3500"/>
      <c r="BP188" s="3463" t="s">
        <v>1683</v>
      </c>
      <c r="BQ188" s="3501"/>
      <c r="BR188" s="3501"/>
      <c r="BS188" s="3501"/>
      <c r="BT188" s="3500"/>
    </row>
    <row r="189" spans="1:72" ht="18.75">
      <c r="A189" s="3636"/>
      <c r="B189" s="3636"/>
      <c r="C189" s="3636"/>
      <c r="D189" s="3635">
        <v>1</v>
      </c>
      <c r="E189" s="3636"/>
      <c r="F189" s="3636"/>
      <c r="G189" s="3636">
        <v>2</v>
      </c>
      <c r="H189" s="3636"/>
      <c r="I189" s="3636"/>
      <c r="J189" s="3714" t="s">
        <v>643</v>
      </c>
      <c r="K189" s="3636"/>
      <c r="L189" s="3636"/>
      <c r="M189" s="3636"/>
      <c r="N189" s="3636"/>
      <c r="O189" s="3635">
        <v>1</v>
      </c>
      <c r="P189" s="3636"/>
      <c r="Q189" s="3636"/>
      <c r="R189" s="3636">
        <v>2</v>
      </c>
      <c r="S189" s="3636"/>
      <c r="T189" s="3636"/>
      <c r="U189" s="3714" t="s">
        <v>643</v>
      </c>
      <c r="V189" s="3636"/>
      <c r="W189" s="3636"/>
      <c r="X189" s="3636"/>
      <c r="Y189" s="3636"/>
      <c r="Z189" s="3635">
        <v>1</v>
      </c>
      <c r="AA189" s="3636"/>
      <c r="AB189" s="3636"/>
      <c r="AC189" s="3636">
        <v>2</v>
      </c>
      <c r="AD189" s="3636"/>
      <c r="AE189" s="3636"/>
      <c r="AF189" s="3714" t="s">
        <v>643</v>
      </c>
      <c r="AG189" s="3636"/>
      <c r="AH189" s="3636"/>
      <c r="AI189" s="3636"/>
      <c r="AJ189" s="3636"/>
      <c r="AL189" s="3737" t="s">
        <v>1668</v>
      </c>
      <c r="AM189" s="3648"/>
      <c r="AN189" s="3648"/>
      <c r="AO189" s="3648"/>
      <c r="AP189" s="3648"/>
      <c r="AQ189" s="3727" t="s">
        <v>1669</v>
      </c>
      <c r="AR189" s="3728"/>
      <c r="AS189" s="3728"/>
      <c r="AT189" s="3728"/>
      <c r="AU189" s="3729"/>
      <c r="AV189" s="3727" t="s">
        <v>1727</v>
      </c>
      <c r="AW189" s="3728"/>
      <c r="AX189" s="3728"/>
      <c r="AY189" s="3728"/>
      <c r="AZ189" s="3729"/>
      <c r="BA189" s="3727" t="s">
        <v>1727</v>
      </c>
      <c r="BB189" s="3728"/>
      <c r="BC189" s="3728"/>
      <c r="BD189" s="3728"/>
      <c r="BE189" s="3729"/>
      <c r="BF189" s="3727" t="s">
        <v>1727</v>
      </c>
      <c r="BG189" s="3728"/>
      <c r="BH189" s="3728"/>
      <c r="BI189" s="3728"/>
      <c r="BJ189" s="3729"/>
      <c r="BK189" s="3727" t="s">
        <v>1669</v>
      </c>
      <c r="BL189" s="3728"/>
      <c r="BM189" s="3728"/>
      <c r="BN189" s="3728"/>
      <c r="BO189" s="3729"/>
      <c r="BP189" s="3727" t="s">
        <v>1730</v>
      </c>
      <c r="BQ189" s="3728"/>
      <c r="BR189" s="3728"/>
      <c r="BS189" s="3728"/>
      <c r="BT189" s="3729"/>
    </row>
    <row r="190" spans="1:72" ht="18.75">
      <c r="A190" s="3640" t="s">
        <v>673</v>
      </c>
      <c r="B190" s="3641"/>
      <c r="C190" s="3641"/>
      <c r="D190" s="3641"/>
      <c r="E190" s="3641"/>
      <c r="F190" s="3641"/>
      <c r="G190" s="3641"/>
      <c r="H190" s="3641"/>
      <c r="I190" s="3641"/>
      <c r="J190" s="3641"/>
      <c r="K190" s="3641"/>
      <c r="L190" s="3641"/>
      <c r="M190" s="3641"/>
      <c r="N190" s="3641"/>
      <c r="O190" s="3641"/>
      <c r="P190" s="3641"/>
      <c r="Q190" s="3641"/>
      <c r="R190" s="3641"/>
      <c r="S190" s="3641"/>
      <c r="T190" s="3641"/>
      <c r="U190" s="3641"/>
      <c r="V190" s="3641"/>
      <c r="W190" s="3641"/>
      <c r="X190" s="3641"/>
      <c r="Y190" s="3641"/>
      <c r="Z190" s="3641"/>
      <c r="AA190" s="3641"/>
      <c r="AB190" s="3641"/>
      <c r="AC190" s="3641"/>
      <c r="AD190" s="3641"/>
      <c r="AE190" s="3641"/>
      <c r="AF190" s="3641"/>
      <c r="AG190" s="3641"/>
      <c r="AH190" s="3641"/>
      <c r="AI190" s="3641"/>
      <c r="AJ190" s="3642"/>
      <c r="AL190" s="3737" t="s">
        <v>1729</v>
      </c>
      <c r="AM190" s="3648"/>
      <c r="AN190" s="3648"/>
      <c r="AO190" s="3648"/>
      <c r="AP190" s="3649"/>
      <c r="AQ190" s="3727" t="s">
        <v>1669</v>
      </c>
      <c r="AR190" s="3728"/>
      <c r="AS190" s="3728"/>
      <c r="AT190" s="3728"/>
      <c r="AU190" s="3729"/>
      <c r="AV190" s="3727" t="s">
        <v>1734</v>
      </c>
      <c r="AW190" s="3728"/>
      <c r="AX190" s="3728"/>
      <c r="AY190" s="3728"/>
      <c r="AZ190" s="3729"/>
      <c r="BA190" s="3727" t="s">
        <v>1727</v>
      </c>
      <c r="BB190" s="3728"/>
      <c r="BC190" s="3728"/>
      <c r="BD190" s="3728"/>
      <c r="BE190" s="3729"/>
      <c r="BF190" s="3727" t="s">
        <v>1669</v>
      </c>
      <c r="BG190" s="3728"/>
      <c r="BH190" s="3728"/>
      <c r="BI190" s="3728"/>
      <c r="BJ190" s="3729"/>
      <c r="BK190" s="3727" t="s">
        <v>1669</v>
      </c>
      <c r="BL190" s="3728"/>
      <c r="BM190" s="3728"/>
      <c r="BN190" s="3728"/>
      <c r="BO190" s="3729"/>
      <c r="BP190" s="3727" t="s">
        <v>1734</v>
      </c>
      <c r="BQ190" s="3728"/>
      <c r="BR190" s="3728"/>
      <c r="BS190" s="3728"/>
      <c r="BT190" s="3729"/>
    </row>
    <row r="191" spans="1:72" ht="18.75">
      <c r="A191" s="3639" t="s">
        <v>644</v>
      </c>
      <c r="B191" s="3636"/>
      <c r="C191" s="3636"/>
      <c r="D191" s="3636" t="s">
        <v>674</v>
      </c>
      <c r="E191" s="3636"/>
      <c r="F191" s="3636"/>
      <c r="G191" s="3636" t="s">
        <v>652</v>
      </c>
      <c r="H191" s="3636"/>
      <c r="I191" s="3636"/>
      <c r="J191" s="3636" t="s">
        <v>675</v>
      </c>
      <c r="K191" s="3636"/>
      <c r="L191" s="3636"/>
      <c r="M191" s="3636"/>
      <c r="N191" s="3636"/>
      <c r="O191" s="3636" t="s">
        <v>658</v>
      </c>
      <c r="P191" s="3636"/>
      <c r="Q191" s="3636"/>
      <c r="R191" s="3636" t="s">
        <v>658</v>
      </c>
      <c r="S191" s="3636"/>
      <c r="T191" s="3636"/>
      <c r="U191" s="3636" t="s">
        <v>658</v>
      </c>
      <c r="V191" s="3636"/>
      <c r="W191" s="3636"/>
      <c r="X191" s="3636"/>
      <c r="Y191" s="3636"/>
      <c r="Z191" s="3636" t="s">
        <v>652</v>
      </c>
      <c r="AA191" s="3636"/>
      <c r="AB191" s="3636"/>
      <c r="AC191" s="3636" t="s">
        <v>676</v>
      </c>
      <c r="AD191" s="3636"/>
      <c r="AE191" s="3636"/>
      <c r="AF191" s="3636" t="s">
        <v>651</v>
      </c>
      <c r="AG191" s="3636"/>
      <c r="AH191" s="3636"/>
      <c r="AI191" s="3636"/>
      <c r="AJ191" s="3636"/>
      <c r="AL191" s="3647" t="s">
        <v>1731</v>
      </c>
      <c r="AM191" s="3648"/>
      <c r="AN191" s="3648"/>
      <c r="AO191" s="3648"/>
      <c r="AP191" s="3649"/>
      <c r="AQ191" s="3727" t="s">
        <v>1655</v>
      </c>
      <c r="AR191" s="3728"/>
      <c r="AS191" s="3728"/>
      <c r="AT191" s="3728"/>
      <c r="AU191" s="3729"/>
      <c r="AV191" s="3727" t="s">
        <v>1735</v>
      </c>
      <c r="AW191" s="3728"/>
      <c r="AX191" s="3728"/>
      <c r="AY191" s="3728"/>
      <c r="AZ191" s="3729"/>
      <c r="BA191" s="3727" t="s">
        <v>1655</v>
      </c>
      <c r="BB191" s="3728"/>
      <c r="BC191" s="3728"/>
      <c r="BD191" s="3728"/>
      <c r="BE191" s="3729"/>
      <c r="BF191" s="3727" t="s">
        <v>1669</v>
      </c>
      <c r="BG191" s="3728"/>
      <c r="BH191" s="3728"/>
      <c r="BI191" s="3728"/>
      <c r="BJ191" s="3729"/>
      <c r="BK191" s="3727" t="s">
        <v>1655</v>
      </c>
      <c r="BL191" s="3728"/>
      <c r="BM191" s="3728"/>
      <c r="BN191" s="3728"/>
      <c r="BO191" s="3729"/>
      <c r="BP191" s="3727" t="s">
        <v>1687</v>
      </c>
      <c r="BQ191" s="3728"/>
      <c r="BR191" s="3728"/>
      <c r="BS191" s="3728"/>
      <c r="BT191" s="3729"/>
    </row>
    <row r="192" spans="1:72" ht="18.75">
      <c r="A192" s="3657" t="s">
        <v>655</v>
      </c>
      <c r="B192" s="3641"/>
      <c r="C192" s="3642"/>
      <c r="D192" s="3636" t="s">
        <v>677</v>
      </c>
      <c r="E192" s="3636"/>
      <c r="F192" s="3636"/>
      <c r="G192" s="3636" t="s">
        <v>652</v>
      </c>
      <c r="H192" s="3636"/>
      <c r="I192" s="3636"/>
      <c r="J192" s="3636" t="s">
        <v>678</v>
      </c>
      <c r="K192" s="3636"/>
      <c r="L192" s="3636"/>
      <c r="M192" s="3636"/>
      <c r="N192" s="3636"/>
      <c r="O192" s="3636" t="s">
        <v>653</v>
      </c>
      <c r="P192" s="3636"/>
      <c r="Q192" s="3636"/>
      <c r="R192" s="3636" t="s">
        <v>679</v>
      </c>
      <c r="S192" s="3636"/>
      <c r="T192" s="3636"/>
      <c r="U192" s="3636" t="s">
        <v>658</v>
      </c>
      <c r="V192" s="3636"/>
      <c r="W192" s="3636"/>
      <c r="X192" s="3636"/>
      <c r="Y192" s="3636"/>
      <c r="Z192" s="3636" t="s">
        <v>652</v>
      </c>
      <c r="AA192" s="3636"/>
      <c r="AB192" s="3636"/>
      <c r="AC192" s="3636" t="s">
        <v>652</v>
      </c>
      <c r="AD192" s="3636"/>
      <c r="AE192" s="3636"/>
      <c r="AF192" s="3636" t="s">
        <v>652</v>
      </c>
      <c r="AG192" s="3636"/>
      <c r="AH192" s="3636"/>
      <c r="AI192" s="3636"/>
      <c r="AJ192" s="3636"/>
      <c r="AL192" s="3647" t="s">
        <v>1732</v>
      </c>
      <c r="AM192" s="3648"/>
      <c r="AN192" s="3648"/>
      <c r="AO192" s="3648"/>
      <c r="AP192" s="3649"/>
      <c r="AQ192" s="3727" t="s">
        <v>1669</v>
      </c>
      <c r="AR192" s="3728"/>
      <c r="AS192" s="3728"/>
      <c r="AT192" s="3728"/>
      <c r="AU192" s="3729"/>
      <c r="AV192" s="3727" t="s">
        <v>1655</v>
      </c>
      <c r="AW192" s="3728"/>
      <c r="AX192" s="3728"/>
      <c r="AY192" s="3728"/>
      <c r="AZ192" s="3729"/>
      <c r="BA192" s="3727" t="s">
        <v>1727</v>
      </c>
      <c r="BB192" s="3728"/>
      <c r="BC192" s="3728"/>
      <c r="BD192" s="3728"/>
      <c r="BE192" s="3729"/>
      <c r="BF192" s="3727" t="s">
        <v>1655</v>
      </c>
      <c r="BG192" s="3728"/>
      <c r="BH192" s="3728"/>
      <c r="BI192" s="3728"/>
      <c r="BJ192" s="3729"/>
      <c r="BK192" s="3727" t="s">
        <v>1669</v>
      </c>
      <c r="BL192" s="3728"/>
      <c r="BM192" s="3728"/>
      <c r="BN192" s="3728"/>
      <c r="BO192" s="3729"/>
      <c r="BP192" s="3727" t="s">
        <v>1655</v>
      </c>
      <c r="BQ192" s="3728"/>
      <c r="BR192" s="3728"/>
      <c r="BS192" s="3728"/>
      <c r="BT192" s="3729"/>
    </row>
    <row r="193" spans="1:72" ht="18.75">
      <c r="A193" s="3640" t="s">
        <v>665</v>
      </c>
      <c r="B193" s="3641"/>
      <c r="C193" s="3642"/>
      <c r="D193" s="3636" t="s">
        <v>652</v>
      </c>
      <c r="E193" s="3636"/>
      <c r="F193" s="3636"/>
      <c r="G193" s="3636" t="s">
        <v>652</v>
      </c>
      <c r="H193" s="3636"/>
      <c r="I193" s="3636"/>
      <c r="J193" s="3636" t="s">
        <v>652</v>
      </c>
      <c r="K193" s="3636"/>
      <c r="L193" s="3636"/>
      <c r="M193" s="3636"/>
      <c r="N193" s="3636"/>
      <c r="O193" s="3636" t="s">
        <v>667</v>
      </c>
      <c r="P193" s="3636"/>
      <c r="Q193" s="3636"/>
      <c r="R193" s="3636" t="s">
        <v>652</v>
      </c>
      <c r="S193" s="3636"/>
      <c r="T193" s="3636"/>
      <c r="U193" s="3636" t="s">
        <v>658</v>
      </c>
      <c r="V193" s="3636"/>
      <c r="W193" s="3636"/>
      <c r="X193" s="3636"/>
      <c r="Y193" s="3636"/>
      <c r="Z193" s="3636" t="s">
        <v>652</v>
      </c>
      <c r="AA193" s="3636"/>
      <c r="AB193" s="3636"/>
      <c r="AC193" s="3636" t="s">
        <v>652</v>
      </c>
      <c r="AD193" s="3636"/>
      <c r="AE193" s="3636"/>
      <c r="AF193" s="3636" t="s">
        <v>652</v>
      </c>
      <c r="AG193" s="3636"/>
      <c r="AH193" s="3636"/>
      <c r="AI193" s="3636"/>
      <c r="AJ193" s="3636"/>
      <c r="AL193" s="3738" t="s">
        <v>1736</v>
      </c>
      <c r="AM193" s="3739"/>
      <c r="AN193" s="3739"/>
      <c r="AO193" s="3739"/>
      <c r="AP193" s="3739"/>
      <c r="AQ193" s="3739"/>
      <c r="AR193" s="3739"/>
      <c r="AS193" s="3739"/>
      <c r="AT193" s="3739"/>
      <c r="AU193" s="3739"/>
      <c r="AV193" s="3739"/>
      <c r="AW193" s="3739"/>
      <c r="AX193" s="3739"/>
      <c r="AY193" s="3739"/>
      <c r="AZ193" s="3739"/>
      <c r="BA193" s="3739"/>
      <c r="BB193" s="3739"/>
      <c r="BC193" s="3739"/>
      <c r="BD193" s="3739"/>
      <c r="BE193" s="3739"/>
      <c r="BF193" s="3739"/>
      <c r="BG193" s="3739"/>
      <c r="BH193" s="3739"/>
      <c r="BI193" s="3739"/>
      <c r="BJ193" s="3739"/>
      <c r="BK193" s="3739"/>
      <c r="BL193" s="3739"/>
      <c r="BM193" s="3739"/>
      <c r="BN193" s="3739"/>
      <c r="BO193" s="3739"/>
      <c r="BP193" s="3739"/>
      <c r="BQ193" s="3739"/>
      <c r="BR193" s="3739"/>
      <c r="BS193" s="3739"/>
      <c r="BT193" s="3740"/>
    </row>
    <row r="194" spans="1:72" ht="15.75">
      <c r="A194" s="3640" t="s">
        <v>680</v>
      </c>
      <c r="B194" s="3641"/>
      <c r="C194" s="3641"/>
      <c r="D194" s="3641"/>
      <c r="E194" s="3641"/>
      <c r="F194" s="3641"/>
      <c r="G194" s="3641"/>
      <c r="H194" s="3641"/>
      <c r="I194" s="3641"/>
      <c r="J194" s="3641"/>
      <c r="K194" s="3641"/>
      <c r="L194" s="3641"/>
      <c r="M194" s="3641"/>
      <c r="N194" s="3641"/>
      <c r="O194" s="3641"/>
      <c r="P194" s="3641"/>
      <c r="Q194" s="3641"/>
      <c r="R194" s="3641"/>
      <c r="S194" s="3641"/>
      <c r="T194" s="3641"/>
      <c r="U194" s="3641"/>
      <c r="V194" s="3641"/>
      <c r="W194" s="3641"/>
      <c r="X194" s="3641"/>
      <c r="Y194" s="3641"/>
      <c r="Z194" s="3641"/>
      <c r="AA194" s="3641"/>
      <c r="AB194" s="3641"/>
      <c r="AC194" s="3641"/>
      <c r="AD194" s="3641"/>
      <c r="AE194" s="3641"/>
      <c r="AF194" s="3641"/>
      <c r="AG194" s="3641"/>
      <c r="AH194" s="3641"/>
      <c r="AI194" s="3641"/>
      <c r="AJ194" s="3642"/>
      <c r="AL194" s="3647" t="s">
        <v>1679</v>
      </c>
      <c r="AM194" s="3648"/>
      <c r="AN194" s="3648"/>
      <c r="AO194" s="3648"/>
      <c r="AP194" s="3649"/>
      <c r="AQ194" s="3741" t="s">
        <v>1669</v>
      </c>
      <c r="AR194" s="3476"/>
      <c r="AS194" s="3476"/>
      <c r="AT194" s="3476"/>
      <c r="AU194" s="3476"/>
      <c r="AV194" s="3476"/>
      <c r="AW194" s="3647" t="s">
        <v>1680</v>
      </c>
      <c r="AX194" s="3648"/>
      <c r="AY194" s="3648"/>
      <c r="AZ194" s="3648"/>
      <c r="BA194" s="3648"/>
      <c r="BB194" s="3649"/>
      <c r="BC194" s="3742" t="s">
        <v>1727</v>
      </c>
      <c r="BD194" s="3634"/>
      <c r="BE194" s="3634"/>
      <c r="BF194" s="3634"/>
      <c r="BG194" s="3634"/>
      <c r="BH194" s="3634"/>
      <c r="BI194" s="3647" t="s">
        <v>1681</v>
      </c>
      <c r="BJ194" s="3648"/>
      <c r="BK194" s="3648"/>
      <c r="BL194" s="3648"/>
      <c r="BM194" s="3648"/>
      <c r="BN194" s="3649"/>
      <c r="BO194" s="3724" t="s">
        <v>1669</v>
      </c>
      <c r="BP194" s="3725"/>
      <c r="BQ194" s="3725"/>
      <c r="BR194" s="3725"/>
      <c r="BS194" s="3725"/>
      <c r="BT194" s="3726"/>
    </row>
    <row r="195" spans="1:72" ht="16.5">
      <c r="A195" s="3639" t="s">
        <v>644</v>
      </c>
      <c r="B195" s="3636"/>
      <c r="C195" s="3636"/>
      <c r="D195" s="3636" t="s">
        <v>676</v>
      </c>
      <c r="E195" s="3636"/>
      <c r="F195" s="3636"/>
      <c r="G195" s="3636" t="s">
        <v>676</v>
      </c>
      <c r="H195" s="3636"/>
      <c r="I195" s="3636"/>
      <c r="J195" s="3636" t="s">
        <v>676</v>
      </c>
      <c r="K195" s="3636"/>
      <c r="L195" s="3636"/>
      <c r="M195" s="3636"/>
      <c r="N195" s="3636"/>
      <c r="O195" s="3636" t="s">
        <v>681</v>
      </c>
      <c r="P195" s="3636"/>
      <c r="Q195" s="3636"/>
      <c r="R195" s="3636" t="s">
        <v>676</v>
      </c>
      <c r="S195" s="3636"/>
      <c r="T195" s="3636"/>
      <c r="U195" s="3636" t="s">
        <v>658</v>
      </c>
      <c r="V195" s="3636"/>
      <c r="W195" s="3636"/>
      <c r="X195" s="3636"/>
      <c r="Y195" s="3636"/>
      <c r="Z195" s="3636" t="s">
        <v>682</v>
      </c>
      <c r="AA195" s="3636"/>
      <c r="AB195" s="3636"/>
      <c r="AC195" s="3636" t="s">
        <v>683</v>
      </c>
      <c r="AD195" s="3636"/>
      <c r="AE195" s="3636"/>
      <c r="AF195" s="3636" t="s">
        <v>684</v>
      </c>
      <c r="AG195" s="3636"/>
      <c r="AH195" s="3636"/>
      <c r="AI195" s="3636"/>
      <c r="AJ195" s="3636"/>
    </row>
    <row r="196" spans="1:72" ht="16.5">
      <c r="A196" s="3657" t="s">
        <v>655</v>
      </c>
      <c r="B196" s="3641"/>
      <c r="C196" s="3642"/>
      <c r="D196" s="3636" t="s">
        <v>685</v>
      </c>
      <c r="E196" s="3636"/>
      <c r="F196" s="3636"/>
      <c r="G196" s="3636" t="s">
        <v>662</v>
      </c>
      <c r="H196" s="3636"/>
      <c r="I196" s="3636"/>
      <c r="J196" s="3636" t="s">
        <v>686</v>
      </c>
      <c r="K196" s="3636"/>
      <c r="L196" s="3636"/>
      <c r="M196" s="3636"/>
      <c r="N196" s="3636"/>
      <c r="O196" s="3636" t="s">
        <v>658</v>
      </c>
      <c r="P196" s="3636"/>
      <c r="Q196" s="3636"/>
      <c r="R196" s="3636" t="s">
        <v>652</v>
      </c>
      <c r="S196" s="3636"/>
      <c r="T196" s="3636"/>
      <c r="U196" s="3636" t="s">
        <v>649</v>
      </c>
      <c r="V196" s="3636"/>
      <c r="W196" s="3636"/>
      <c r="X196" s="3636"/>
      <c r="Y196" s="3636"/>
      <c r="Z196" s="3636" t="s">
        <v>685</v>
      </c>
      <c r="AA196" s="3636"/>
      <c r="AB196" s="3636"/>
      <c r="AC196" s="3636" t="s">
        <v>662</v>
      </c>
      <c r="AD196" s="3636"/>
      <c r="AE196" s="3636"/>
      <c r="AF196" s="3636" t="s">
        <v>686</v>
      </c>
      <c r="AG196" s="3636"/>
      <c r="AH196" s="3636"/>
      <c r="AI196" s="3636"/>
      <c r="AJ196" s="3636"/>
    </row>
    <row r="197" spans="1:72" ht="16.5">
      <c r="A197" s="3640" t="s">
        <v>660</v>
      </c>
      <c r="B197" s="3641"/>
      <c r="C197" s="3642"/>
      <c r="D197" s="3636" t="s">
        <v>687</v>
      </c>
      <c r="E197" s="3636"/>
      <c r="F197" s="3636"/>
      <c r="G197" s="3636" t="s">
        <v>688</v>
      </c>
      <c r="H197" s="3636"/>
      <c r="I197" s="3636"/>
      <c r="J197" s="3636" t="s">
        <v>689</v>
      </c>
      <c r="K197" s="3636"/>
      <c r="L197" s="3636"/>
      <c r="M197" s="3636"/>
      <c r="N197" s="3636"/>
      <c r="O197" s="3636" t="s">
        <v>652</v>
      </c>
      <c r="P197" s="3636"/>
      <c r="Q197" s="3636"/>
      <c r="R197" s="3636" t="s">
        <v>652</v>
      </c>
      <c r="S197" s="3636"/>
      <c r="T197" s="3636"/>
      <c r="U197" s="3636" t="s">
        <v>652</v>
      </c>
      <c r="V197" s="3636"/>
      <c r="W197" s="3636"/>
      <c r="X197" s="3636"/>
      <c r="Y197" s="3636"/>
      <c r="Z197" s="3636" t="s">
        <v>662</v>
      </c>
      <c r="AA197" s="3636"/>
      <c r="AB197" s="3636"/>
      <c r="AC197" s="3636" t="s">
        <v>662</v>
      </c>
      <c r="AD197" s="3636"/>
      <c r="AE197" s="3636"/>
      <c r="AF197" s="3636" t="s">
        <v>662</v>
      </c>
      <c r="AG197" s="3636"/>
      <c r="AH197" s="3636"/>
      <c r="AI197" s="3636"/>
      <c r="AJ197" s="3636"/>
    </row>
    <row r="198" spans="1:72" ht="16.5">
      <c r="A198" s="3715" t="s">
        <v>690</v>
      </c>
      <c r="B198" s="3716"/>
      <c r="C198" s="3716"/>
      <c r="D198" s="3716"/>
      <c r="E198" s="3716"/>
      <c r="F198" s="3716"/>
      <c r="G198" s="3716"/>
      <c r="H198" s="3716"/>
      <c r="I198" s="3716"/>
      <c r="J198" s="3716"/>
      <c r="K198" s="3716"/>
      <c r="L198" s="3716"/>
      <c r="M198" s="3716"/>
      <c r="N198" s="3716"/>
      <c r="O198" s="3716"/>
      <c r="P198" s="3716"/>
      <c r="Q198" s="3716"/>
      <c r="R198" s="3716"/>
      <c r="S198" s="3716"/>
      <c r="T198" s="3716"/>
      <c r="U198" s="3716"/>
      <c r="V198" s="3716"/>
      <c r="W198" s="3716"/>
      <c r="X198" s="3716"/>
      <c r="Y198" s="3716"/>
      <c r="Z198" s="3716"/>
      <c r="AA198" s="3716"/>
      <c r="AB198" s="3716"/>
      <c r="AC198" s="3716"/>
      <c r="AD198" s="3716"/>
      <c r="AE198" s="3716"/>
      <c r="AF198" s="3716"/>
      <c r="AG198" s="3716"/>
      <c r="AH198" s="3716"/>
      <c r="AI198" s="3716"/>
      <c r="AJ198" s="3717"/>
    </row>
    <row r="199" spans="1:72" ht="15">
      <c r="A199" s="3636" t="s">
        <v>670</v>
      </c>
      <c r="B199" s="3636"/>
      <c r="C199" s="3636"/>
      <c r="D199" s="3636"/>
      <c r="E199" s="3635" t="s">
        <v>691</v>
      </c>
      <c r="F199" s="3636"/>
      <c r="G199" s="3636"/>
      <c r="H199" s="3636"/>
      <c r="I199" s="3636"/>
      <c r="J199" s="3636"/>
      <c r="K199" s="3636" t="s">
        <v>671</v>
      </c>
      <c r="L199" s="3636"/>
      <c r="M199" s="3636"/>
      <c r="N199" s="3636"/>
      <c r="O199" s="3636"/>
      <c r="P199" s="3636"/>
      <c r="Q199" s="3635" t="s">
        <v>692</v>
      </c>
      <c r="R199" s="3636"/>
      <c r="S199" s="3636"/>
      <c r="T199" s="3636"/>
      <c r="U199" s="3636"/>
      <c r="V199" s="3636"/>
      <c r="W199" s="3636"/>
      <c r="X199" s="3636" t="s">
        <v>672</v>
      </c>
      <c r="Y199" s="3636"/>
      <c r="Z199" s="3636"/>
      <c r="AA199" s="3636"/>
      <c r="AB199" s="3636"/>
      <c r="AC199" s="3646" t="s">
        <v>693</v>
      </c>
      <c r="AD199" s="3643"/>
      <c r="AE199" s="3643"/>
      <c r="AF199" s="3643"/>
      <c r="AG199" s="3643"/>
      <c r="AH199" s="3643"/>
      <c r="AI199" s="3643"/>
      <c r="AJ199" s="3644"/>
    </row>
    <row r="200" spans="1:72" ht="15.75">
      <c r="A200" s="212"/>
      <c r="B200" s="3718"/>
      <c r="C200" s="3718"/>
      <c r="D200" s="3718"/>
      <c r="E200" s="3718"/>
      <c r="F200" s="3718"/>
      <c r="G200" s="3694"/>
      <c r="H200" s="3694"/>
      <c r="I200" s="3694"/>
      <c r="J200" s="3694"/>
      <c r="K200" s="3694"/>
      <c r="L200" s="3694"/>
      <c r="M200" s="3694"/>
      <c r="N200" s="3694"/>
      <c r="O200" s="3694"/>
      <c r="P200" s="3694"/>
      <c r="Q200" s="3694"/>
      <c r="R200" s="213"/>
      <c r="S200" s="213"/>
      <c r="T200" s="213"/>
      <c r="U200" s="213"/>
      <c r="V200" s="213"/>
      <c r="W200" s="212"/>
      <c r="X200" s="212"/>
      <c r="Y200" s="212"/>
      <c r="Z200" s="3719"/>
      <c r="AA200" s="3719"/>
      <c r="AB200" s="3719"/>
      <c r="AC200" s="3719"/>
      <c r="AD200" s="3719"/>
      <c r="AE200" s="3719"/>
      <c r="AF200" s="3719"/>
      <c r="AG200" s="3719"/>
      <c r="AH200" s="3719"/>
      <c r="AI200" s="212"/>
      <c r="AJ200" s="212"/>
    </row>
    <row r="201" spans="1:72" ht="15.75">
      <c r="A201" s="659"/>
      <c r="C201" s="659"/>
      <c r="D201" s="659"/>
      <c r="E201" s="659"/>
      <c r="F201" s="659"/>
      <c r="G201" s="1749"/>
      <c r="H201" s="1749"/>
      <c r="I201" s="1749"/>
      <c r="J201" s="1749"/>
      <c r="K201" s="1749"/>
      <c r="L201" s="1749"/>
      <c r="M201" s="1749"/>
      <c r="N201" s="1749"/>
      <c r="O201" s="1749"/>
      <c r="P201" s="1749"/>
      <c r="Q201" s="1749"/>
      <c r="R201" s="1749"/>
      <c r="S201" s="1749"/>
      <c r="T201" s="1749"/>
      <c r="U201" s="1749"/>
      <c r="V201" s="659"/>
      <c r="W201" s="659"/>
      <c r="X201" s="659"/>
      <c r="Y201" s="659"/>
      <c r="Z201" s="659"/>
      <c r="AA201" s="659"/>
      <c r="AB201" s="659"/>
      <c r="AC201" s="212"/>
      <c r="AD201" s="659"/>
      <c r="AE201" t="s">
        <v>694</v>
      </c>
      <c r="AF201" s="659"/>
      <c r="AG201" s="659"/>
      <c r="AH201" s="659"/>
      <c r="AI201" s="659"/>
      <c r="AJ201" s="659"/>
      <c r="AL201" s="649" t="s">
        <v>1691</v>
      </c>
    </row>
    <row r="202" spans="1:72" s="28" customFormat="1" ht="15.75">
      <c r="A202" s="211" t="s">
        <v>1738</v>
      </c>
      <c r="B202" s="212"/>
      <c r="C202" s="212"/>
      <c r="D202" s="212"/>
      <c r="E202" s="212"/>
      <c r="F202" s="212"/>
      <c r="G202" s="212"/>
      <c r="H202" s="261" t="s">
        <v>637</v>
      </c>
      <c r="I202" s="212"/>
      <c r="J202" s="212"/>
      <c r="K202" s="212"/>
      <c r="L202" s="212"/>
      <c r="M202" s="212"/>
      <c r="N202" s="212"/>
      <c r="O202" s="212"/>
      <c r="P202" s="212"/>
      <c r="Q202" s="212"/>
      <c r="R202" s="212"/>
      <c r="S202" s="212"/>
      <c r="T202" s="212"/>
      <c r="U202" s="212"/>
      <c r="V202" s="212"/>
      <c r="W202" s="212"/>
      <c r="X202" s="212"/>
      <c r="Y202" s="212"/>
      <c r="Z202" s="212"/>
      <c r="AA202" s="212"/>
      <c r="AB202" s="212"/>
      <c r="AC202" s="212"/>
      <c r="AD202" s="212"/>
      <c r="AE202" s="212"/>
      <c r="AF202" s="212"/>
      <c r="AG202" s="212"/>
      <c r="AH202" s="212"/>
      <c r="AI202" s="212"/>
      <c r="AJ202" s="212"/>
      <c r="AL202" s="3769" t="s">
        <v>1740</v>
      </c>
      <c r="AM202" s="3769"/>
      <c r="AN202" s="3764"/>
      <c r="AO202" s="3745"/>
      <c r="AP202" s="3745"/>
      <c r="AQ202" s="3745"/>
      <c r="AR202" s="3745"/>
      <c r="AS202" s="3745"/>
      <c r="AT202" s="3745"/>
      <c r="AU202" s="3745"/>
      <c r="AV202" s="3745"/>
      <c r="AW202" s="3745"/>
      <c r="AX202" s="3745"/>
      <c r="AY202" s="3745"/>
      <c r="AZ202" s="3745"/>
      <c r="BA202" s="3745"/>
      <c r="BB202" s="3745"/>
      <c r="BC202" s="3745"/>
      <c r="BD202" s="3745"/>
      <c r="BE202" s="3745"/>
      <c r="BF202" s="3745"/>
      <c r="BG202" s="3745"/>
      <c r="BH202" s="3745"/>
      <c r="BI202" s="3745"/>
      <c r="BJ202" s="3745"/>
      <c r="BK202" s="3745"/>
      <c r="BL202" s="204"/>
      <c r="BM202" s="204"/>
      <c r="BN202" s="651"/>
      <c r="BO202" s="651"/>
      <c r="BP202" s="651"/>
      <c r="BQ202" s="651"/>
      <c r="BR202" s="651"/>
      <c r="BS202" s="652"/>
      <c r="BT202" s="217"/>
    </row>
    <row r="203" spans="1:72" ht="15.75">
      <c r="A203" s="3710" t="s">
        <v>695</v>
      </c>
      <c r="B203" s="3711"/>
      <c r="C203" s="3711"/>
      <c r="D203" s="3711"/>
      <c r="E203" s="3711"/>
      <c r="F203" s="3711"/>
      <c r="G203" s="3711"/>
      <c r="H203" s="3711"/>
      <c r="I203" s="3711"/>
      <c r="J203" s="3711"/>
      <c r="K203" s="3711"/>
      <c r="L203" s="3711"/>
      <c r="M203" s="3711"/>
      <c r="N203" s="3711"/>
      <c r="O203" s="3711"/>
      <c r="P203" s="3711"/>
      <c r="Q203" s="3711"/>
      <c r="R203" s="3711"/>
      <c r="S203" s="3711"/>
      <c r="T203" s="3711"/>
      <c r="U203" s="3711"/>
      <c r="V203" s="3711"/>
      <c r="W203" s="3711"/>
      <c r="X203" s="3711"/>
      <c r="Y203" s="3711"/>
      <c r="Z203" s="3711"/>
      <c r="AA203" s="3711"/>
      <c r="AB203" s="3711"/>
      <c r="AC203" s="3711"/>
      <c r="AD203" s="3711"/>
      <c r="AE203" s="3711"/>
      <c r="AF203" s="3711"/>
      <c r="AG203" s="3711"/>
      <c r="AH203" s="3711"/>
      <c r="AI203" s="3711"/>
      <c r="AJ203" s="3712"/>
      <c r="AL203" s="3730" t="s">
        <v>1663</v>
      </c>
      <c r="AM203" s="3648"/>
      <c r="AN203" s="3648"/>
      <c r="AO203" s="3648"/>
      <c r="AP203" s="3648"/>
      <c r="AQ203" s="3648"/>
      <c r="AR203" s="3648"/>
      <c r="AS203" s="3648"/>
      <c r="AT203" s="3648"/>
      <c r="AU203" s="3648"/>
      <c r="AV203" s="3648"/>
      <c r="AW203" s="3648"/>
      <c r="AX203" s="3648"/>
      <c r="AY203" s="3648"/>
      <c r="AZ203" s="3648"/>
      <c r="BA203" s="3648"/>
      <c r="BB203" s="3648"/>
      <c r="BC203" s="3648"/>
      <c r="BD203" s="3648"/>
      <c r="BE203" s="3648"/>
      <c r="BF203" s="3648"/>
      <c r="BG203" s="3648"/>
      <c r="BH203" s="3648"/>
      <c r="BI203" s="3648"/>
      <c r="BJ203" s="3648"/>
      <c r="BK203" s="3648"/>
      <c r="BL203" s="3648"/>
      <c r="BM203" s="3648"/>
      <c r="BN203" s="3648"/>
      <c r="BO203" s="3648"/>
      <c r="BP203" s="3648"/>
      <c r="BQ203" s="3648"/>
      <c r="BR203" s="3648"/>
      <c r="BS203" s="3648"/>
      <c r="BT203" s="3649"/>
    </row>
    <row r="204" spans="1:72" ht="15.75">
      <c r="A204" s="3713" t="s">
        <v>639</v>
      </c>
      <c r="B204" s="3636"/>
      <c r="C204" s="3636"/>
      <c r="D204" s="3636" t="s">
        <v>640</v>
      </c>
      <c r="E204" s="3636"/>
      <c r="F204" s="3636"/>
      <c r="G204" s="3636"/>
      <c r="H204" s="3636"/>
      <c r="I204" s="3636"/>
      <c r="J204" s="3636"/>
      <c r="K204" s="3636"/>
      <c r="L204" s="3636"/>
      <c r="M204" s="3636"/>
      <c r="N204" s="3636"/>
      <c r="O204" s="3636" t="s">
        <v>641</v>
      </c>
      <c r="P204" s="3636"/>
      <c r="Q204" s="3636"/>
      <c r="R204" s="3636"/>
      <c r="S204" s="3636"/>
      <c r="T204" s="3636"/>
      <c r="U204" s="3636"/>
      <c r="V204" s="3636"/>
      <c r="W204" s="3636"/>
      <c r="X204" s="3636"/>
      <c r="Y204" s="3636"/>
      <c r="Z204" s="3640" t="s">
        <v>642</v>
      </c>
      <c r="AA204" s="3641"/>
      <c r="AB204" s="3641"/>
      <c r="AC204" s="3641"/>
      <c r="AD204" s="3641"/>
      <c r="AE204" s="3641"/>
      <c r="AF204" s="3641"/>
      <c r="AG204" s="3641"/>
      <c r="AH204" s="3641"/>
      <c r="AI204" s="3641"/>
      <c r="AJ204" s="3642"/>
      <c r="AL204" s="3730" t="s">
        <v>1664</v>
      </c>
      <c r="AM204" s="3648"/>
      <c r="AN204" s="3648"/>
      <c r="AO204" s="3648"/>
      <c r="AP204" s="3648"/>
      <c r="AQ204" s="3648"/>
      <c r="AR204" s="3648"/>
      <c r="AS204" s="3648"/>
      <c r="AT204" s="3648"/>
      <c r="AU204" s="3648"/>
      <c r="AV204" s="3649"/>
      <c r="AW204" s="3647" t="s">
        <v>1665</v>
      </c>
      <c r="AX204" s="3648"/>
      <c r="AY204" s="3648"/>
      <c r="AZ204" s="3648"/>
      <c r="BA204" s="3648"/>
      <c r="BB204" s="3648"/>
      <c r="BC204" s="3648"/>
      <c r="BD204" s="3649"/>
      <c r="BE204" s="3647" t="s">
        <v>1666</v>
      </c>
      <c r="BF204" s="3648"/>
      <c r="BG204" s="3648"/>
      <c r="BH204" s="3648"/>
      <c r="BI204" s="3648"/>
      <c r="BJ204" s="3648"/>
      <c r="BK204" s="3648"/>
      <c r="BL204" s="3649"/>
      <c r="BM204" s="3647" t="s">
        <v>1667</v>
      </c>
      <c r="BN204" s="3648"/>
      <c r="BO204" s="3648"/>
      <c r="BP204" s="3648"/>
      <c r="BQ204" s="3648"/>
      <c r="BR204" s="3648"/>
      <c r="BS204" s="3648"/>
      <c r="BT204" s="3649"/>
    </row>
    <row r="205" spans="1:72" ht="18.75">
      <c r="A205" s="3636"/>
      <c r="B205" s="3636"/>
      <c r="C205" s="3636"/>
      <c r="D205" s="3635">
        <v>1</v>
      </c>
      <c r="E205" s="3636"/>
      <c r="F205" s="3636"/>
      <c r="G205" s="3636">
        <v>2</v>
      </c>
      <c r="H205" s="3636"/>
      <c r="I205" s="3636"/>
      <c r="J205" s="3714" t="s">
        <v>643</v>
      </c>
      <c r="K205" s="3636"/>
      <c r="L205" s="3636"/>
      <c r="M205" s="3636"/>
      <c r="N205" s="3636"/>
      <c r="O205" s="3635">
        <v>1</v>
      </c>
      <c r="P205" s="3636"/>
      <c r="Q205" s="3636"/>
      <c r="R205" s="3636">
        <v>2</v>
      </c>
      <c r="S205" s="3636"/>
      <c r="T205" s="3636"/>
      <c r="U205" s="3714" t="s">
        <v>643</v>
      </c>
      <c r="V205" s="3636"/>
      <c r="W205" s="3636"/>
      <c r="X205" s="3636"/>
      <c r="Y205" s="3636"/>
      <c r="Z205" s="3635">
        <v>1</v>
      </c>
      <c r="AA205" s="3636"/>
      <c r="AB205" s="3636"/>
      <c r="AC205" s="3636">
        <v>2</v>
      </c>
      <c r="AD205" s="3636"/>
      <c r="AE205" s="3636"/>
      <c r="AF205" s="3714" t="s">
        <v>643</v>
      </c>
      <c r="AG205" s="3636"/>
      <c r="AH205" s="3636"/>
      <c r="AI205" s="3636"/>
      <c r="AJ205" s="3636"/>
      <c r="AL205" s="3737" t="s">
        <v>1668</v>
      </c>
      <c r="AM205" s="3648"/>
      <c r="AN205" s="3648"/>
      <c r="AO205" s="3648"/>
      <c r="AP205" s="3648"/>
      <c r="AQ205" s="3648"/>
      <c r="AR205" s="3648"/>
      <c r="AS205" s="3648"/>
      <c r="AT205" s="3648"/>
      <c r="AU205" s="3648"/>
      <c r="AV205" s="3649"/>
      <c r="AW205" s="3724" t="s">
        <v>1694</v>
      </c>
      <c r="AX205" s="3725"/>
      <c r="AY205" s="3725"/>
      <c r="AZ205" s="3725"/>
      <c r="BA205" s="3725"/>
      <c r="BB205" s="3725"/>
      <c r="BC205" s="3725"/>
      <c r="BD205" s="3726"/>
      <c r="BE205" s="3724" t="s">
        <v>1727</v>
      </c>
      <c r="BF205" s="3725"/>
      <c r="BG205" s="3725"/>
      <c r="BH205" s="3725"/>
      <c r="BI205" s="3725"/>
      <c r="BJ205" s="3725"/>
      <c r="BK205" s="3725"/>
      <c r="BL205" s="3726"/>
      <c r="BM205" s="3724" t="s">
        <v>1739</v>
      </c>
      <c r="BN205" s="3725"/>
      <c r="BO205" s="3725"/>
      <c r="BP205" s="3725"/>
      <c r="BQ205" s="3725"/>
      <c r="BR205" s="3725"/>
      <c r="BS205" s="3725"/>
      <c r="BT205" s="3726"/>
    </row>
    <row r="206" spans="1:72" ht="18.75">
      <c r="A206" s="3639" t="s">
        <v>644</v>
      </c>
      <c r="B206" s="3636"/>
      <c r="C206" s="3636"/>
      <c r="D206" s="3636" t="s">
        <v>696</v>
      </c>
      <c r="E206" s="3636"/>
      <c r="F206" s="3636"/>
      <c r="G206" s="3636" t="s">
        <v>697</v>
      </c>
      <c r="H206" s="3636"/>
      <c r="I206" s="3636"/>
      <c r="J206" s="3636" t="s">
        <v>698</v>
      </c>
      <c r="K206" s="3636"/>
      <c r="L206" s="3636"/>
      <c r="M206" s="3636"/>
      <c r="N206" s="3636"/>
      <c r="O206" s="3636" t="s">
        <v>648</v>
      </c>
      <c r="P206" s="3636"/>
      <c r="Q206" s="3636"/>
      <c r="R206" s="3636" t="s">
        <v>648</v>
      </c>
      <c r="S206" s="3636"/>
      <c r="T206" s="3636"/>
      <c r="U206" s="3636" t="s">
        <v>648</v>
      </c>
      <c r="V206" s="3636"/>
      <c r="W206" s="3636"/>
      <c r="X206" s="3636"/>
      <c r="Y206" s="3636"/>
      <c r="Z206" s="3636" t="s">
        <v>699</v>
      </c>
      <c r="AA206" s="3636"/>
      <c r="AB206" s="3636"/>
      <c r="AC206" s="3636" t="s">
        <v>700</v>
      </c>
      <c r="AD206" s="3636"/>
      <c r="AE206" s="3636"/>
      <c r="AF206" s="3636" t="s">
        <v>701</v>
      </c>
      <c r="AG206" s="3636"/>
      <c r="AH206" s="3636"/>
      <c r="AI206" s="3636"/>
      <c r="AJ206" s="3636"/>
      <c r="AL206" s="3647" t="s">
        <v>1728</v>
      </c>
      <c r="AM206" s="3648"/>
      <c r="AN206" s="3648"/>
      <c r="AO206" s="3648"/>
      <c r="AP206" s="3648"/>
      <c r="AQ206" s="3648"/>
      <c r="AR206" s="3648"/>
      <c r="AS206" s="3648"/>
      <c r="AT206" s="3648"/>
      <c r="AU206" s="3648"/>
      <c r="AV206" s="3649"/>
      <c r="AW206" s="3724" t="s">
        <v>1669</v>
      </c>
      <c r="AX206" s="3725"/>
      <c r="AY206" s="3725"/>
      <c r="AZ206" s="3725"/>
      <c r="BA206" s="3725"/>
      <c r="BB206" s="3725"/>
      <c r="BC206" s="3725"/>
      <c r="BD206" s="3726"/>
      <c r="BE206" s="3724" t="s">
        <v>1669</v>
      </c>
      <c r="BF206" s="3725"/>
      <c r="BG206" s="3725"/>
      <c r="BH206" s="3725"/>
      <c r="BI206" s="3725"/>
      <c r="BJ206" s="3725"/>
      <c r="BK206" s="3725"/>
      <c r="BL206" s="3726"/>
      <c r="BM206" s="3724" t="s">
        <v>1669</v>
      </c>
      <c r="BN206" s="3725"/>
      <c r="BO206" s="3725"/>
      <c r="BP206" s="3725"/>
      <c r="BQ206" s="3725"/>
      <c r="BR206" s="3725"/>
      <c r="BS206" s="3725"/>
      <c r="BT206" s="3726"/>
    </row>
    <row r="207" spans="1:72" ht="18.75">
      <c r="A207" s="3640" t="s">
        <v>650</v>
      </c>
      <c r="B207" s="3641"/>
      <c r="C207" s="3642"/>
      <c r="D207" s="3636" t="s">
        <v>702</v>
      </c>
      <c r="E207" s="3636"/>
      <c r="F207" s="3636"/>
      <c r="G207" s="3636" t="s">
        <v>703</v>
      </c>
      <c r="H207" s="3636"/>
      <c r="I207" s="3636"/>
      <c r="J207" s="3636" t="s">
        <v>704</v>
      </c>
      <c r="K207" s="3636"/>
      <c r="L207" s="3636"/>
      <c r="M207" s="3636"/>
      <c r="N207" s="3636"/>
      <c r="O207" s="3636" t="s">
        <v>705</v>
      </c>
      <c r="P207" s="3636"/>
      <c r="Q207" s="3636"/>
      <c r="R207" s="3636" t="s">
        <v>706</v>
      </c>
      <c r="S207" s="3636"/>
      <c r="T207" s="3636"/>
      <c r="U207" s="3636" t="s">
        <v>707</v>
      </c>
      <c r="V207" s="3636"/>
      <c r="W207" s="3636"/>
      <c r="X207" s="3636"/>
      <c r="Y207" s="3636"/>
      <c r="Z207" s="3636" t="s">
        <v>708</v>
      </c>
      <c r="AA207" s="3636"/>
      <c r="AB207" s="3636"/>
      <c r="AC207" s="3636" t="s">
        <v>649</v>
      </c>
      <c r="AD207" s="3636"/>
      <c r="AE207" s="3636"/>
      <c r="AF207" s="3636" t="s">
        <v>709</v>
      </c>
      <c r="AG207" s="3636"/>
      <c r="AH207" s="3636"/>
      <c r="AI207" s="3636"/>
      <c r="AJ207" s="3636"/>
      <c r="AL207" s="3737" t="s">
        <v>1729</v>
      </c>
      <c r="AM207" s="3648"/>
      <c r="AN207" s="3648"/>
      <c r="AO207" s="3648"/>
      <c r="AP207" s="3648"/>
      <c r="AQ207" s="3648"/>
      <c r="AR207" s="3648"/>
      <c r="AS207" s="3648"/>
      <c r="AT207" s="3648"/>
      <c r="AU207" s="3648"/>
      <c r="AV207" s="3649"/>
      <c r="AW207" s="3724" t="s">
        <v>1669</v>
      </c>
      <c r="AX207" s="3725"/>
      <c r="AY207" s="3725"/>
      <c r="AZ207" s="3725"/>
      <c r="BA207" s="3725"/>
      <c r="BB207" s="3725"/>
      <c r="BC207" s="3725"/>
      <c r="BD207" s="3726"/>
      <c r="BE207" s="3724" t="s">
        <v>1730</v>
      </c>
      <c r="BF207" s="3725"/>
      <c r="BG207" s="3725"/>
      <c r="BH207" s="3725"/>
      <c r="BI207" s="3725"/>
      <c r="BJ207" s="3725"/>
      <c r="BK207" s="3725"/>
      <c r="BL207" s="3726"/>
      <c r="BM207" s="3724" t="s">
        <v>1727</v>
      </c>
      <c r="BN207" s="3725"/>
      <c r="BO207" s="3725"/>
      <c r="BP207" s="3725"/>
      <c r="BQ207" s="3725"/>
      <c r="BR207" s="3725"/>
      <c r="BS207" s="3725"/>
      <c r="BT207" s="3726"/>
    </row>
    <row r="208" spans="1:72" ht="18.75">
      <c r="A208" s="3657" t="s">
        <v>655</v>
      </c>
      <c r="B208" s="3641"/>
      <c r="C208" s="3642"/>
      <c r="D208" s="3636" t="s">
        <v>656</v>
      </c>
      <c r="E208" s="3636"/>
      <c r="F208" s="3636"/>
      <c r="G208" s="3636" t="s">
        <v>652</v>
      </c>
      <c r="H208" s="3636"/>
      <c r="I208" s="3636"/>
      <c r="J208" s="3636" t="s">
        <v>710</v>
      </c>
      <c r="K208" s="3636"/>
      <c r="L208" s="3636"/>
      <c r="M208" s="3636"/>
      <c r="N208" s="3636"/>
      <c r="O208" s="3636" t="s">
        <v>657</v>
      </c>
      <c r="P208" s="3636"/>
      <c r="Q208" s="3636"/>
      <c r="R208" s="3636" t="s">
        <v>657</v>
      </c>
      <c r="S208" s="3636"/>
      <c r="T208" s="3636"/>
      <c r="U208" s="3636" t="s">
        <v>657</v>
      </c>
      <c r="V208" s="3636"/>
      <c r="W208" s="3636"/>
      <c r="X208" s="3636"/>
      <c r="Y208" s="3636"/>
      <c r="Z208" s="3636" t="s">
        <v>653</v>
      </c>
      <c r="AA208" s="3636"/>
      <c r="AB208" s="3636"/>
      <c r="AC208" s="3636" t="s">
        <v>653</v>
      </c>
      <c r="AD208" s="3636"/>
      <c r="AE208" s="3636"/>
      <c r="AF208" s="3636" t="s">
        <v>653</v>
      </c>
      <c r="AG208" s="3636"/>
      <c r="AH208" s="3636"/>
      <c r="AI208" s="3636"/>
      <c r="AJ208" s="3636"/>
      <c r="AL208" s="3647" t="s">
        <v>1731</v>
      </c>
      <c r="AM208" s="3648"/>
      <c r="AN208" s="3648"/>
      <c r="AO208" s="3648"/>
      <c r="AP208" s="3648"/>
      <c r="AQ208" s="3648"/>
      <c r="AR208" s="3648"/>
      <c r="AS208" s="3648"/>
      <c r="AT208" s="3648"/>
      <c r="AU208" s="3648"/>
      <c r="AV208" s="3649"/>
      <c r="AW208" s="3724" t="s">
        <v>1655</v>
      </c>
      <c r="AX208" s="3725"/>
      <c r="AY208" s="3725"/>
      <c r="AZ208" s="3725"/>
      <c r="BA208" s="3725"/>
      <c r="BB208" s="3725"/>
      <c r="BC208" s="3725"/>
      <c r="BD208" s="3726"/>
      <c r="BE208" s="3724" t="s">
        <v>1687</v>
      </c>
      <c r="BF208" s="3725"/>
      <c r="BG208" s="3725"/>
      <c r="BH208" s="3725"/>
      <c r="BI208" s="3725"/>
      <c r="BJ208" s="3725"/>
      <c r="BK208" s="3725"/>
      <c r="BL208" s="3726"/>
      <c r="BM208" s="3724" t="s">
        <v>1669</v>
      </c>
      <c r="BN208" s="3725"/>
      <c r="BO208" s="3725"/>
      <c r="BP208" s="3725"/>
      <c r="BQ208" s="3725"/>
      <c r="BR208" s="3725"/>
      <c r="BS208" s="3725"/>
      <c r="BT208" s="3726"/>
    </row>
    <row r="209" spans="1:72" ht="18.75">
      <c r="A209" s="3640" t="s">
        <v>660</v>
      </c>
      <c r="B209" s="3641"/>
      <c r="C209" s="3642"/>
      <c r="D209" s="3636" t="s">
        <v>661</v>
      </c>
      <c r="E209" s="3636"/>
      <c r="F209" s="3636"/>
      <c r="G209" s="3636" t="s">
        <v>661</v>
      </c>
      <c r="H209" s="3636"/>
      <c r="I209" s="3636"/>
      <c r="J209" s="3636" t="s">
        <v>661</v>
      </c>
      <c r="K209" s="3636"/>
      <c r="L209" s="3636"/>
      <c r="M209" s="3636"/>
      <c r="N209" s="3636"/>
      <c r="O209" s="3636" t="s">
        <v>662</v>
      </c>
      <c r="P209" s="3636"/>
      <c r="Q209" s="3636"/>
      <c r="R209" s="3636" t="s">
        <v>662</v>
      </c>
      <c r="S209" s="3636"/>
      <c r="T209" s="3636"/>
      <c r="U209" s="3636" t="s">
        <v>662</v>
      </c>
      <c r="V209" s="3636"/>
      <c r="W209" s="3636"/>
      <c r="X209" s="3636"/>
      <c r="Y209" s="3636"/>
      <c r="Z209" s="3636" t="s">
        <v>658</v>
      </c>
      <c r="AA209" s="3636"/>
      <c r="AB209" s="3636"/>
      <c r="AC209" s="3636" t="s">
        <v>652</v>
      </c>
      <c r="AD209" s="3636"/>
      <c r="AE209" s="3636"/>
      <c r="AF209" s="3636" t="s">
        <v>649</v>
      </c>
      <c r="AG209" s="3636"/>
      <c r="AH209" s="3636"/>
      <c r="AI209" s="3636"/>
      <c r="AJ209" s="3636"/>
      <c r="AL209" s="3647" t="s">
        <v>1732</v>
      </c>
      <c r="AM209" s="3648"/>
      <c r="AN209" s="3648"/>
      <c r="AO209" s="3648"/>
      <c r="AP209" s="3648"/>
      <c r="AQ209" s="3648"/>
      <c r="AR209" s="3648"/>
      <c r="AS209" s="3648"/>
      <c r="AT209" s="3648"/>
      <c r="AU209" s="3648"/>
      <c r="AV209" s="3649"/>
      <c r="AW209" s="3724" t="s">
        <v>1669</v>
      </c>
      <c r="AX209" s="3725"/>
      <c r="AY209" s="3725"/>
      <c r="AZ209" s="3725"/>
      <c r="BA209" s="3725"/>
      <c r="BB209" s="3725"/>
      <c r="BC209" s="3725"/>
      <c r="BD209" s="3726"/>
      <c r="BE209" s="3724" t="s">
        <v>1687</v>
      </c>
      <c r="BF209" s="3725"/>
      <c r="BG209" s="3725"/>
      <c r="BH209" s="3725"/>
      <c r="BI209" s="3725"/>
      <c r="BJ209" s="3725"/>
      <c r="BK209" s="3725"/>
      <c r="BL209" s="3726"/>
      <c r="BM209" s="3724" t="s">
        <v>1727</v>
      </c>
      <c r="BN209" s="3725"/>
      <c r="BO209" s="3725"/>
      <c r="BP209" s="3725"/>
      <c r="BQ209" s="3725"/>
      <c r="BR209" s="3725"/>
      <c r="BS209" s="3725"/>
      <c r="BT209" s="3726"/>
    </row>
    <row r="210" spans="1:72" ht="18.75">
      <c r="A210" s="3640" t="s">
        <v>665</v>
      </c>
      <c r="B210" s="3641"/>
      <c r="C210" s="3642"/>
      <c r="D210" s="3636" t="s">
        <v>652</v>
      </c>
      <c r="E210" s="3636"/>
      <c r="F210" s="3636"/>
      <c r="G210" s="3636" t="s">
        <v>652</v>
      </c>
      <c r="H210" s="3636"/>
      <c r="I210" s="3636"/>
      <c r="J210" s="3636" t="s">
        <v>652</v>
      </c>
      <c r="K210" s="3636"/>
      <c r="L210" s="3636"/>
      <c r="M210" s="3636"/>
      <c r="N210" s="3636"/>
      <c r="O210" s="3636" t="s">
        <v>662</v>
      </c>
      <c r="P210" s="3636"/>
      <c r="Q210" s="3636"/>
      <c r="R210" s="3636" t="s">
        <v>662</v>
      </c>
      <c r="S210" s="3636"/>
      <c r="T210" s="3636"/>
      <c r="U210" s="3636" t="s">
        <v>662</v>
      </c>
      <c r="V210" s="3636"/>
      <c r="W210" s="3636"/>
      <c r="X210" s="3636"/>
      <c r="Y210" s="3636"/>
      <c r="Z210" s="3636" t="s">
        <v>667</v>
      </c>
      <c r="AA210" s="3636"/>
      <c r="AB210" s="3636"/>
      <c r="AC210" s="3636" t="s">
        <v>652</v>
      </c>
      <c r="AD210" s="3636"/>
      <c r="AE210" s="3636"/>
      <c r="AF210" s="3636" t="s">
        <v>658</v>
      </c>
      <c r="AG210" s="3636"/>
      <c r="AH210" s="3636"/>
      <c r="AI210" s="3636"/>
      <c r="AJ210" s="3636"/>
      <c r="AL210" s="3647" t="s">
        <v>1733</v>
      </c>
      <c r="AM210" s="3648"/>
      <c r="AN210" s="3648"/>
      <c r="AO210" s="3648"/>
      <c r="AP210" s="3648"/>
      <c r="AQ210" s="3648"/>
      <c r="AR210" s="3648"/>
      <c r="AS210" s="3648"/>
      <c r="AT210" s="3648"/>
      <c r="AU210" s="3648"/>
      <c r="AV210" s="3649"/>
      <c r="AW210" s="3724" t="s">
        <v>1669</v>
      </c>
      <c r="AX210" s="3725"/>
      <c r="AY210" s="3725"/>
      <c r="AZ210" s="3725"/>
      <c r="BA210" s="3725"/>
      <c r="BB210" s="3725"/>
      <c r="BC210" s="3725"/>
      <c r="BD210" s="3726"/>
      <c r="BE210" s="3724" t="s">
        <v>1655</v>
      </c>
      <c r="BF210" s="3725"/>
      <c r="BG210" s="3725"/>
      <c r="BH210" s="3725"/>
      <c r="BI210" s="3725"/>
      <c r="BJ210" s="3725"/>
      <c r="BK210" s="3725"/>
      <c r="BL210" s="3726"/>
      <c r="BM210" s="3724" t="s">
        <v>1655</v>
      </c>
      <c r="BN210" s="3725"/>
      <c r="BO210" s="3725"/>
      <c r="BP210" s="3725"/>
      <c r="BQ210" s="3725"/>
      <c r="BR210" s="3725"/>
      <c r="BS210" s="3725"/>
      <c r="BT210" s="3726"/>
    </row>
    <row r="211" spans="1:72" ht="16.5">
      <c r="A211" s="3640" t="s">
        <v>668</v>
      </c>
      <c r="B211" s="3641"/>
      <c r="C211" s="3642"/>
      <c r="D211" s="3636" t="s">
        <v>652</v>
      </c>
      <c r="E211" s="3636"/>
      <c r="F211" s="3636"/>
      <c r="G211" s="3636" t="s">
        <v>652</v>
      </c>
      <c r="H211" s="3636"/>
      <c r="I211" s="3636"/>
      <c r="J211" s="3636" t="s">
        <v>652</v>
      </c>
      <c r="K211" s="3636"/>
      <c r="L211" s="3636"/>
      <c r="M211" s="3636"/>
      <c r="N211" s="3636"/>
      <c r="O211" s="3636" t="s">
        <v>661</v>
      </c>
      <c r="P211" s="3636"/>
      <c r="Q211" s="3636"/>
      <c r="R211" s="3636" t="s">
        <v>661</v>
      </c>
      <c r="S211" s="3636"/>
      <c r="T211" s="3636"/>
      <c r="U211" s="3636" t="s">
        <v>661</v>
      </c>
      <c r="V211" s="3636"/>
      <c r="W211" s="3636"/>
      <c r="X211" s="3636"/>
      <c r="Y211" s="3636"/>
      <c r="Z211" s="3636" t="s">
        <v>661</v>
      </c>
      <c r="AA211" s="3636"/>
      <c r="AB211" s="3636"/>
      <c r="AC211" s="3636" t="s">
        <v>661</v>
      </c>
      <c r="AD211" s="3636"/>
      <c r="AE211" s="3636"/>
      <c r="AF211" s="3636" t="s">
        <v>661</v>
      </c>
      <c r="AG211" s="3636"/>
      <c r="AH211" s="3636"/>
      <c r="AI211" s="3636"/>
      <c r="AJ211" s="3636"/>
      <c r="AL211" s="3730" t="s">
        <v>1678</v>
      </c>
      <c r="AM211" s="3648"/>
      <c r="AN211" s="3648"/>
      <c r="AO211" s="3648"/>
      <c r="AP211" s="3648"/>
      <c r="AQ211" s="3648"/>
      <c r="AR211" s="3648"/>
      <c r="AS211" s="3648"/>
      <c r="AT211" s="3648"/>
      <c r="AU211" s="3648"/>
      <c r="AV211" s="3648"/>
      <c r="AW211" s="3648"/>
      <c r="AX211" s="3648"/>
      <c r="AY211" s="3648"/>
      <c r="AZ211" s="3648"/>
      <c r="BA211" s="3648"/>
      <c r="BB211" s="3648"/>
      <c r="BC211" s="3648"/>
      <c r="BD211" s="3648"/>
      <c r="BE211" s="3648"/>
      <c r="BF211" s="3648"/>
      <c r="BG211" s="3648"/>
      <c r="BH211" s="3648"/>
      <c r="BI211" s="3648"/>
      <c r="BJ211" s="3648"/>
      <c r="BK211" s="3648"/>
      <c r="BL211" s="3648"/>
      <c r="BM211" s="3648"/>
      <c r="BN211" s="3648"/>
      <c r="BO211" s="3648"/>
      <c r="BP211" s="3648"/>
      <c r="BQ211" s="3648"/>
      <c r="BR211" s="3648"/>
      <c r="BS211" s="3648"/>
      <c r="BT211" s="3649"/>
    </row>
    <row r="212" spans="1:72" ht="15.75">
      <c r="A212" s="3710" t="s">
        <v>711</v>
      </c>
      <c r="B212" s="3711"/>
      <c r="C212" s="3711"/>
      <c r="D212" s="3711"/>
      <c r="E212" s="3711"/>
      <c r="F212" s="3711"/>
      <c r="G212" s="3711"/>
      <c r="H212" s="3711"/>
      <c r="I212" s="3711"/>
      <c r="J212" s="3711"/>
      <c r="K212" s="3711"/>
      <c r="L212" s="3711"/>
      <c r="M212" s="3711"/>
      <c r="N212" s="3711"/>
      <c r="O212" s="3711"/>
      <c r="P212" s="3711"/>
      <c r="Q212" s="3711"/>
      <c r="R212" s="3711"/>
      <c r="S212" s="3711"/>
      <c r="T212" s="3711"/>
      <c r="U212" s="3711"/>
      <c r="V212" s="3711"/>
      <c r="W212" s="3711"/>
      <c r="X212" s="3711"/>
      <c r="Y212" s="3711"/>
      <c r="Z212" s="3711"/>
      <c r="AA212" s="3711"/>
      <c r="AB212" s="3711"/>
      <c r="AC212" s="3711"/>
      <c r="AD212" s="3711"/>
      <c r="AE212" s="3711"/>
      <c r="AF212" s="3711"/>
      <c r="AG212" s="3711"/>
      <c r="AH212" s="3711"/>
      <c r="AI212" s="3711"/>
      <c r="AJ212" s="3712"/>
      <c r="AL212" s="3743" t="s">
        <v>1664</v>
      </c>
      <c r="AM212" s="3744"/>
      <c r="AN212" s="3744"/>
      <c r="AO212" s="3744"/>
      <c r="AP212" s="3543"/>
      <c r="AQ212" s="3647" t="s">
        <v>1679</v>
      </c>
      <c r="AR212" s="3648"/>
      <c r="AS212" s="3648"/>
      <c r="AT212" s="3648"/>
      <c r="AU212" s="3648"/>
      <c r="AV212" s="3648"/>
      <c r="AW212" s="3648"/>
      <c r="AX212" s="3648"/>
      <c r="AY212" s="3648"/>
      <c r="AZ212" s="3649"/>
      <c r="BA212" s="3647" t="s">
        <v>1680</v>
      </c>
      <c r="BB212" s="3648"/>
      <c r="BC212" s="3648"/>
      <c r="BD212" s="3648"/>
      <c r="BE212" s="3648"/>
      <c r="BF212" s="3648"/>
      <c r="BG212" s="3648"/>
      <c r="BH212" s="3648"/>
      <c r="BI212" s="3648"/>
      <c r="BJ212" s="3649"/>
      <c r="BK212" s="3463" t="s">
        <v>1681</v>
      </c>
      <c r="BL212" s="3501"/>
      <c r="BM212" s="3501"/>
      <c r="BN212" s="3501"/>
      <c r="BO212" s="3501"/>
      <c r="BP212" s="3501"/>
      <c r="BQ212" s="3501"/>
      <c r="BR212" s="3501"/>
      <c r="BS212" s="3501"/>
      <c r="BT212" s="3500"/>
    </row>
    <row r="213" spans="1:72" ht="15.75">
      <c r="A213" s="3713" t="s">
        <v>639</v>
      </c>
      <c r="B213" s="3636"/>
      <c r="C213" s="3636"/>
      <c r="D213" s="3636" t="s">
        <v>670</v>
      </c>
      <c r="E213" s="3636"/>
      <c r="F213" s="3636"/>
      <c r="G213" s="3636"/>
      <c r="H213" s="3636"/>
      <c r="I213" s="3636"/>
      <c r="J213" s="3636"/>
      <c r="K213" s="3636"/>
      <c r="L213" s="3636"/>
      <c r="M213" s="3636"/>
      <c r="N213" s="3636"/>
      <c r="O213" s="3636" t="s">
        <v>671</v>
      </c>
      <c r="P213" s="3636"/>
      <c r="Q213" s="3636"/>
      <c r="R213" s="3636"/>
      <c r="S213" s="3636"/>
      <c r="T213" s="3636"/>
      <c r="U213" s="3636"/>
      <c r="V213" s="3636"/>
      <c r="W213" s="3636"/>
      <c r="X213" s="3636"/>
      <c r="Y213" s="3636"/>
      <c r="Z213" s="3640" t="s">
        <v>672</v>
      </c>
      <c r="AA213" s="3641"/>
      <c r="AB213" s="3641"/>
      <c r="AC213" s="3641"/>
      <c r="AD213" s="3641"/>
      <c r="AE213" s="3641"/>
      <c r="AF213" s="3641"/>
      <c r="AG213" s="3641"/>
      <c r="AH213" s="3641"/>
      <c r="AI213" s="3641"/>
      <c r="AJ213" s="3642"/>
      <c r="AL213" s="2447"/>
      <c r="AM213" s="3745"/>
      <c r="AN213" s="3745"/>
      <c r="AO213" s="3745"/>
      <c r="AP213" s="2448"/>
      <c r="AQ213" s="3463" t="s">
        <v>1682</v>
      </c>
      <c r="AR213" s="3501"/>
      <c r="AS213" s="3501"/>
      <c r="AT213" s="3501"/>
      <c r="AU213" s="3500"/>
      <c r="AV213" s="3463" t="s">
        <v>1683</v>
      </c>
      <c r="AW213" s="3501"/>
      <c r="AX213" s="3501"/>
      <c r="AY213" s="3501"/>
      <c r="AZ213" s="3500"/>
      <c r="BA213" s="3463" t="s">
        <v>1682</v>
      </c>
      <c r="BB213" s="3501"/>
      <c r="BC213" s="3501"/>
      <c r="BD213" s="3501"/>
      <c r="BE213" s="3500"/>
      <c r="BF213" s="3463" t="s">
        <v>1683</v>
      </c>
      <c r="BG213" s="3501"/>
      <c r="BH213" s="3501"/>
      <c r="BI213" s="3501"/>
      <c r="BJ213" s="3500"/>
      <c r="BK213" s="3463" t="s">
        <v>1682</v>
      </c>
      <c r="BL213" s="3501"/>
      <c r="BM213" s="3501"/>
      <c r="BN213" s="3501"/>
      <c r="BO213" s="3500"/>
      <c r="BP213" s="3463" t="s">
        <v>1683</v>
      </c>
      <c r="BQ213" s="3501"/>
      <c r="BR213" s="3501"/>
      <c r="BS213" s="3501"/>
      <c r="BT213" s="3500"/>
    </row>
    <row r="214" spans="1:72" ht="18.75">
      <c r="A214" s="3636"/>
      <c r="B214" s="3636"/>
      <c r="C214" s="3636"/>
      <c r="D214" s="3635">
        <v>1</v>
      </c>
      <c r="E214" s="3636"/>
      <c r="F214" s="3636"/>
      <c r="G214" s="3636">
        <v>2</v>
      </c>
      <c r="H214" s="3636"/>
      <c r="I214" s="3636"/>
      <c r="J214" s="3714" t="s">
        <v>643</v>
      </c>
      <c r="K214" s="3636"/>
      <c r="L214" s="3636"/>
      <c r="M214" s="3636"/>
      <c r="N214" s="3636"/>
      <c r="O214" s="3635">
        <v>1</v>
      </c>
      <c r="P214" s="3636"/>
      <c r="Q214" s="3636"/>
      <c r="R214" s="3636">
        <v>2</v>
      </c>
      <c r="S214" s="3636"/>
      <c r="T214" s="3636"/>
      <c r="U214" s="3714" t="s">
        <v>643</v>
      </c>
      <c r="V214" s="3636"/>
      <c r="W214" s="3636"/>
      <c r="X214" s="3636"/>
      <c r="Y214" s="3636"/>
      <c r="Z214" s="3635">
        <v>1</v>
      </c>
      <c r="AA214" s="3636"/>
      <c r="AB214" s="3636"/>
      <c r="AC214" s="3636">
        <v>2</v>
      </c>
      <c r="AD214" s="3636"/>
      <c r="AE214" s="3636"/>
      <c r="AF214" s="3714" t="s">
        <v>643</v>
      </c>
      <c r="AG214" s="3636"/>
      <c r="AH214" s="3636"/>
      <c r="AI214" s="3636"/>
      <c r="AJ214" s="3636"/>
      <c r="AL214" s="3737" t="s">
        <v>1668</v>
      </c>
      <c r="AM214" s="3648"/>
      <c r="AN214" s="3648"/>
      <c r="AO214" s="3648"/>
      <c r="AP214" s="3648"/>
      <c r="AQ214" s="3727" t="s">
        <v>1669</v>
      </c>
      <c r="AR214" s="3728"/>
      <c r="AS214" s="3728"/>
      <c r="AT214" s="3728"/>
      <c r="AU214" s="3729"/>
      <c r="AV214" s="3727" t="s">
        <v>1727</v>
      </c>
      <c r="AW214" s="3728"/>
      <c r="AX214" s="3728"/>
      <c r="AY214" s="3728"/>
      <c r="AZ214" s="3729"/>
      <c r="BA214" s="3727" t="s">
        <v>1727</v>
      </c>
      <c r="BB214" s="3728"/>
      <c r="BC214" s="3728"/>
      <c r="BD214" s="3728"/>
      <c r="BE214" s="3729"/>
      <c r="BF214" s="3727" t="s">
        <v>1727</v>
      </c>
      <c r="BG214" s="3728"/>
      <c r="BH214" s="3728"/>
      <c r="BI214" s="3728"/>
      <c r="BJ214" s="3729"/>
      <c r="BK214" s="3727" t="s">
        <v>1669</v>
      </c>
      <c r="BL214" s="3728"/>
      <c r="BM214" s="3728"/>
      <c r="BN214" s="3728"/>
      <c r="BO214" s="3729"/>
      <c r="BP214" s="3727" t="s">
        <v>1730</v>
      </c>
      <c r="BQ214" s="3728"/>
      <c r="BR214" s="3728"/>
      <c r="BS214" s="3728"/>
      <c r="BT214" s="3729"/>
    </row>
    <row r="215" spans="1:72" ht="18.75">
      <c r="A215" s="3640" t="s">
        <v>673</v>
      </c>
      <c r="B215" s="3641"/>
      <c r="C215" s="3641"/>
      <c r="D215" s="3641"/>
      <c r="E215" s="3641"/>
      <c r="F215" s="3641"/>
      <c r="G215" s="3641"/>
      <c r="H215" s="3641"/>
      <c r="I215" s="3641"/>
      <c r="J215" s="3641"/>
      <c r="K215" s="3641"/>
      <c r="L215" s="3641"/>
      <c r="M215" s="3641"/>
      <c r="N215" s="3641"/>
      <c r="O215" s="3641"/>
      <c r="P215" s="3641"/>
      <c r="Q215" s="3641"/>
      <c r="R215" s="3641"/>
      <c r="S215" s="3641"/>
      <c r="T215" s="3641"/>
      <c r="U215" s="3641"/>
      <c r="V215" s="3641"/>
      <c r="W215" s="3641"/>
      <c r="X215" s="3641"/>
      <c r="Y215" s="3641"/>
      <c r="Z215" s="3641"/>
      <c r="AA215" s="3641"/>
      <c r="AB215" s="3641"/>
      <c r="AC215" s="3641"/>
      <c r="AD215" s="3641"/>
      <c r="AE215" s="3641"/>
      <c r="AF215" s="3641"/>
      <c r="AG215" s="3641"/>
      <c r="AH215" s="3641"/>
      <c r="AI215" s="3641"/>
      <c r="AJ215" s="3642"/>
      <c r="AL215" s="3737" t="s">
        <v>1729</v>
      </c>
      <c r="AM215" s="3648"/>
      <c r="AN215" s="3648"/>
      <c r="AO215" s="3648"/>
      <c r="AP215" s="3649"/>
      <c r="AQ215" s="3727" t="s">
        <v>1669</v>
      </c>
      <c r="AR215" s="3728"/>
      <c r="AS215" s="3728"/>
      <c r="AT215" s="3728"/>
      <c r="AU215" s="3729"/>
      <c r="AV215" s="3727" t="s">
        <v>1734</v>
      </c>
      <c r="AW215" s="3728"/>
      <c r="AX215" s="3728"/>
      <c r="AY215" s="3728"/>
      <c r="AZ215" s="3729"/>
      <c r="BA215" s="3727" t="s">
        <v>1727</v>
      </c>
      <c r="BB215" s="3728"/>
      <c r="BC215" s="3728"/>
      <c r="BD215" s="3728"/>
      <c r="BE215" s="3729"/>
      <c r="BF215" s="3727" t="s">
        <v>1669</v>
      </c>
      <c r="BG215" s="3728"/>
      <c r="BH215" s="3728"/>
      <c r="BI215" s="3728"/>
      <c r="BJ215" s="3729"/>
      <c r="BK215" s="3727" t="s">
        <v>1669</v>
      </c>
      <c r="BL215" s="3728"/>
      <c r="BM215" s="3728"/>
      <c r="BN215" s="3728"/>
      <c r="BO215" s="3729"/>
      <c r="BP215" s="3727" t="s">
        <v>1687</v>
      </c>
      <c r="BQ215" s="3728"/>
      <c r="BR215" s="3728"/>
      <c r="BS215" s="3728"/>
      <c r="BT215" s="3729"/>
    </row>
    <row r="216" spans="1:72" ht="18.75">
      <c r="A216" s="3639" t="s">
        <v>644</v>
      </c>
      <c r="B216" s="3636"/>
      <c r="C216" s="3636"/>
      <c r="D216" s="3636" t="s">
        <v>652</v>
      </c>
      <c r="E216" s="3636"/>
      <c r="F216" s="3636"/>
      <c r="G216" s="3636" t="s">
        <v>652</v>
      </c>
      <c r="H216" s="3636"/>
      <c r="I216" s="3636"/>
      <c r="J216" s="3636" t="s">
        <v>652</v>
      </c>
      <c r="K216" s="3636"/>
      <c r="L216" s="3636"/>
      <c r="M216" s="3636"/>
      <c r="N216" s="3636"/>
      <c r="O216" s="3636" t="s">
        <v>658</v>
      </c>
      <c r="P216" s="3636"/>
      <c r="Q216" s="3636"/>
      <c r="R216" s="3636" t="s">
        <v>681</v>
      </c>
      <c r="S216" s="3636"/>
      <c r="T216" s="3636"/>
      <c r="U216" s="3636" t="s">
        <v>712</v>
      </c>
      <c r="V216" s="3636"/>
      <c r="W216" s="3636"/>
      <c r="X216" s="3636"/>
      <c r="Y216" s="3636"/>
      <c r="Z216" s="3636" t="s">
        <v>652</v>
      </c>
      <c r="AA216" s="3636"/>
      <c r="AB216" s="3636"/>
      <c r="AC216" s="3636" t="s">
        <v>704</v>
      </c>
      <c r="AD216" s="3636"/>
      <c r="AE216" s="3636"/>
      <c r="AF216" s="3636" t="s">
        <v>713</v>
      </c>
      <c r="AG216" s="3636"/>
      <c r="AH216" s="3636"/>
      <c r="AI216" s="3636"/>
      <c r="AJ216" s="3636"/>
      <c r="AL216" s="3647" t="s">
        <v>1731</v>
      </c>
      <c r="AM216" s="3648"/>
      <c r="AN216" s="3648"/>
      <c r="AO216" s="3648"/>
      <c r="AP216" s="3649"/>
      <c r="AQ216" s="3727" t="s">
        <v>1655</v>
      </c>
      <c r="AR216" s="3728"/>
      <c r="AS216" s="3728"/>
      <c r="AT216" s="3728"/>
      <c r="AU216" s="3729"/>
      <c r="AV216" s="3727" t="s">
        <v>1735</v>
      </c>
      <c r="AW216" s="3728"/>
      <c r="AX216" s="3728"/>
      <c r="AY216" s="3728"/>
      <c r="AZ216" s="3729"/>
      <c r="BA216" s="3727" t="s">
        <v>1655</v>
      </c>
      <c r="BB216" s="3728"/>
      <c r="BC216" s="3728"/>
      <c r="BD216" s="3728"/>
      <c r="BE216" s="3729"/>
      <c r="BF216" s="3727" t="s">
        <v>1669</v>
      </c>
      <c r="BG216" s="3728"/>
      <c r="BH216" s="3728"/>
      <c r="BI216" s="3728"/>
      <c r="BJ216" s="3729"/>
      <c r="BK216" s="3727" t="s">
        <v>1655</v>
      </c>
      <c r="BL216" s="3728"/>
      <c r="BM216" s="3728"/>
      <c r="BN216" s="3728"/>
      <c r="BO216" s="3729"/>
      <c r="BP216" s="3727" t="s">
        <v>1730</v>
      </c>
      <c r="BQ216" s="3728"/>
      <c r="BR216" s="3728"/>
      <c r="BS216" s="3728"/>
      <c r="BT216" s="3729"/>
    </row>
    <row r="217" spans="1:72" ht="18.75">
      <c r="A217" s="3657" t="s">
        <v>655</v>
      </c>
      <c r="B217" s="3641"/>
      <c r="C217" s="3642"/>
      <c r="D217" s="3636" t="s">
        <v>652</v>
      </c>
      <c r="E217" s="3636"/>
      <c r="F217" s="3636"/>
      <c r="G217" s="3636" t="s">
        <v>652</v>
      </c>
      <c r="H217" s="3636"/>
      <c r="I217" s="3636"/>
      <c r="J217" s="3636" t="s">
        <v>652</v>
      </c>
      <c r="K217" s="3636"/>
      <c r="L217" s="3636"/>
      <c r="M217" s="3636"/>
      <c r="N217" s="3636"/>
      <c r="O217" s="3636" t="s">
        <v>653</v>
      </c>
      <c r="P217" s="3636"/>
      <c r="Q217" s="3636"/>
      <c r="R217" s="3636" t="s">
        <v>653</v>
      </c>
      <c r="S217" s="3636"/>
      <c r="T217" s="3636"/>
      <c r="U217" s="3636" t="s">
        <v>653</v>
      </c>
      <c r="V217" s="3636"/>
      <c r="W217" s="3636"/>
      <c r="X217" s="3636"/>
      <c r="Y217" s="3636"/>
      <c r="Z217" s="3636" t="s">
        <v>652</v>
      </c>
      <c r="AA217" s="3636"/>
      <c r="AB217" s="3636"/>
      <c r="AC217" s="3636" t="s">
        <v>652</v>
      </c>
      <c r="AD217" s="3636"/>
      <c r="AE217" s="3636"/>
      <c r="AF217" s="3636" t="s">
        <v>652</v>
      </c>
      <c r="AG217" s="3636"/>
      <c r="AH217" s="3636"/>
      <c r="AI217" s="3636"/>
      <c r="AJ217" s="3636"/>
      <c r="AL217" s="3647" t="s">
        <v>1732</v>
      </c>
      <c r="AM217" s="3648"/>
      <c r="AN217" s="3648"/>
      <c r="AO217" s="3648"/>
      <c r="AP217" s="3649"/>
      <c r="AQ217" s="3727" t="s">
        <v>1669</v>
      </c>
      <c r="AR217" s="3728"/>
      <c r="AS217" s="3728"/>
      <c r="AT217" s="3728"/>
      <c r="AU217" s="3729"/>
      <c r="AV217" s="3727" t="s">
        <v>1655</v>
      </c>
      <c r="AW217" s="3728"/>
      <c r="AX217" s="3728"/>
      <c r="AY217" s="3728"/>
      <c r="AZ217" s="3729"/>
      <c r="BA217" s="3727" t="s">
        <v>1669</v>
      </c>
      <c r="BB217" s="3728"/>
      <c r="BC217" s="3728"/>
      <c r="BD217" s="3728"/>
      <c r="BE217" s="3729"/>
      <c r="BF217" s="3727" t="s">
        <v>1655</v>
      </c>
      <c r="BG217" s="3728"/>
      <c r="BH217" s="3728"/>
      <c r="BI217" s="3728"/>
      <c r="BJ217" s="3729"/>
      <c r="BK217" s="3727" t="s">
        <v>1669</v>
      </c>
      <c r="BL217" s="3728"/>
      <c r="BM217" s="3728"/>
      <c r="BN217" s="3728"/>
      <c r="BO217" s="3729"/>
      <c r="BP217" s="3727" t="s">
        <v>1655</v>
      </c>
      <c r="BQ217" s="3728"/>
      <c r="BR217" s="3728"/>
      <c r="BS217" s="3728"/>
      <c r="BT217" s="3729"/>
    </row>
    <row r="218" spans="1:72" ht="18.75">
      <c r="A218" s="3640" t="s">
        <v>665</v>
      </c>
      <c r="B218" s="3641"/>
      <c r="C218" s="3642"/>
      <c r="D218" s="3636" t="s">
        <v>652</v>
      </c>
      <c r="E218" s="3636"/>
      <c r="F218" s="3636"/>
      <c r="G218" s="3636" t="s">
        <v>652</v>
      </c>
      <c r="H218" s="3636"/>
      <c r="I218" s="3636"/>
      <c r="J218" s="3636" t="s">
        <v>652</v>
      </c>
      <c r="K218" s="3636"/>
      <c r="L218" s="3636"/>
      <c r="M218" s="3636"/>
      <c r="N218" s="3636"/>
      <c r="O218" s="3636" t="s">
        <v>652</v>
      </c>
      <c r="P218" s="3636"/>
      <c r="Q218" s="3636"/>
      <c r="R218" s="3636" t="s">
        <v>652</v>
      </c>
      <c r="S218" s="3636"/>
      <c r="T218" s="3636"/>
      <c r="U218" s="3636" t="s">
        <v>652</v>
      </c>
      <c r="V218" s="3636"/>
      <c r="W218" s="3636"/>
      <c r="X218" s="3636"/>
      <c r="Y218" s="3636"/>
      <c r="Z218" s="3636" t="s">
        <v>652</v>
      </c>
      <c r="AA218" s="3636"/>
      <c r="AB218" s="3636"/>
      <c r="AC218" s="3636" t="s">
        <v>652</v>
      </c>
      <c r="AD218" s="3636"/>
      <c r="AE218" s="3636"/>
      <c r="AF218" s="3636" t="s">
        <v>652</v>
      </c>
      <c r="AG218" s="3636"/>
      <c r="AH218" s="3636"/>
      <c r="AI218" s="3636"/>
      <c r="AJ218" s="3636"/>
      <c r="AL218" s="3738" t="s">
        <v>1736</v>
      </c>
      <c r="AM218" s="3739"/>
      <c r="AN218" s="3739"/>
      <c r="AO218" s="3739"/>
      <c r="AP218" s="3739"/>
      <c r="AQ218" s="3739"/>
      <c r="AR218" s="3739"/>
      <c r="AS218" s="3739"/>
      <c r="AT218" s="3739"/>
      <c r="AU218" s="3739"/>
      <c r="AV218" s="3739"/>
      <c r="AW218" s="3739"/>
      <c r="AX218" s="3739"/>
      <c r="AY218" s="3739"/>
      <c r="AZ218" s="3739"/>
      <c r="BA218" s="3739"/>
      <c r="BB218" s="3739"/>
      <c r="BC218" s="3739"/>
      <c r="BD218" s="3739"/>
      <c r="BE218" s="3739"/>
      <c r="BF218" s="3739"/>
      <c r="BG218" s="3739"/>
      <c r="BH218" s="3739"/>
      <c r="BI218" s="3739"/>
      <c r="BJ218" s="3739"/>
      <c r="BK218" s="3739"/>
      <c r="BL218" s="3739"/>
      <c r="BM218" s="3739"/>
      <c r="BN218" s="3739"/>
      <c r="BO218" s="3739"/>
      <c r="BP218" s="3739"/>
      <c r="BQ218" s="3739"/>
      <c r="BR218" s="3739"/>
      <c r="BS218" s="3739"/>
      <c r="BT218" s="3740"/>
    </row>
    <row r="219" spans="1:72" ht="15.75">
      <c r="A219" s="3640" t="s">
        <v>680</v>
      </c>
      <c r="B219" s="3641"/>
      <c r="C219" s="3641"/>
      <c r="D219" s="3641"/>
      <c r="E219" s="3641"/>
      <c r="F219" s="3641"/>
      <c r="G219" s="3641"/>
      <c r="H219" s="3641"/>
      <c r="I219" s="3641"/>
      <c r="J219" s="3641"/>
      <c r="K219" s="3641"/>
      <c r="L219" s="3641"/>
      <c r="M219" s="3641"/>
      <c r="N219" s="3641"/>
      <c r="O219" s="3641"/>
      <c r="P219" s="3641"/>
      <c r="Q219" s="3641"/>
      <c r="R219" s="3641"/>
      <c r="S219" s="3641"/>
      <c r="T219" s="3641"/>
      <c r="U219" s="3641"/>
      <c r="V219" s="3641"/>
      <c r="W219" s="3641"/>
      <c r="X219" s="3641"/>
      <c r="Y219" s="3641"/>
      <c r="Z219" s="3641"/>
      <c r="AA219" s="3641"/>
      <c r="AB219" s="3641"/>
      <c r="AC219" s="3641"/>
      <c r="AD219" s="3641"/>
      <c r="AE219" s="3641"/>
      <c r="AF219" s="3641"/>
      <c r="AG219" s="3641"/>
      <c r="AH219" s="3641"/>
      <c r="AI219" s="3641"/>
      <c r="AJ219" s="3642"/>
      <c r="AL219" s="3647" t="s">
        <v>1679</v>
      </c>
      <c r="AM219" s="3648"/>
      <c r="AN219" s="3648"/>
      <c r="AO219" s="3648"/>
      <c r="AP219" s="3649"/>
      <c r="AQ219" s="3724" t="s">
        <v>1669</v>
      </c>
      <c r="AR219" s="3725"/>
      <c r="AS219" s="3725"/>
      <c r="AT219" s="3725"/>
      <c r="AU219" s="3725"/>
      <c r="AV219" s="3726"/>
      <c r="AW219" s="3647" t="s">
        <v>1680</v>
      </c>
      <c r="AX219" s="3648"/>
      <c r="AY219" s="3648"/>
      <c r="AZ219" s="3648"/>
      <c r="BA219" s="3648"/>
      <c r="BB219" s="3649"/>
      <c r="BC219" s="3742" t="s">
        <v>1727</v>
      </c>
      <c r="BD219" s="3634"/>
      <c r="BE219" s="3634"/>
      <c r="BF219" s="3634"/>
      <c r="BG219" s="3634"/>
      <c r="BH219" s="3634"/>
      <c r="BI219" s="3647" t="s">
        <v>1681</v>
      </c>
      <c r="BJ219" s="3648"/>
      <c r="BK219" s="3648"/>
      <c r="BL219" s="3648"/>
      <c r="BM219" s="3648"/>
      <c r="BN219" s="3649"/>
      <c r="BO219" s="3724" t="s">
        <v>1669</v>
      </c>
      <c r="BP219" s="3725"/>
      <c r="BQ219" s="3725"/>
      <c r="BR219" s="3725"/>
      <c r="BS219" s="3725"/>
      <c r="BT219" s="3726"/>
    </row>
    <row r="220" spans="1:72" ht="16.5">
      <c r="A220" s="3639" t="s">
        <v>644</v>
      </c>
      <c r="B220" s="3636"/>
      <c r="C220" s="3636"/>
      <c r="D220" s="3636" t="s">
        <v>676</v>
      </c>
      <c r="E220" s="3636"/>
      <c r="F220" s="3636"/>
      <c r="G220" s="3636" t="s">
        <v>681</v>
      </c>
      <c r="H220" s="3636"/>
      <c r="I220" s="3636"/>
      <c r="J220" s="3636" t="s">
        <v>658</v>
      </c>
      <c r="K220" s="3636"/>
      <c r="L220" s="3636"/>
      <c r="M220" s="3636"/>
      <c r="N220" s="3636"/>
      <c r="O220" s="3636" t="s">
        <v>681</v>
      </c>
      <c r="P220" s="3636"/>
      <c r="Q220" s="3636"/>
      <c r="R220" s="3636" t="s">
        <v>676</v>
      </c>
      <c r="S220" s="3636"/>
      <c r="T220" s="3636"/>
      <c r="U220" s="3636" t="s">
        <v>658</v>
      </c>
      <c r="V220" s="3636"/>
      <c r="W220" s="3636"/>
      <c r="X220" s="3636"/>
      <c r="Y220" s="3636"/>
      <c r="Z220" s="3636" t="s">
        <v>714</v>
      </c>
      <c r="AA220" s="3636"/>
      <c r="AB220" s="3636"/>
      <c r="AC220" s="3636" t="s">
        <v>714</v>
      </c>
      <c r="AD220" s="3636"/>
      <c r="AE220" s="3636"/>
      <c r="AF220" s="3636" t="s">
        <v>714</v>
      </c>
      <c r="AG220" s="3636"/>
      <c r="AH220" s="3636"/>
      <c r="AI220" s="3636"/>
      <c r="AJ220" s="3636"/>
    </row>
    <row r="221" spans="1:72" ht="16.5">
      <c r="A221" s="3657" t="s">
        <v>655</v>
      </c>
      <c r="B221" s="3641"/>
      <c r="C221" s="3642"/>
      <c r="D221" s="3636" t="s">
        <v>662</v>
      </c>
      <c r="E221" s="3636"/>
      <c r="F221" s="3636"/>
      <c r="G221" s="3636" t="s">
        <v>685</v>
      </c>
      <c r="H221" s="3636"/>
      <c r="I221" s="3636"/>
      <c r="J221" s="3636" t="s">
        <v>686</v>
      </c>
      <c r="K221" s="3636"/>
      <c r="L221" s="3636"/>
      <c r="M221" s="3636"/>
      <c r="N221" s="3636"/>
      <c r="O221" s="3636" t="s">
        <v>652</v>
      </c>
      <c r="P221" s="3636"/>
      <c r="Q221" s="3636"/>
      <c r="R221" s="3636" t="s">
        <v>658</v>
      </c>
      <c r="S221" s="3636"/>
      <c r="T221" s="3636"/>
      <c r="U221" s="3636" t="s">
        <v>649</v>
      </c>
      <c r="V221" s="3636"/>
      <c r="W221" s="3636"/>
      <c r="X221" s="3636"/>
      <c r="Y221" s="3636"/>
      <c r="Z221" s="3636" t="s">
        <v>662</v>
      </c>
      <c r="AA221" s="3636"/>
      <c r="AB221" s="3636"/>
      <c r="AC221" s="3636" t="s">
        <v>657</v>
      </c>
      <c r="AD221" s="3636"/>
      <c r="AE221" s="3636"/>
      <c r="AF221" s="3636" t="s">
        <v>715</v>
      </c>
      <c r="AG221" s="3636"/>
      <c r="AH221" s="3636"/>
      <c r="AI221" s="3636"/>
      <c r="AJ221" s="3636"/>
    </row>
    <row r="222" spans="1:72" ht="16.5">
      <c r="A222" s="3640" t="s">
        <v>660</v>
      </c>
      <c r="B222" s="3641"/>
      <c r="C222" s="3642"/>
      <c r="D222" s="3636" t="s">
        <v>688</v>
      </c>
      <c r="E222" s="3636"/>
      <c r="F222" s="3636"/>
      <c r="G222" s="3636" t="s">
        <v>687</v>
      </c>
      <c r="H222" s="3636"/>
      <c r="I222" s="3636"/>
      <c r="J222" s="3636" t="s">
        <v>689</v>
      </c>
      <c r="K222" s="3636"/>
      <c r="L222" s="3636"/>
      <c r="M222" s="3636"/>
      <c r="N222" s="3636"/>
      <c r="O222" s="3636" t="s">
        <v>652</v>
      </c>
      <c r="P222" s="3636"/>
      <c r="Q222" s="3636"/>
      <c r="R222" s="3636" t="s">
        <v>652</v>
      </c>
      <c r="S222" s="3636"/>
      <c r="T222" s="3636"/>
      <c r="U222" s="3636" t="s">
        <v>652</v>
      </c>
      <c r="V222" s="3636"/>
      <c r="W222" s="3636"/>
      <c r="X222" s="3636"/>
      <c r="Y222" s="3636"/>
      <c r="Z222" s="3636" t="s">
        <v>662</v>
      </c>
      <c r="AA222" s="3636"/>
      <c r="AB222" s="3636"/>
      <c r="AC222" s="3636" t="s">
        <v>652</v>
      </c>
      <c r="AD222" s="3636"/>
      <c r="AE222" s="3636"/>
      <c r="AF222" s="3636" t="s">
        <v>666</v>
      </c>
      <c r="AG222" s="3636"/>
      <c r="AH222" s="3636"/>
      <c r="AI222" s="3636"/>
      <c r="AJ222" s="3636"/>
    </row>
    <row r="223" spans="1:72" ht="16.5">
      <c r="A223" s="3715" t="s">
        <v>690</v>
      </c>
      <c r="B223" s="3716"/>
      <c r="C223" s="3716"/>
      <c r="D223" s="3716"/>
      <c r="E223" s="3716"/>
      <c r="F223" s="3716"/>
      <c r="G223" s="3716"/>
      <c r="H223" s="3716"/>
      <c r="I223" s="3716"/>
      <c r="J223" s="3716"/>
      <c r="K223" s="3716"/>
      <c r="L223" s="3716"/>
      <c r="M223" s="3716"/>
      <c r="N223" s="3716"/>
      <c r="O223" s="3716"/>
      <c r="P223" s="3716"/>
      <c r="Q223" s="3716"/>
      <c r="R223" s="3716"/>
      <c r="S223" s="3716"/>
      <c r="T223" s="3716"/>
      <c r="U223" s="3716"/>
      <c r="V223" s="3716"/>
      <c r="W223" s="3716"/>
      <c r="X223" s="3716"/>
      <c r="Y223" s="3716"/>
      <c r="Z223" s="3716"/>
      <c r="AA223" s="3716"/>
      <c r="AB223" s="3716"/>
      <c r="AC223" s="3716"/>
      <c r="AD223" s="3716"/>
      <c r="AE223" s="3716"/>
      <c r="AF223" s="3716"/>
      <c r="AG223" s="3716"/>
      <c r="AH223" s="3716"/>
      <c r="AI223" s="3716"/>
      <c r="AJ223" s="3717"/>
    </row>
    <row r="224" spans="1:72" ht="15">
      <c r="A224" s="3636" t="s">
        <v>670</v>
      </c>
      <c r="B224" s="3636"/>
      <c r="C224" s="3636"/>
      <c r="D224" s="3636"/>
      <c r="E224" s="3635" t="s">
        <v>716</v>
      </c>
      <c r="F224" s="3636"/>
      <c r="G224" s="3636"/>
      <c r="H224" s="3636"/>
      <c r="I224" s="3636"/>
      <c r="J224" s="3636"/>
      <c r="K224" s="3636" t="s">
        <v>671</v>
      </c>
      <c r="L224" s="3636"/>
      <c r="M224" s="3636"/>
      <c r="N224" s="3636"/>
      <c r="O224" s="3636"/>
      <c r="P224" s="3636"/>
      <c r="Q224" s="3635" t="s">
        <v>717</v>
      </c>
      <c r="R224" s="3636"/>
      <c r="S224" s="3636"/>
      <c r="T224" s="3636"/>
      <c r="U224" s="3636"/>
      <c r="V224" s="3636"/>
      <c r="W224" s="3636"/>
      <c r="X224" s="3636" t="s">
        <v>672</v>
      </c>
      <c r="Y224" s="3636"/>
      <c r="Z224" s="3636"/>
      <c r="AA224" s="3636"/>
      <c r="AB224" s="3636"/>
      <c r="AC224" s="3646" t="s">
        <v>716</v>
      </c>
      <c r="AD224" s="3643"/>
      <c r="AE224" s="3643"/>
      <c r="AF224" s="3643"/>
      <c r="AG224" s="3643"/>
      <c r="AH224" s="3643"/>
      <c r="AI224" s="3643"/>
      <c r="AJ224" s="3644"/>
    </row>
    <row r="225" spans="1:72" ht="15.75">
      <c r="A225" s="217"/>
      <c r="B225" s="217"/>
      <c r="C225" s="217"/>
      <c r="D225" s="217"/>
      <c r="E225" s="217"/>
      <c r="F225" s="217"/>
      <c r="G225" s="217"/>
      <c r="H225" s="217"/>
      <c r="I225" s="217"/>
      <c r="J225" s="217"/>
      <c r="K225" s="217"/>
      <c r="L225" s="217"/>
      <c r="M225" s="217"/>
      <c r="N225" s="217"/>
      <c r="O225" s="217"/>
      <c r="P225" s="217"/>
      <c r="Q225" s="217"/>
      <c r="R225" s="217"/>
      <c r="S225" s="217"/>
      <c r="T225" s="217"/>
      <c r="U225" s="217"/>
      <c r="V225" s="217"/>
      <c r="W225" s="217"/>
      <c r="X225" s="217"/>
      <c r="Y225" s="217"/>
      <c r="Z225" s="217"/>
      <c r="AA225" s="217"/>
      <c r="AB225" s="217"/>
      <c r="AC225" s="217"/>
      <c r="AD225" s="217"/>
      <c r="AE225" s="217"/>
      <c r="AF225" s="217"/>
      <c r="AG225" s="217"/>
      <c r="AH225" s="217"/>
      <c r="AI225" s="217"/>
      <c r="AJ225" s="217"/>
      <c r="AL225" s="649" t="s">
        <v>1691</v>
      </c>
    </row>
    <row r="226" spans="1:72" ht="15.75">
      <c r="A226" s="211" t="s">
        <v>718</v>
      </c>
      <c r="B226" s="212"/>
      <c r="C226" s="212"/>
      <c r="D226" s="212"/>
      <c r="E226" s="212"/>
      <c r="F226" s="212"/>
      <c r="G226" s="212"/>
      <c r="H226" s="261" t="s">
        <v>637</v>
      </c>
      <c r="I226" s="212"/>
      <c r="J226" s="212"/>
      <c r="K226" s="212"/>
      <c r="L226" s="212"/>
      <c r="M226" s="212"/>
      <c r="N226" s="212"/>
      <c r="O226" s="212"/>
      <c r="P226" s="212"/>
      <c r="Q226" s="212"/>
      <c r="R226" s="212"/>
      <c r="S226" s="212"/>
      <c r="T226" s="212"/>
      <c r="U226" s="212"/>
      <c r="V226" s="212"/>
      <c r="W226" s="212"/>
      <c r="X226" s="212"/>
      <c r="Y226" s="212"/>
      <c r="Z226" s="212"/>
      <c r="AA226" s="212"/>
      <c r="AB226" s="212"/>
      <c r="AC226" s="212"/>
      <c r="AD226" s="212"/>
      <c r="AE226" s="212"/>
      <c r="AF226" s="212"/>
      <c r="AG226" s="212"/>
      <c r="AH226" s="212"/>
      <c r="AI226" s="212"/>
      <c r="AJ226" s="212"/>
      <c r="AL226" s="3763" t="s">
        <v>1741</v>
      </c>
      <c r="AM226" s="3763"/>
      <c r="AN226" s="3770" t="s">
        <v>1742</v>
      </c>
      <c r="AO226" s="3769"/>
      <c r="AP226" s="3769"/>
      <c r="AQ226" s="3769"/>
      <c r="AR226" s="3745"/>
      <c r="AS226" s="3745"/>
      <c r="AT226" s="3745"/>
      <c r="AU226" s="3745"/>
      <c r="AV226" s="3745"/>
      <c r="AW226" s="3745"/>
      <c r="AX226" s="3745"/>
      <c r="AY226" s="3745"/>
      <c r="AZ226" s="3745"/>
      <c r="BA226" s="3745"/>
      <c r="BB226" s="3745"/>
      <c r="BC226" s="3745"/>
      <c r="BD226" s="3745"/>
      <c r="BE226" s="3745"/>
      <c r="BF226" s="3745"/>
      <c r="BG226" s="3745"/>
      <c r="BH226" s="3745"/>
      <c r="BI226" s="3745"/>
      <c r="BJ226" s="3745"/>
      <c r="BK226" s="3745"/>
      <c r="BL226" s="3745"/>
      <c r="BM226" s="3745"/>
      <c r="BN226" s="3745"/>
    </row>
    <row r="227" spans="1:72" ht="15.75">
      <c r="A227" s="3710" t="s">
        <v>695</v>
      </c>
      <c r="B227" s="3711"/>
      <c r="C227" s="3711"/>
      <c r="D227" s="3711"/>
      <c r="E227" s="3711"/>
      <c r="F227" s="3711"/>
      <c r="G227" s="3711"/>
      <c r="H227" s="3711"/>
      <c r="I227" s="3711"/>
      <c r="J227" s="3711"/>
      <c r="K227" s="3711"/>
      <c r="L227" s="3711"/>
      <c r="M227" s="3711"/>
      <c r="N227" s="3711"/>
      <c r="O227" s="3711"/>
      <c r="P227" s="3711"/>
      <c r="Q227" s="3711"/>
      <c r="R227" s="3711"/>
      <c r="S227" s="3711"/>
      <c r="T227" s="3711"/>
      <c r="U227" s="3711"/>
      <c r="V227" s="3711"/>
      <c r="W227" s="3711"/>
      <c r="X227" s="3711"/>
      <c r="Y227" s="3711"/>
      <c r="Z227" s="3711"/>
      <c r="AA227" s="3711"/>
      <c r="AB227" s="3711"/>
      <c r="AC227" s="3711"/>
      <c r="AD227" s="3711"/>
      <c r="AE227" s="3711"/>
      <c r="AF227" s="3711"/>
      <c r="AG227" s="3711"/>
      <c r="AH227" s="3711"/>
      <c r="AI227" s="3711"/>
      <c r="AJ227" s="3712"/>
      <c r="AL227" s="3730" t="s">
        <v>1663</v>
      </c>
      <c r="AM227" s="3648"/>
      <c r="AN227" s="3648"/>
      <c r="AO227" s="3648"/>
      <c r="AP227" s="3648"/>
      <c r="AQ227" s="3648"/>
      <c r="AR227" s="3648"/>
      <c r="AS227" s="3648"/>
      <c r="AT227" s="3648"/>
      <c r="AU227" s="3648"/>
      <c r="AV227" s="3648"/>
      <c r="AW227" s="3648"/>
      <c r="AX227" s="3648"/>
      <c r="AY227" s="3648"/>
      <c r="AZ227" s="3648"/>
      <c r="BA227" s="3648"/>
      <c r="BB227" s="3648"/>
      <c r="BC227" s="3648"/>
      <c r="BD227" s="3648"/>
      <c r="BE227" s="3648"/>
      <c r="BF227" s="3648"/>
      <c r="BG227" s="3648"/>
      <c r="BH227" s="3648"/>
      <c r="BI227" s="3648"/>
      <c r="BJ227" s="3648"/>
      <c r="BK227" s="3648"/>
      <c r="BL227" s="3648"/>
      <c r="BM227" s="3648"/>
      <c r="BN227" s="3648"/>
      <c r="BO227" s="3648"/>
      <c r="BP227" s="3648"/>
      <c r="BQ227" s="3648"/>
      <c r="BR227" s="3648"/>
      <c r="BS227" s="3648"/>
      <c r="BT227" s="3649"/>
    </row>
    <row r="228" spans="1:72" ht="15.75">
      <c r="A228" s="3720" t="s">
        <v>639</v>
      </c>
      <c r="B228" s="3651"/>
      <c r="C228" s="3652"/>
      <c r="D228" s="3640" t="s">
        <v>719</v>
      </c>
      <c r="E228" s="3641"/>
      <c r="F228" s="3641"/>
      <c r="G228" s="3641"/>
      <c r="H228" s="3641"/>
      <c r="I228" s="3641"/>
      <c r="J228" s="3641"/>
      <c r="K228" s="3641"/>
      <c r="L228" s="3641"/>
      <c r="M228" s="3641"/>
      <c r="N228" s="3642"/>
      <c r="O228" s="3640" t="s">
        <v>720</v>
      </c>
      <c r="P228" s="3641"/>
      <c r="Q228" s="3641"/>
      <c r="R228" s="3641"/>
      <c r="S228" s="3641"/>
      <c r="T228" s="3641"/>
      <c r="U228" s="3641"/>
      <c r="V228" s="3641"/>
      <c r="W228" s="3641"/>
      <c r="X228" s="3641"/>
      <c r="Y228" s="3642"/>
      <c r="Z228" s="3640" t="s">
        <v>721</v>
      </c>
      <c r="AA228" s="3641"/>
      <c r="AB228" s="3641"/>
      <c r="AC228" s="3641"/>
      <c r="AD228" s="3641"/>
      <c r="AE228" s="3641"/>
      <c r="AF228" s="3641"/>
      <c r="AG228" s="3641"/>
      <c r="AH228" s="3641"/>
      <c r="AI228" s="3641"/>
      <c r="AJ228" s="3642"/>
      <c r="AL228" s="3730" t="s">
        <v>1664</v>
      </c>
      <c r="AM228" s="3648"/>
      <c r="AN228" s="3648"/>
      <c r="AO228" s="3648"/>
      <c r="AP228" s="3649"/>
      <c r="AQ228" s="3647" t="s">
        <v>1697</v>
      </c>
      <c r="AR228" s="3648"/>
      <c r="AS228" s="3648"/>
      <c r="AT228" s="3648"/>
      <c r="AU228" s="3648"/>
      <c r="AV228" s="3649"/>
      <c r="AW228" s="3647" t="s">
        <v>1698</v>
      </c>
      <c r="AX228" s="3648"/>
      <c r="AY228" s="3648"/>
      <c r="AZ228" s="3648"/>
      <c r="BA228" s="3648"/>
      <c r="BB228" s="3649"/>
      <c r="BC228" s="3647" t="s">
        <v>1699</v>
      </c>
      <c r="BD228" s="3648"/>
      <c r="BE228" s="3648"/>
      <c r="BF228" s="3648"/>
      <c r="BG228" s="3648"/>
      <c r="BH228" s="3649"/>
      <c r="BI228" s="3647" t="s">
        <v>1700</v>
      </c>
      <c r="BJ228" s="3648"/>
      <c r="BK228" s="3648"/>
      <c r="BL228" s="3648"/>
      <c r="BM228" s="3648"/>
      <c r="BN228" s="3649"/>
      <c r="BO228" s="3647" t="s">
        <v>1701</v>
      </c>
      <c r="BP228" s="3648"/>
      <c r="BQ228" s="3648"/>
      <c r="BR228" s="3648"/>
      <c r="BS228" s="3648"/>
      <c r="BT228" s="3649"/>
    </row>
    <row r="229" spans="1:72" ht="18.75">
      <c r="A229" s="3653"/>
      <c r="B229" s="3654"/>
      <c r="C229" s="3655"/>
      <c r="D229" s="3646">
        <v>1</v>
      </c>
      <c r="E229" s="3643"/>
      <c r="F229" s="3644"/>
      <c r="G229" s="3640">
        <v>2</v>
      </c>
      <c r="H229" s="3641"/>
      <c r="I229" s="3642"/>
      <c r="J229" s="3710" t="s">
        <v>643</v>
      </c>
      <c r="K229" s="3641"/>
      <c r="L229" s="3641"/>
      <c r="M229" s="3641"/>
      <c r="N229" s="3642"/>
      <c r="O229" s="3646">
        <v>1</v>
      </c>
      <c r="P229" s="3643"/>
      <c r="Q229" s="3644"/>
      <c r="R229" s="3640">
        <v>2</v>
      </c>
      <c r="S229" s="3641"/>
      <c r="T229" s="3642"/>
      <c r="U229" s="3710" t="s">
        <v>643</v>
      </c>
      <c r="V229" s="3641"/>
      <c r="W229" s="3641"/>
      <c r="X229" s="3641"/>
      <c r="Y229" s="3642"/>
      <c r="Z229" s="3646">
        <v>1</v>
      </c>
      <c r="AA229" s="3643"/>
      <c r="AB229" s="3644"/>
      <c r="AC229" s="3640">
        <v>2</v>
      </c>
      <c r="AD229" s="3641"/>
      <c r="AE229" s="3642"/>
      <c r="AF229" s="3710" t="s">
        <v>643</v>
      </c>
      <c r="AG229" s="3641"/>
      <c r="AH229" s="3641"/>
      <c r="AI229" s="3641"/>
      <c r="AJ229" s="3642"/>
      <c r="AL229" s="3737" t="s">
        <v>1668</v>
      </c>
      <c r="AM229" s="3648"/>
      <c r="AN229" s="3648"/>
      <c r="AO229" s="3648"/>
      <c r="AP229" s="3649"/>
      <c r="AQ229" s="3724" t="s">
        <v>1743</v>
      </c>
      <c r="AR229" s="3648"/>
      <c r="AS229" s="3648"/>
      <c r="AT229" s="3648"/>
      <c r="AU229" s="3648"/>
      <c r="AV229" s="3649"/>
      <c r="AW229" s="3742" t="s">
        <v>1744</v>
      </c>
      <c r="AX229" s="3634"/>
      <c r="AY229" s="3634"/>
      <c r="AZ229" s="3634"/>
      <c r="BA229" s="3634"/>
      <c r="BB229" s="3634"/>
      <c r="BC229" s="3742" t="s">
        <v>1745</v>
      </c>
      <c r="BD229" s="3634"/>
      <c r="BE229" s="3634"/>
      <c r="BF229" s="3634"/>
      <c r="BG229" s="3634"/>
      <c r="BH229" s="3634"/>
      <c r="BI229" s="3724" t="s">
        <v>1746</v>
      </c>
      <c r="BJ229" s="3725"/>
      <c r="BK229" s="3725"/>
      <c r="BL229" s="3725"/>
      <c r="BM229" s="3725"/>
      <c r="BN229" s="3726"/>
      <c r="BO229" s="3724" t="s">
        <v>1746</v>
      </c>
      <c r="BP229" s="3725"/>
      <c r="BQ229" s="3725"/>
      <c r="BR229" s="3725"/>
      <c r="BS229" s="3725"/>
      <c r="BT229" s="3726"/>
    </row>
    <row r="230" spans="1:72" ht="18.75">
      <c r="A230" s="3639" t="s">
        <v>644</v>
      </c>
      <c r="B230" s="3636"/>
      <c r="C230" s="3636"/>
      <c r="D230" s="3640" t="s">
        <v>646</v>
      </c>
      <c r="E230" s="3643"/>
      <c r="F230" s="3644"/>
      <c r="G230" s="3640" t="s">
        <v>722</v>
      </c>
      <c r="H230" s="3641"/>
      <c r="I230" s="3642"/>
      <c r="J230" s="3640" t="s">
        <v>723</v>
      </c>
      <c r="K230" s="3643"/>
      <c r="L230" s="3643"/>
      <c r="M230" s="3643"/>
      <c r="N230" s="3644"/>
      <c r="O230" s="3640" t="s">
        <v>724</v>
      </c>
      <c r="P230" s="3643"/>
      <c r="Q230" s="3644"/>
      <c r="R230" s="3640" t="s">
        <v>725</v>
      </c>
      <c r="S230" s="3641"/>
      <c r="T230" s="3642"/>
      <c r="U230" s="3640" t="s">
        <v>726</v>
      </c>
      <c r="V230" s="3643"/>
      <c r="W230" s="3643"/>
      <c r="X230" s="3643"/>
      <c r="Y230" s="3644"/>
      <c r="Z230" s="3640" t="s">
        <v>727</v>
      </c>
      <c r="AA230" s="3643"/>
      <c r="AB230" s="3644"/>
      <c r="AC230" s="3640" t="s">
        <v>728</v>
      </c>
      <c r="AD230" s="3641"/>
      <c r="AE230" s="3642"/>
      <c r="AF230" s="3640" t="s">
        <v>729</v>
      </c>
      <c r="AG230" s="3643"/>
      <c r="AH230" s="3643"/>
      <c r="AI230" s="3643"/>
      <c r="AJ230" s="3644"/>
      <c r="AL230" s="3647" t="s">
        <v>1747</v>
      </c>
      <c r="AM230" s="3648"/>
      <c r="AN230" s="3648"/>
      <c r="AO230" s="3648"/>
      <c r="AP230" s="3649"/>
      <c r="AQ230" s="3724" t="s">
        <v>1748</v>
      </c>
      <c r="AR230" s="3648"/>
      <c r="AS230" s="3648"/>
      <c r="AT230" s="3648"/>
      <c r="AU230" s="3648"/>
      <c r="AV230" s="3649"/>
      <c r="AW230" s="3742" t="s">
        <v>1749</v>
      </c>
      <c r="AX230" s="3634"/>
      <c r="AY230" s="3634"/>
      <c r="AZ230" s="3634"/>
      <c r="BA230" s="3634"/>
      <c r="BB230" s="3634"/>
      <c r="BC230" s="3742" t="s">
        <v>1749</v>
      </c>
      <c r="BD230" s="3634"/>
      <c r="BE230" s="3634"/>
      <c r="BF230" s="3634"/>
      <c r="BG230" s="3634"/>
      <c r="BH230" s="3634"/>
      <c r="BI230" s="3724" t="s">
        <v>1746</v>
      </c>
      <c r="BJ230" s="3725"/>
      <c r="BK230" s="3725"/>
      <c r="BL230" s="3725"/>
      <c r="BM230" s="3725"/>
      <c r="BN230" s="3726"/>
      <c r="BO230" s="3724" t="s">
        <v>1746</v>
      </c>
      <c r="BP230" s="3725"/>
      <c r="BQ230" s="3725"/>
      <c r="BR230" s="3725"/>
      <c r="BS230" s="3725"/>
      <c r="BT230" s="3726"/>
    </row>
    <row r="231" spans="1:72" ht="18.75">
      <c r="A231" s="3640" t="s">
        <v>650</v>
      </c>
      <c r="B231" s="3641"/>
      <c r="C231" s="3642"/>
      <c r="D231" s="3640" t="s">
        <v>703</v>
      </c>
      <c r="E231" s="3643"/>
      <c r="F231" s="3644"/>
      <c r="G231" s="3640" t="s">
        <v>730</v>
      </c>
      <c r="H231" s="3641"/>
      <c r="I231" s="3642"/>
      <c r="J231" s="3640" t="s">
        <v>731</v>
      </c>
      <c r="K231" s="3643"/>
      <c r="L231" s="3643"/>
      <c r="M231" s="3643"/>
      <c r="N231" s="3644"/>
      <c r="O231" s="3640" t="s">
        <v>658</v>
      </c>
      <c r="P231" s="3643"/>
      <c r="Q231" s="3644"/>
      <c r="R231" s="3640" t="s">
        <v>732</v>
      </c>
      <c r="S231" s="3641"/>
      <c r="T231" s="3642"/>
      <c r="U231" s="3640" t="s">
        <v>733</v>
      </c>
      <c r="V231" s="3643"/>
      <c r="W231" s="3643"/>
      <c r="X231" s="3643"/>
      <c r="Y231" s="3644"/>
      <c r="Z231" s="3640" t="s">
        <v>705</v>
      </c>
      <c r="AA231" s="3643"/>
      <c r="AB231" s="3644"/>
      <c r="AC231" s="3640" t="s">
        <v>705</v>
      </c>
      <c r="AD231" s="3641"/>
      <c r="AE231" s="3642"/>
      <c r="AF231" s="3640" t="s">
        <v>705</v>
      </c>
      <c r="AG231" s="3643"/>
      <c r="AH231" s="3643"/>
      <c r="AI231" s="3643"/>
      <c r="AJ231" s="3644"/>
      <c r="AL231" s="3737" t="s">
        <v>1750</v>
      </c>
      <c r="AM231" s="3648"/>
      <c r="AN231" s="3648"/>
      <c r="AO231" s="3648"/>
      <c r="AP231" s="3649"/>
      <c r="AQ231" s="3742" t="s">
        <v>1749</v>
      </c>
      <c r="AR231" s="3634"/>
      <c r="AS231" s="3634"/>
      <c r="AT231" s="3634"/>
      <c r="AU231" s="3634"/>
      <c r="AV231" s="3634"/>
      <c r="AW231" s="3742" t="s">
        <v>1749</v>
      </c>
      <c r="AX231" s="3634"/>
      <c r="AY231" s="3634"/>
      <c r="AZ231" s="3634"/>
      <c r="BA231" s="3634"/>
      <c r="BB231" s="3634"/>
      <c r="BC231" s="3742" t="s">
        <v>1749</v>
      </c>
      <c r="BD231" s="3634"/>
      <c r="BE231" s="3634"/>
      <c r="BF231" s="3634"/>
      <c r="BG231" s="3634"/>
      <c r="BH231" s="3634"/>
      <c r="BI231" s="3724" t="s">
        <v>1746</v>
      </c>
      <c r="BJ231" s="3725"/>
      <c r="BK231" s="3725"/>
      <c r="BL231" s="3725"/>
      <c r="BM231" s="3725"/>
      <c r="BN231" s="3726"/>
      <c r="BO231" s="3724" t="s">
        <v>1746</v>
      </c>
      <c r="BP231" s="3725"/>
      <c r="BQ231" s="3725"/>
      <c r="BR231" s="3725"/>
      <c r="BS231" s="3725"/>
      <c r="BT231" s="3726"/>
    </row>
    <row r="232" spans="1:72" ht="18.75">
      <c r="A232" s="3657" t="s">
        <v>655</v>
      </c>
      <c r="B232" s="3641"/>
      <c r="C232" s="3642"/>
      <c r="D232" s="3640" t="s">
        <v>652</v>
      </c>
      <c r="E232" s="3643"/>
      <c r="F232" s="3644"/>
      <c r="G232" s="3640" t="s">
        <v>656</v>
      </c>
      <c r="H232" s="3641"/>
      <c r="I232" s="3642"/>
      <c r="J232" s="3640" t="s">
        <v>710</v>
      </c>
      <c r="K232" s="3643"/>
      <c r="L232" s="3643"/>
      <c r="M232" s="3643"/>
      <c r="N232" s="3644"/>
      <c r="O232" s="3640" t="s">
        <v>658</v>
      </c>
      <c r="P232" s="3643"/>
      <c r="Q232" s="3644"/>
      <c r="R232" s="3640" t="s">
        <v>734</v>
      </c>
      <c r="S232" s="3641"/>
      <c r="T232" s="3642"/>
      <c r="U232" s="3640" t="s">
        <v>732</v>
      </c>
      <c r="V232" s="3643"/>
      <c r="W232" s="3643"/>
      <c r="X232" s="3643"/>
      <c r="Y232" s="3644"/>
      <c r="Z232" s="3640" t="s">
        <v>715</v>
      </c>
      <c r="AA232" s="3643"/>
      <c r="AB232" s="3644"/>
      <c r="AC232" s="3640" t="s">
        <v>657</v>
      </c>
      <c r="AD232" s="3641"/>
      <c r="AE232" s="3642"/>
      <c r="AF232" s="3640" t="s">
        <v>735</v>
      </c>
      <c r="AG232" s="3643"/>
      <c r="AH232" s="3643"/>
      <c r="AI232" s="3643"/>
      <c r="AJ232" s="3644"/>
      <c r="AL232" s="3647" t="s">
        <v>1751</v>
      </c>
      <c r="AM232" s="3648"/>
      <c r="AN232" s="3648"/>
      <c r="AO232" s="3648"/>
      <c r="AP232" s="3649"/>
      <c r="AQ232" s="3724" t="s">
        <v>1746</v>
      </c>
      <c r="AR232" s="3648"/>
      <c r="AS232" s="3648"/>
      <c r="AT232" s="3648"/>
      <c r="AU232" s="3648"/>
      <c r="AV232" s="3649"/>
      <c r="AW232" s="3742" t="s">
        <v>1749</v>
      </c>
      <c r="AX232" s="3634"/>
      <c r="AY232" s="3634"/>
      <c r="AZ232" s="3634"/>
      <c r="BA232" s="3634"/>
      <c r="BB232" s="3634"/>
      <c r="BC232" s="3742" t="s">
        <v>1752</v>
      </c>
      <c r="BD232" s="3634"/>
      <c r="BE232" s="3634"/>
      <c r="BF232" s="3634"/>
      <c r="BG232" s="3634"/>
      <c r="BH232" s="3634"/>
      <c r="BI232" s="3724" t="s">
        <v>1746</v>
      </c>
      <c r="BJ232" s="3725"/>
      <c r="BK232" s="3725"/>
      <c r="BL232" s="3725"/>
      <c r="BM232" s="3725"/>
      <c r="BN232" s="3726"/>
      <c r="BO232" s="3724" t="s">
        <v>1746</v>
      </c>
      <c r="BP232" s="3725"/>
      <c r="BQ232" s="3725"/>
      <c r="BR232" s="3725"/>
      <c r="BS232" s="3725"/>
      <c r="BT232" s="3726"/>
    </row>
    <row r="233" spans="1:72" ht="18.75">
      <c r="A233" s="3640" t="s">
        <v>660</v>
      </c>
      <c r="B233" s="3641"/>
      <c r="C233" s="3642"/>
      <c r="D233" s="3640" t="s">
        <v>661</v>
      </c>
      <c r="E233" s="3643"/>
      <c r="F233" s="3644"/>
      <c r="G233" s="3640" t="s">
        <v>661</v>
      </c>
      <c r="H233" s="3641"/>
      <c r="I233" s="3642"/>
      <c r="J233" s="3640" t="s">
        <v>661</v>
      </c>
      <c r="K233" s="3643"/>
      <c r="L233" s="3643"/>
      <c r="M233" s="3643"/>
      <c r="N233" s="3644"/>
      <c r="O233" s="3640" t="s">
        <v>667</v>
      </c>
      <c r="P233" s="3643"/>
      <c r="Q233" s="3644"/>
      <c r="R233" s="3640" t="s">
        <v>667</v>
      </c>
      <c r="S233" s="3641"/>
      <c r="T233" s="3642"/>
      <c r="U233" s="3640" t="s">
        <v>667</v>
      </c>
      <c r="V233" s="3643"/>
      <c r="W233" s="3643"/>
      <c r="X233" s="3643"/>
      <c r="Y233" s="3644"/>
      <c r="Z233" s="3640" t="s">
        <v>662</v>
      </c>
      <c r="AA233" s="3643"/>
      <c r="AB233" s="3644"/>
      <c r="AC233" s="3640" t="s">
        <v>688</v>
      </c>
      <c r="AD233" s="3641"/>
      <c r="AE233" s="3642"/>
      <c r="AF233" s="3640" t="s">
        <v>736</v>
      </c>
      <c r="AG233" s="3643"/>
      <c r="AH233" s="3643"/>
      <c r="AI233" s="3643"/>
      <c r="AJ233" s="3644"/>
      <c r="AL233" s="3647" t="s">
        <v>1753</v>
      </c>
      <c r="AM233" s="3648"/>
      <c r="AN233" s="3648"/>
      <c r="AO233" s="3648"/>
      <c r="AP233" s="3649"/>
      <c r="AQ233" s="3742" t="s">
        <v>1749</v>
      </c>
      <c r="AR233" s="3634"/>
      <c r="AS233" s="3634"/>
      <c r="AT233" s="3634"/>
      <c r="AU233" s="3634"/>
      <c r="AV233" s="3634"/>
      <c r="AW233" s="3742" t="s">
        <v>1749</v>
      </c>
      <c r="AX233" s="3634"/>
      <c r="AY233" s="3634"/>
      <c r="AZ233" s="3634"/>
      <c r="BA233" s="3634"/>
      <c r="BB233" s="3634"/>
      <c r="BC233" s="3742" t="s">
        <v>1752</v>
      </c>
      <c r="BD233" s="3634"/>
      <c r="BE233" s="3634"/>
      <c r="BF233" s="3634"/>
      <c r="BG233" s="3634"/>
      <c r="BH233" s="3634"/>
      <c r="BI233" s="3742" t="s">
        <v>1746</v>
      </c>
      <c r="BJ233" s="3634"/>
      <c r="BK233" s="3634"/>
      <c r="BL233" s="3634"/>
      <c r="BM233" s="3634"/>
      <c r="BN233" s="3634"/>
      <c r="BO233" s="3724" t="s">
        <v>1746</v>
      </c>
      <c r="BP233" s="3725"/>
      <c r="BQ233" s="3725"/>
      <c r="BR233" s="3725"/>
      <c r="BS233" s="3725"/>
      <c r="BT233" s="3726"/>
    </row>
    <row r="234" spans="1:72" ht="18.75">
      <c r="A234" s="3640" t="s">
        <v>665</v>
      </c>
      <c r="B234" s="3641"/>
      <c r="C234" s="3642"/>
      <c r="D234" s="3640" t="s">
        <v>652</v>
      </c>
      <c r="E234" s="3643"/>
      <c r="F234" s="3644"/>
      <c r="G234" s="3640" t="s">
        <v>652</v>
      </c>
      <c r="H234" s="3641"/>
      <c r="I234" s="3642"/>
      <c r="J234" s="3640" t="s">
        <v>652</v>
      </c>
      <c r="K234" s="3643"/>
      <c r="L234" s="3643"/>
      <c r="M234" s="3643"/>
      <c r="N234" s="3644"/>
      <c r="O234" s="3640" t="s">
        <v>667</v>
      </c>
      <c r="P234" s="3643"/>
      <c r="Q234" s="3644"/>
      <c r="R234" s="3640" t="s">
        <v>667</v>
      </c>
      <c r="S234" s="3641"/>
      <c r="T234" s="3642"/>
      <c r="U234" s="3640" t="s">
        <v>667</v>
      </c>
      <c r="V234" s="3643"/>
      <c r="W234" s="3643"/>
      <c r="X234" s="3643"/>
      <c r="Y234" s="3644"/>
      <c r="Z234" s="3640" t="s">
        <v>662</v>
      </c>
      <c r="AA234" s="3643"/>
      <c r="AB234" s="3644"/>
      <c r="AC234" s="3640" t="s">
        <v>662</v>
      </c>
      <c r="AD234" s="3641"/>
      <c r="AE234" s="3642"/>
      <c r="AF234" s="3640" t="s">
        <v>662</v>
      </c>
      <c r="AG234" s="3643"/>
      <c r="AH234" s="3643"/>
      <c r="AI234" s="3643"/>
      <c r="AJ234" s="3644"/>
      <c r="AL234" s="3647" t="s">
        <v>1754</v>
      </c>
      <c r="AM234" s="3648"/>
      <c r="AN234" s="3648"/>
      <c r="AO234" s="3648"/>
      <c r="AP234" s="3649"/>
      <c r="AQ234" s="3724" t="s">
        <v>1749</v>
      </c>
      <c r="AR234" s="3648"/>
      <c r="AS234" s="3648"/>
      <c r="AT234" s="3648"/>
      <c r="AU234" s="3648"/>
      <c r="AV234" s="3649"/>
      <c r="AW234" s="3742" t="s">
        <v>1746</v>
      </c>
      <c r="AX234" s="3634"/>
      <c r="AY234" s="3634"/>
      <c r="AZ234" s="3634"/>
      <c r="BA234" s="3634"/>
      <c r="BB234" s="3634"/>
      <c r="BC234" s="3742" t="s">
        <v>1746</v>
      </c>
      <c r="BD234" s="3634"/>
      <c r="BE234" s="3634"/>
      <c r="BF234" s="3634"/>
      <c r="BG234" s="3634"/>
      <c r="BH234" s="3634"/>
      <c r="BI234" s="3742" t="s">
        <v>1746</v>
      </c>
      <c r="BJ234" s="3634"/>
      <c r="BK234" s="3634"/>
      <c r="BL234" s="3634"/>
      <c r="BM234" s="3634"/>
      <c r="BN234" s="3634"/>
      <c r="BO234" s="3724" t="s">
        <v>1746</v>
      </c>
      <c r="BP234" s="3725"/>
      <c r="BQ234" s="3725"/>
      <c r="BR234" s="3725"/>
      <c r="BS234" s="3725"/>
      <c r="BT234" s="3726"/>
    </row>
    <row r="235" spans="1:72" ht="16.5">
      <c r="A235" s="3640" t="s">
        <v>668</v>
      </c>
      <c r="B235" s="3641"/>
      <c r="C235" s="3642"/>
      <c r="D235" s="3640" t="s">
        <v>652</v>
      </c>
      <c r="E235" s="3643"/>
      <c r="F235" s="3644"/>
      <c r="G235" s="3640" t="s">
        <v>652</v>
      </c>
      <c r="H235" s="3641"/>
      <c r="I235" s="3642"/>
      <c r="J235" s="3640" t="s">
        <v>652</v>
      </c>
      <c r="K235" s="3643"/>
      <c r="L235" s="3643"/>
      <c r="M235" s="3643"/>
      <c r="N235" s="3644"/>
      <c r="O235" s="3640" t="s">
        <v>661</v>
      </c>
      <c r="P235" s="3643"/>
      <c r="Q235" s="3644"/>
      <c r="R235" s="3640" t="s">
        <v>661</v>
      </c>
      <c r="S235" s="3641"/>
      <c r="T235" s="3642"/>
      <c r="U235" s="3640" t="s">
        <v>661</v>
      </c>
      <c r="V235" s="3643"/>
      <c r="W235" s="3643"/>
      <c r="X235" s="3643"/>
      <c r="Y235" s="3644"/>
      <c r="Z235" s="3640" t="s">
        <v>661</v>
      </c>
      <c r="AA235" s="3643"/>
      <c r="AB235" s="3644"/>
      <c r="AC235" s="3640" t="s">
        <v>661</v>
      </c>
      <c r="AD235" s="3641"/>
      <c r="AE235" s="3642"/>
      <c r="AF235" s="3640" t="s">
        <v>661</v>
      </c>
      <c r="AG235" s="3643"/>
      <c r="AH235" s="3643"/>
      <c r="AI235" s="3643"/>
      <c r="AJ235" s="3644"/>
      <c r="AL235" s="3730" t="s">
        <v>1755</v>
      </c>
      <c r="AM235" s="3648"/>
      <c r="AN235" s="3648"/>
      <c r="AO235" s="3648"/>
      <c r="AP235" s="3648"/>
      <c r="AQ235" s="3648"/>
      <c r="AR235" s="3648"/>
      <c r="AS235" s="3648"/>
      <c r="AT235" s="3648"/>
      <c r="AU235" s="3648"/>
      <c r="AV235" s="3648"/>
      <c r="AW235" s="3648"/>
      <c r="AX235" s="3648"/>
      <c r="AY235" s="3648"/>
      <c r="AZ235" s="3648"/>
      <c r="BA235" s="3648"/>
      <c r="BB235" s="3648"/>
      <c r="BC235" s="3648"/>
      <c r="BD235" s="3648"/>
      <c r="BE235" s="3648"/>
      <c r="BF235" s="3648"/>
      <c r="BG235" s="3648"/>
      <c r="BH235" s="3648"/>
      <c r="BI235" s="3648"/>
      <c r="BJ235" s="3648"/>
      <c r="BK235" s="3648"/>
      <c r="BL235" s="3648"/>
      <c r="BM235" s="3648"/>
      <c r="BN235" s="3648"/>
      <c r="BO235" s="3648"/>
      <c r="BP235" s="3648"/>
      <c r="BQ235" s="3648"/>
      <c r="BR235" s="3648"/>
      <c r="BS235" s="3648"/>
      <c r="BT235" s="3649"/>
    </row>
    <row r="236" spans="1:72" ht="15.75">
      <c r="A236" s="3720" t="s">
        <v>639</v>
      </c>
      <c r="B236" s="3651"/>
      <c r="C236" s="3652"/>
      <c r="D236" s="3647" t="s">
        <v>737</v>
      </c>
      <c r="E236" s="3648"/>
      <c r="F236" s="3648"/>
      <c r="G236" s="3648"/>
      <c r="H236" s="3648"/>
      <c r="I236" s="3648"/>
      <c r="J236" s="3648"/>
      <c r="K236" s="3648"/>
      <c r="L236" s="3648"/>
      <c r="M236" s="3648"/>
      <c r="N236" s="3648"/>
      <c r="O236" s="3648"/>
      <c r="P236" s="3648"/>
      <c r="Q236" s="3648"/>
      <c r="R236" s="3648"/>
      <c r="S236" s="3649"/>
      <c r="T236" s="3647" t="s">
        <v>738</v>
      </c>
      <c r="U236" s="3648"/>
      <c r="V236" s="3648"/>
      <c r="W236" s="3648"/>
      <c r="X236" s="3648"/>
      <c r="Y236" s="3648"/>
      <c r="Z236" s="3648"/>
      <c r="AA236" s="3648"/>
      <c r="AB236" s="3648"/>
      <c r="AC236" s="3648"/>
      <c r="AD236" s="3648"/>
      <c r="AE236" s="3648"/>
      <c r="AF236" s="3648"/>
      <c r="AG236" s="3648"/>
      <c r="AH236" s="3648"/>
      <c r="AI236" s="3648"/>
      <c r="AJ236" s="3649"/>
      <c r="AL236" s="1749" t="s">
        <v>1756</v>
      </c>
      <c r="AM236" s="1749"/>
      <c r="AN236" s="3634" t="s">
        <v>1757</v>
      </c>
      <c r="AO236" s="3634"/>
      <c r="AP236" s="3634"/>
      <c r="AQ236" s="3634"/>
      <c r="AR236" s="3634"/>
      <c r="AS236" s="3634"/>
      <c r="AT236" s="3634"/>
      <c r="AU236" s="3634"/>
      <c r="AV236" s="3634"/>
      <c r="AW236" s="3634"/>
      <c r="AX236" s="3634"/>
      <c r="AY236" s="3634" t="s">
        <v>1758</v>
      </c>
      <c r="AZ236" s="3634"/>
      <c r="BA236" s="3634"/>
      <c r="BB236" s="3634"/>
      <c r="BC236" s="3634"/>
      <c r="BD236" s="3634"/>
      <c r="BE236" s="3634"/>
      <c r="BF236" s="3634"/>
      <c r="BG236" s="3634"/>
      <c r="BH236" s="3634"/>
      <c r="BI236" s="3634"/>
      <c r="BJ236" s="3647" t="s">
        <v>1759</v>
      </c>
      <c r="BK236" s="3648"/>
      <c r="BL236" s="3648"/>
      <c r="BM236" s="3648"/>
      <c r="BN236" s="3648"/>
      <c r="BO236" s="3648"/>
      <c r="BP236" s="3648"/>
      <c r="BQ236" s="3648"/>
      <c r="BR236" s="3648"/>
      <c r="BS236" s="3648"/>
      <c r="BT236" s="3649"/>
    </row>
    <row r="237" spans="1:72" ht="15.75">
      <c r="A237" s="3653"/>
      <c r="B237" s="3654"/>
      <c r="C237" s="3655"/>
      <c r="D237" s="3647">
        <v>1</v>
      </c>
      <c r="E237" s="3648"/>
      <c r="F237" s="3648"/>
      <c r="G237" s="3648"/>
      <c r="H237" s="3649"/>
      <c r="I237" s="3647">
        <v>2</v>
      </c>
      <c r="J237" s="3648"/>
      <c r="K237" s="3648"/>
      <c r="L237" s="3648"/>
      <c r="M237" s="3648"/>
      <c r="N237" s="3649"/>
      <c r="O237" s="3721" t="s">
        <v>643</v>
      </c>
      <c r="P237" s="3648"/>
      <c r="Q237" s="3648"/>
      <c r="R237" s="3648"/>
      <c r="S237" s="3649"/>
      <c r="T237" s="3647">
        <v>1</v>
      </c>
      <c r="U237" s="3648"/>
      <c r="V237" s="3648"/>
      <c r="W237" s="3648"/>
      <c r="X237" s="3648"/>
      <c r="Y237" s="3649"/>
      <c r="Z237" s="3647">
        <v>2</v>
      </c>
      <c r="AA237" s="3648"/>
      <c r="AB237" s="3648"/>
      <c r="AC237" s="3648"/>
      <c r="AD237" s="3649"/>
      <c r="AE237" s="3721" t="s">
        <v>643</v>
      </c>
      <c r="AF237" s="3722"/>
      <c r="AG237" s="3722"/>
      <c r="AH237" s="3722"/>
      <c r="AI237" s="3722"/>
      <c r="AJ237" s="3723"/>
      <c r="AL237" s="1749"/>
      <c r="AM237" s="1749"/>
      <c r="AN237" s="3478" t="s">
        <v>1760</v>
      </c>
      <c r="AO237" s="3478"/>
      <c r="AP237" s="3478"/>
      <c r="AQ237" s="3478" t="s">
        <v>1761</v>
      </c>
      <c r="AR237" s="3478"/>
      <c r="AS237" s="3478"/>
      <c r="AT237" s="3478"/>
      <c r="AU237" s="3478" t="s">
        <v>1762</v>
      </c>
      <c r="AV237" s="3478"/>
      <c r="AW237" s="3478"/>
      <c r="AX237" s="3478"/>
      <c r="AY237" s="3478" t="s">
        <v>1760</v>
      </c>
      <c r="AZ237" s="3478"/>
      <c r="BA237" s="3478"/>
      <c r="BB237" s="3478" t="s">
        <v>1761</v>
      </c>
      <c r="BC237" s="3478"/>
      <c r="BD237" s="3478"/>
      <c r="BE237" s="3478"/>
      <c r="BF237" s="3478" t="s">
        <v>1762</v>
      </c>
      <c r="BG237" s="3478"/>
      <c r="BH237" s="3478"/>
      <c r="BI237" s="3478"/>
      <c r="BJ237" s="3478" t="s">
        <v>1760</v>
      </c>
      <c r="BK237" s="3478"/>
      <c r="BL237" s="3478"/>
      <c r="BM237" s="3478" t="s">
        <v>1761</v>
      </c>
      <c r="BN237" s="3478"/>
      <c r="BO237" s="3478"/>
      <c r="BP237" s="3478"/>
      <c r="BQ237" s="3463" t="s">
        <v>1763</v>
      </c>
      <c r="BR237" s="3501"/>
      <c r="BS237" s="3501"/>
      <c r="BT237" s="3500"/>
    </row>
    <row r="238" spans="1:72" ht="18.75">
      <c r="A238" s="3657" t="s">
        <v>739</v>
      </c>
      <c r="B238" s="3641"/>
      <c r="C238" s="3642"/>
      <c r="D238" s="3647" t="s">
        <v>661</v>
      </c>
      <c r="E238" s="3648"/>
      <c r="F238" s="3648"/>
      <c r="G238" s="3648"/>
      <c r="H238" s="3649"/>
      <c r="I238" s="3647" t="s">
        <v>661</v>
      </c>
      <c r="J238" s="3648"/>
      <c r="K238" s="3648"/>
      <c r="L238" s="3648"/>
      <c r="M238" s="3648"/>
      <c r="N238" s="3649"/>
      <c r="O238" s="3647" t="s">
        <v>661</v>
      </c>
      <c r="P238" s="3648"/>
      <c r="Q238" s="3648"/>
      <c r="R238" s="3648"/>
      <c r="S238" s="3649"/>
      <c r="T238" s="3647" t="s">
        <v>661</v>
      </c>
      <c r="U238" s="3648"/>
      <c r="V238" s="3648"/>
      <c r="W238" s="3648"/>
      <c r="X238" s="3648"/>
      <c r="Y238" s="3649"/>
      <c r="Z238" s="3647" t="s">
        <v>661</v>
      </c>
      <c r="AA238" s="3648"/>
      <c r="AB238" s="3648"/>
      <c r="AC238" s="3648"/>
      <c r="AD238" s="3649"/>
      <c r="AE238" s="3647" t="s">
        <v>661</v>
      </c>
      <c r="AF238" s="3648"/>
      <c r="AG238" s="3648"/>
      <c r="AH238" s="3648"/>
      <c r="AI238" s="3648"/>
      <c r="AJ238" s="3649"/>
      <c r="AL238" s="3748" t="s">
        <v>1764</v>
      </c>
      <c r="AM238" s="3634"/>
      <c r="AN238" s="3742" t="s">
        <v>1749</v>
      </c>
      <c r="AO238" s="3634"/>
      <c r="AP238" s="3634"/>
      <c r="AQ238" s="3742" t="s">
        <v>1749</v>
      </c>
      <c r="AR238" s="3634"/>
      <c r="AS238" s="3634"/>
      <c r="AT238" s="3634"/>
      <c r="AU238" s="3742" t="s">
        <v>1746</v>
      </c>
      <c r="AV238" s="3634"/>
      <c r="AW238" s="3634"/>
      <c r="AX238" s="3634"/>
      <c r="AY238" s="3742" t="s">
        <v>1749</v>
      </c>
      <c r="AZ238" s="3634"/>
      <c r="BA238" s="3634"/>
      <c r="BB238" s="3742" t="s">
        <v>1749</v>
      </c>
      <c r="BC238" s="3634"/>
      <c r="BD238" s="3634"/>
      <c r="BE238" s="3634"/>
      <c r="BF238" s="3742" t="s">
        <v>1746</v>
      </c>
      <c r="BG238" s="3634"/>
      <c r="BH238" s="3634"/>
      <c r="BI238" s="3634"/>
      <c r="BJ238" s="3742" t="s">
        <v>1749</v>
      </c>
      <c r="BK238" s="3634"/>
      <c r="BL238" s="3634"/>
      <c r="BM238" s="3742" t="s">
        <v>1765</v>
      </c>
      <c r="BN238" s="3634"/>
      <c r="BO238" s="3634"/>
      <c r="BP238" s="3634"/>
      <c r="BQ238" s="3724" t="s">
        <v>1746</v>
      </c>
      <c r="BR238" s="3725"/>
      <c r="BS238" s="3725"/>
      <c r="BT238" s="3726"/>
    </row>
    <row r="239" spans="1:72" ht="18.75">
      <c r="A239" s="3710" t="s">
        <v>711</v>
      </c>
      <c r="B239" s="3711"/>
      <c r="C239" s="3711"/>
      <c r="D239" s="3711"/>
      <c r="E239" s="3711"/>
      <c r="F239" s="3711"/>
      <c r="G239" s="3711"/>
      <c r="H239" s="3711"/>
      <c r="I239" s="3711"/>
      <c r="J239" s="3711"/>
      <c r="K239" s="3711"/>
      <c r="L239" s="3711"/>
      <c r="M239" s="3711"/>
      <c r="N239" s="3711"/>
      <c r="O239" s="3711"/>
      <c r="P239" s="3711"/>
      <c r="Q239" s="3711"/>
      <c r="R239" s="3711"/>
      <c r="S239" s="3711"/>
      <c r="T239" s="3711"/>
      <c r="U239" s="3711"/>
      <c r="V239" s="3711"/>
      <c r="W239" s="3711"/>
      <c r="X239" s="3711"/>
      <c r="Y239" s="3711"/>
      <c r="Z239" s="3711"/>
      <c r="AA239" s="3711"/>
      <c r="AB239" s="3711"/>
      <c r="AC239" s="3711"/>
      <c r="AD239" s="3711"/>
      <c r="AE239" s="3711"/>
      <c r="AF239" s="3711"/>
      <c r="AG239" s="3711"/>
      <c r="AH239" s="3711"/>
      <c r="AI239" s="3711"/>
      <c r="AJ239" s="3712"/>
      <c r="AL239" s="3748" t="s">
        <v>1750</v>
      </c>
      <c r="AM239" s="3634"/>
      <c r="AN239" s="3742" t="s">
        <v>1749</v>
      </c>
      <c r="AO239" s="3634"/>
      <c r="AP239" s="3634"/>
      <c r="AQ239" s="3742" t="s">
        <v>1749</v>
      </c>
      <c r="AR239" s="3634"/>
      <c r="AS239" s="3634"/>
      <c r="AT239" s="3634"/>
      <c r="AU239" s="3742" t="s">
        <v>1746</v>
      </c>
      <c r="AV239" s="3634"/>
      <c r="AW239" s="3634"/>
      <c r="AX239" s="3634"/>
      <c r="AY239" s="3742" t="s">
        <v>1749</v>
      </c>
      <c r="AZ239" s="3634"/>
      <c r="BA239" s="3634"/>
      <c r="BB239" s="3742" t="s">
        <v>1749</v>
      </c>
      <c r="BC239" s="3634"/>
      <c r="BD239" s="3634"/>
      <c r="BE239" s="3634"/>
      <c r="BF239" s="3742" t="s">
        <v>1746</v>
      </c>
      <c r="BG239" s="3634"/>
      <c r="BH239" s="3634"/>
      <c r="BI239" s="3634"/>
      <c r="BJ239" s="3742" t="s">
        <v>1749</v>
      </c>
      <c r="BK239" s="3634"/>
      <c r="BL239" s="3634"/>
      <c r="BM239" s="3742" t="s">
        <v>1749</v>
      </c>
      <c r="BN239" s="3634"/>
      <c r="BO239" s="3634"/>
      <c r="BP239" s="3634"/>
      <c r="BQ239" s="3724" t="s">
        <v>1746</v>
      </c>
      <c r="BR239" s="3725"/>
      <c r="BS239" s="3725"/>
      <c r="BT239" s="3726"/>
    </row>
    <row r="240" spans="1:72" ht="18.75">
      <c r="A240" s="3713" t="s">
        <v>639</v>
      </c>
      <c r="B240" s="3636"/>
      <c r="C240" s="3636"/>
      <c r="D240" s="3640" t="s">
        <v>670</v>
      </c>
      <c r="E240" s="3641"/>
      <c r="F240" s="3641"/>
      <c r="G240" s="3641"/>
      <c r="H240" s="3641"/>
      <c r="I240" s="3641"/>
      <c r="J240" s="3641"/>
      <c r="K240" s="3641"/>
      <c r="L240" s="3641"/>
      <c r="M240" s="3641"/>
      <c r="N240" s="3642"/>
      <c r="O240" s="3640" t="s">
        <v>671</v>
      </c>
      <c r="P240" s="3641"/>
      <c r="Q240" s="3641"/>
      <c r="R240" s="3641"/>
      <c r="S240" s="3641"/>
      <c r="T240" s="3641"/>
      <c r="U240" s="3641"/>
      <c r="V240" s="3641"/>
      <c r="W240" s="3641"/>
      <c r="X240" s="3641"/>
      <c r="Y240" s="3642"/>
      <c r="Z240" s="3640" t="s">
        <v>672</v>
      </c>
      <c r="AA240" s="3641"/>
      <c r="AB240" s="3641"/>
      <c r="AC240" s="3641"/>
      <c r="AD240" s="3641"/>
      <c r="AE240" s="3641"/>
      <c r="AF240" s="3641"/>
      <c r="AG240" s="3641"/>
      <c r="AH240" s="3641"/>
      <c r="AI240" s="3641"/>
      <c r="AJ240" s="3642"/>
      <c r="AL240" s="3634" t="s">
        <v>1751</v>
      </c>
      <c r="AM240" s="3634"/>
      <c r="AN240" s="3742" t="s">
        <v>1746</v>
      </c>
      <c r="AO240" s="3634"/>
      <c r="AP240" s="3634"/>
      <c r="AQ240" s="3742" t="s">
        <v>1766</v>
      </c>
      <c r="AR240" s="3634"/>
      <c r="AS240" s="3634"/>
      <c r="AT240" s="3634"/>
      <c r="AU240" s="3742" t="s">
        <v>1746</v>
      </c>
      <c r="AV240" s="3634"/>
      <c r="AW240" s="3634"/>
      <c r="AX240" s="3634"/>
      <c r="AY240" s="3742" t="s">
        <v>1746</v>
      </c>
      <c r="AZ240" s="3634"/>
      <c r="BA240" s="3634"/>
      <c r="BB240" s="3742" t="s">
        <v>1749</v>
      </c>
      <c r="BC240" s="3634"/>
      <c r="BD240" s="3634"/>
      <c r="BE240" s="3634"/>
      <c r="BF240" s="3742" t="s">
        <v>1746</v>
      </c>
      <c r="BG240" s="3634"/>
      <c r="BH240" s="3634"/>
      <c r="BI240" s="3634"/>
      <c r="BJ240" s="3742" t="s">
        <v>1746</v>
      </c>
      <c r="BK240" s="3634"/>
      <c r="BL240" s="3634"/>
      <c r="BM240" s="3742" t="s">
        <v>1749</v>
      </c>
      <c r="BN240" s="3634"/>
      <c r="BO240" s="3634"/>
      <c r="BP240" s="3634"/>
      <c r="BQ240" s="3724" t="s">
        <v>1746</v>
      </c>
      <c r="BR240" s="3725"/>
      <c r="BS240" s="3725"/>
      <c r="BT240" s="3726"/>
    </row>
    <row r="241" spans="1:72" ht="18.75">
      <c r="A241" s="3636"/>
      <c r="B241" s="3636"/>
      <c r="C241" s="3636"/>
      <c r="D241" s="3635">
        <v>1</v>
      </c>
      <c r="E241" s="3636"/>
      <c r="F241" s="3636"/>
      <c r="G241" s="3636">
        <v>2</v>
      </c>
      <c r="H241" s="3636"/>
      <c r="I241" s="3636"/>
      <c r="J241" s="3714" t="s">
        <v>643</v>
      </c>
      <c r="K241" s="3636"/>
      <c r="L241" s="3636"/>
      <c r="M241" s="3636"/>
      <c r="N241" s="3636"/>
      <c r="O241" s="3635">
        <v>1</v>
      </c>
      <c r="P241" s="3636"/>
      <c r="Q241" s="3636"/>
      <c r="R241" s="3636">
        <v>2</v>
      </c>
      <c r="S241" s="3636"/>
      <c r="T241" s="3636"/>
      <c r="U241" s="3714" t="s">
        <v>643</v>
      </c>
      <c r="V241" s="3636"/>
      <c r="W241" s="3636"/>
      <c r="X241" s="3636"/>
      <c r="Y241" s="3636"/>
      <c r="Z241" s="3635">
        <v>1</v>
      </c>
      <c r="AA241" s="3636"/>
      <c r="AB241" s="3636"/>
      <c r="AC241" s="3636">
        <v>2</v>
      </c>
      <c r="AD241" s="3636"/>
      <c r="AE241" s="3636"/>
      <c r="AF241" s="3714" t="s">
        <v>643</v>
      </c>
      <c r="AG241" s="3636"/>
      <c r="AH241" s="3636"/>
      <c r="AI241" s="3636"/>
      <c r="AJ241" s="3636"/>
      <c r="AL241" s="3634" t="s">
        <v>1753</v>
      </c>
      <c r="AM241" s="3634"/>
      <c r="AN241" s="3742" t="s">
        <v>1749</v>
      </c>
      <c r="AO241" s="3634"/>
      <c r="AP241" s="3634"/>
      <c r="AQ241" s="3742" t="s">
        <v>1746</v>
      </c>
      <c r="AR241" s="3634"/>
      <c r="AS241" s="3634"/>
      <c r="AT241" s="3634"/>
      <c r="AU241" s="3742" t="s">
        <v>1746</v>
      </c>
      <c r="AV241" s="3634"/>
      <c r="AW241" s="3634"/>
      <c r="AX241" s="3634"/>
      <c r="AY241" s="3742" t="s">
        <v>1749</v>
      </c>
      <c r="AZ241" s="3634"/>
      <c r="BA241" s="3634"/>
      <c r="BB241" s="3742" t="s">
        <v>1746</v>
      </c>
      <c r="BC241" s="3634"/>
      <c r="BD241" s="3634"/>
      <c r="BE241" s="3634"/>
      <c r="BF241" s="3742" t="s">
        <v>1746</v>
      </c>
      <c r="BG241" s="3634"/>
      <c r="BH241" s="3634"/>
      <c r="BI241" s="3634"/>
      <c r="BJ241" s="3742" t="s">
        <v>1749</v>
      </c>
      <c r="BK241" s="3634"/>
      <c r="BL241" s="3634"/>
      <c r="BM241" s="3742" t="s">
        <v>1746</v>
      </c>
      <c r="BN241" s="3634"/>
      <c r="BO241" s="3634"/>
      <c r="BP241" s="3634"/>
      <c r="BQ241" s="3724" t="s">
        <v>1746</v>
      </c>
      <c r="BR241" s="3725"/>
      <c r="BS241" s="3725"/>
      <c r="BT241" s="3726"/>
    </row>
    <row r="242" spans="1:72" ht="18.75">
      <c r="A242" s="3640" t="s">
        <v>740</v>
      </c>
      <c r="B242" s="3641"/>
      <c r="C242" s="3641"/>
      <c r="D242" s="3641"/>
      <c r="E242" s="3641"/>
      <c r="F242" s="3641"/>
      <c r="G242" s="3641"/>
      <c r="H242" s="3641"/>
      <c r="I242" s="3641"/>
      <c r="J242" s="3641"/>
      <c r="K242" s="3641"/>
      <c r="L242" s="3641"/>
      <c r="M242" s="3641"/>
      <c r="N242" s="3641"/>
      <c r="O242" s="3641"/>
      <c r="P242" s="3641"/>
      <c r="Q242" s="3641"/>
      <c r="R242" s="3641"/>
      <c r="S242" s="3641"/>
      <c r="T242" s="3641"/>
      <c r="U242" s="3641"/>
      <c r="V242" s="3641"/>
      <c r="W242" s="3641"/>
      <c r="X242" s="3641"/>
      <c r="Y242" s="3641"/>
      <c r="Z242" s="3641"/>
      <c r="AA242" s="3641"/>
      <c r="AB242" s="3641"/>
      <c r="AC242" s="3641"/>
      <c r="AD242" s="3641"/>
      <c r="AE242" s="3641"/>
      <c r="AF242" s="3641"/>
      <c r="AG242" s="3641"/>
      <c r="AH242" s="3641"/>
      <c r="AI242" s="3641"/>
      <c r="AJ242" s="3642"/>
      <c r="AL242" s="3738" t="s">
        <v>1767</v>
      </c>
      <c r="AM242" s="3739"/>
      <c r="AN242" s="3739"/>
      <c r="AO242" s="3739"/>
      <c r="AP242" s="3739"/>
      <c r="AQ242" s="3739"/>
      <c r="AR242" s="3739"/>
      <c r="AS242" s="3739"/>
      <c r="AT242" s="3739"/>
      <c r="AU242" s="3739"/>
      <c r="AV242" s="3739"/>
      <c r="AW242" s="3739"/>
      <c r="AX242" s="3739"/>
      <c r="AY242" s="3739"/>
      <c r="AZ242" s="3739"/>
      <c r="BA242" s="3739"/>
      <c r="BB242" s="3739"/>
      <c r="BC242" s="3739"/>
      <c r="BD242" s="3739"/>
      <c r="BE242" s="3739"/>
      <c r="BF242" s="3739"/>
      <c r="BG242" s="3739"/>
      <c r="BH242" s="3739"/>
      <c r="BI242" s="3739"/>
      <c r="BJ242" s="3739"/>
      <c r="BK242" s="3739"/>
      <c r="BL242" s="3739"/>
      <c r="BM242" s="3739"/>
      <c r="BN242" s="3739"/>
      <c r="BO242" s="3739"/>
      <c r="BP242" s="3739"/>
      <c r="BQ242" s="3739"/>
      <c r="BR242" s="3739"/>
      <c r="BS242" s="3739"/>
      <c r="BT242" s="3740"/>
    </row>
    <row r="243" spans="1:72" ht="16.5">
      <c r="A243" s="3639" t="s">
        <v>644</v>
      </c>
      <c r="B243" s="3636"/>
      <c r="C243" s="3636"/>
      <c r="D243" s="3636" t="s">
        <v>652</v>
      </c>
      <c r="E243" s="3636"/>
      <c r="F243" s="3636"/>
      <c r="G243" s="3636" t="s">
        <v>652</v>
      </c>
      <c r="H243" s="3636"/>
      <c r="I243" s="3636"/>
      <c r="J243" s="3636" t="s">
        <v>652</v>
      </c>
      <c r="K243" s="3636"/>
      <c r="L243" s="3636"/>
      <c r="M243" s="3636"/>
      <c r="N243" s="3636"/>
      <c r="O243" s="3636" t="s">
        <v>658</v>
      </c>
      <c r="P243" s="3636"/>
      <c r="Q243" s="3636"/>
      <c r="R243" s="3636" t="s">
        <v>681</v>
      </c>
      <c r="S243" s="3636"/>
      <c r="T243" s="3636"/>
      <c r="U243" s="3636" t="s">
        <v>712</v>
      </c>
      <c r="V243" s="3636"/>
      <c r="W243" s="3636"/>
      <c r="X243" s="3636"/>
      <c r="Y243" s="3636"/>
      <c r="Z243" s="3636" t="s">
        <v>704</v>
      </c>
      <c r="AA243" s="3636"/>
      <c r="AB243" s="3636"/>
      <c r="AC243" s="3636" t="s">
        <v>704</v>
      </c>
      <c r="AD243" s="3636"/>
      <c r="AE243" s="3636"/>
      <c r="AF243" s="3636" t="s">
        <v>704</v>
      </c>
      <c r="AG243" s="3636"/>
      <c r="AH243" s="3636"/>
      <c r="AI243" s="3636"/>
      <c r="AJ243" s="3636"/>
      <c r="AL243" s="3634" t="s">
        <v>1757</v>
      </c>
      <c r="AM243" s="3634"/>
      <c r="AN243" s="3634"/>
      <c r="AO243" s="3634"/>
      <c r="AP243" s="3634"/>
      <c r="AQ243" s="3742" t="s">
        <v>1749</v>
      </c>
      <c r="AR243" s="3634"/>
      <c r="AS243" s="3634"/>
      <c r="AT243" s="3634"/>
      <c r="AU243" s="3634"/>
      <c r="AV243" s="3634"/>
      <c r="AW243" s="3634" t="s">
        <v>1758</v>
      </c>
      <c r="AX243" s="3634"/>
      <c r="AY243" s="3634"/>
      <c r="AZ243" s="3634"/>
      <c r="BA243" s="3634"/>
      <c r="BB243" s="3634"/>
      <c r="BC243" s="3742" t="s">
        <v>1749</v>
      </c>
      <c r="BD243" s="3634"/>
      <c r="BE243" s="3634"/>
      <c r="BF243" s="3634"/>
      <c r="BG243" s="3634"/>
      <c r="BH243" s="3634"/>
      <c r="BI243" s="3634" t="s">
        <v>1759</v>
      </c>
      <c r="BJ243" s="3634"/>
      <c r="BK243" s="3634"/>
      <c r="BL243" s="3634"/>
      <c r="BM243" s="3634"/>
      <c r="BN243" s="3634"/>
      <c r="BO243" s="3724" t="s">
        <v>1749</v>
      </c>
      <c r="BP243" s="3725"/>
      <c r="BQ243" s="3725"/>
      <c r="BR243" s="3725"/>
      <c r="BS243" s="3725"/>
      <c r="BT243" s="3726"/>
    </row>
    <row r="244" spans="1:72" ht="16.5">
      <c r="A244" s="3657" t="s">
        <v>655</v>
      </c>
      <c r="B244" s="3641"/>
      <c r="C244" s="3642"/>
      <c r="D244" s="3636" t="s">
        <v>652</v>
      </c>
      <c r="E244" s="3636"/>
      <c r="F244" s="3636"/>
      <c r="G244" s="3636" t="s">
        <v>677</v>
      </c>
      <c r="H244" s="3636"/>
      <c r="I244" s="3636"/>
      <c r="J244" s="3636" t="s">
        <v>678</v>
      </c>
      <c r="K244" s="3636"/>
      <c r="L244" s="3636"/>
      <c r="M244" s="3636"/>
      <c r="N244" s="3636"/>
      <c r="O244" s="3636" t="s">
        <v>653</v>
      </c>
      <c r="P244" s="3636"/>
      <c r="Q244" s="3636"/>
      <c r="R244" s="3636" t="s">
        <v>653</v>
      </c>
      <c r="S244" s="3636"/>
      <c r="T244" s="3636"/>
      <c r="U244" s="3636" t="s">
        <v>653</v>
      </c>
      <c r="V244" s="3636"/>
      <c r="W244" s="3636"/>
      <c r="X244" s="3636"/>
      <c r="Y244" s="3636"/>
      <c r="Z244" s="3636" t="s">
        <v>652</v>
      </c>
      <c r="AA244" s="3636"/>
      <c r="AB244" s="3636"/>
      <c r="AC244" s="3636" t="s">
        <v>677</v>
      </c>
      <c r="AD244" s="3636"/>
      <c r="AE244" s="3636"/>
      <c r="AF244" s="3636" t="s">
        <v>678</v>
      </c>
      <c r="AG244" s="3636"/>
      <c r="AH244" s="3636"/>
      <c r="AI244" s="3636"/>
      <c r="AJ244" s="3636"/>
    </row>
    <row r="245" spans="1:72" ht="16.5">
      <c r="A245" s="3640" t="s">
        <v>665</v>
      </c>
      <c r="B245" s="3641"/>
      <c r="C245" s="3642"/>
      <c r="D245" s="3636" t="s">
        <v>652</v>
      </c>
      <c r="E245" s="3636"/>
      <c r="F245" s="3636"/>
      <c r="G245" s="3636" t="s">
        <v>652</v>
      </c>
      <c r="H245" s="3636"/>
      <c r="I245" s="3636"/>
      <c r="J245" s="3636" t="s">
        <v>652</v>
      </c>
      <c r="K245" s="3636"/>
      <c r="L245" s="3636"/>
      <c r="M245" s="3636"/>
      <c r="N245" s="3636"/>
      <c r="O245" s="3636" t="s">
        <v>652</v>
      </c>
      <c r="P245" s="3636"/>
      <c r="Q245" s="3636"/>
      <c r="R245" s="3636" t="s">
        <v>700</v>
      </c>
      <c r="S245" s="3636"/>
      <c r="T245" s="3636"/>
      <c r="U245" s="3636" t="s">
        <v>741</v>
      </c>
      <c r="V245" s="3636"/>
      <c r="W245" s="3636"/>
      <c r="X245" s="3636"/>
      <c r="Y245" s="3636"/>
      <c r="Z245" s="3636" t="s">
        <v>652</v>
      </c>
      <c r="AA245" s="3636"/>
      <c r="AB245" s="3636"/>
      <c r="AC245" s="3636" t="s">
        <v>652</v>
      </c>
      <c r="AD245" s="3636"/>
      <c r="AE245" s="3636"/>
      <c r="AF245" s="3636" t="s">
        <v>652</v>
      </c>
      <c r="AG245" s="3636"/>
      <c r="AH245" s="3636"/>
      <c r="AI245" s="3636"/>
      <c r="AJ245" s="3636"/>
    </row>
    <row r="246" spans="1:72" ht="15">
      <c r="A246" s="3640" t="s">
        <v>742</v>
      </c>
      <c r="B246" s="3641"/>
      <c r="C246" s="3641"/>
      <c r="D246" s="3641"/>
      <c r="E246" s="3641"/>
      <c r="F246" s="3641"/>
      <c r="G246" s="3641"/>
      <c r="H246" s="3641"/>
      <c r="I246" s="3641"/>
      <c r="J246" s="3641"/>
      <c r="K246" s="3641"/>
      <c r="L246" s="3641"/>
      <c r="M246" s="3641"/>
      <c r="N246" s="3641"/>
      <c r="O246" s="3641"/>
      <c r="P246" s="3641"/>
      <c r="Q246" s="3641"/>
      <c r="R246" s="3641"/>
      <c r="S246" s="3641"/>
      <c r="T246" s="3641"/>
      <c r="U246" s="3641"/>
      <c r="V246" s="3641"/>
      <c r="W246" s="3641"/>
      <c r="X246" s="3641"/>
      <c r="Y246" s="3641"/>
      <c r="Z246" s="3641"/>
      <c r="AA246" s="3641"/>
      <c r="AB246" s="3641"/>
      <c r="AC246" s="3641"/>
      <c r="AD246" s="3641"/>
      <c r="AE246" s="3641"/>
      <c r="AF246" s="3641"/>
      <c r="AG246" s="3641"/>
      <c r="AH246" s="3641"/>
      <c r="AI246" s="3641"/>
      <c r="AJ246" s="3642"/>
    </row>
    <row r="247" spans="1:72" ht="16.5">
      <c r="A247" s="3639" t="s">
        <v>644</v>
      </c>
      <c r="B247" s="3636"/>
      <c r="C247" s="3636"/>
      <c r="D247" s="3636" t="s">
        <v>714</v>
      </c>
      <c r="E247" s="3636"/>
      <c r="F247" s="3636"/>
      <c r="G247" s="3636" t="s">
        <v>682</v>
      </c>
      <c r="H247" s="3636"/>
      <c r="I247" s="3636"/>
      <c r="J247" s="3636" t="s">
        <v>657</v>
      </c>
      <c r="K247" s="3636"/>
      <c r="L247" s="3636"/>
      <c r="M247" s="3636"/>
      <c r="N247" s="3636"/>
      <c r="O247" s="3636" t="s">
        <v>676</v>
      </c>
      <c r="P247" s="3636"/>
      <c r="Q247" s="3636"/>
      <c r="R247" s="3636" t="s">
        <v>681</v>
      </c>
      <c r="S247" s="3636"/>
      <c r="T247" s="3636"/>
      <c r="U247" s="3636" t="s">
        <v>658</v>
      </c>
      <c r="V247" s="3636"/>
      <c r="W247" s="3636"/>
      <c r="X247" s="3636"/>
      <c r="Y247" s="3636"/>
      <c r="Z247" s="3636" t="s">
        <v>743</v>
      </c>
      <c r="AA247" s="3636"/>
      <c r="AB247" s="3636"/>
      <c r="AC247" s="3636" t="s">
        <v>744</v>
      </c>
      <c r="AD247" s="3636"/>
      <c r="AE247" s="3636"/>
      <c r="AF247" s="3636" t="s">
        <v>745</v>
      </c>
      <c r="AG247" s="3636"/>
      <c r="AH247" s="3636"/>
      <c r="AI247" s="3636"/>
      <c r="AJ247" s="3636"/>
    </row>
    <row r="248" spans="1:72" ht="16.5">
      <c r="A248" s="3657" t="s">
        <v>655</v>
      </c>
      <c r="B248" s="3641"/>
      <c r="C248" s="3642"/>
      <c r="D248" s="3636" t="s">
        <v>667</v>
      </c>
      <c r="E248" s="3636"/>
      <c r="F248" s="3636"/>
      <c r="G248" s="3636" t="s">
        <v>667</v>
      </c>
      <c r="H248" s="3636"/>
      <c r="I248" s="3636"/>
      <c r="J248" s="3636" t="s">
        <v>667</v>
      </c>
      <c r="K248" s="3636"/>
      <c r="L248" s="3636"/>
      <c r="M248" s="3636"/>
      <c r="N248" s="3636"/>
      <c r="O248" s="3636" t="s">
        <v>667</v>
      </c>
      <c r="P248" s="3636"/>
      <c r="Q248" s="3636"/>
      <c r="R248" s="3636" t="s">
        <v>658</v>
      </c>
      <c r="S248" s="3636"/>
      <c r="T248" s="3636"/>
      <c r="U248" s="3636" t="s">
        <v>746</v>
      </c>
      <c r="V248" s="3636"/>
      <c r="W248" s="3636"/>
      <c r="X248" s="3636"/>
      <c r="Y248" s="3636"/>
      <c r="Z248" s="3636" t="s">
        <v>658</v>
      </c>
      <c r="AA248" s="3636"/>
      <c r="AB248" s="3636"/>
      <c r="AC248" s="3636" t="s">
        <v>667</v>
      </c>
      <c r="AD248" s="3636"/>
      <c r="AE248" s="3636"/>
      <c r="AF248" s="3636" t="s">
        <v>746</v>
      </c>
      <c r="AG248" s="3636"/>
      <c r="AH248" s="3636"/>
      <c r="AI248" s="3636"/>
      <c r="AJ248" s="3636"/>
    </row>
    <row r="249" spans="1:72" ht="16.5">
      <c r="A249" s="3640" t="s">
        <v>660</v>
      </c>
      <c r="B249" s="3641"/>
      <c r="C249" s="3642"/>
      <c r="D249" s="3636" t="s">
        <v>700</v>
      </c>
      <c r="E249" s="3636"/>
      <c r="F249" s="3636"/>
      <c r="G249" s="3636" t="s">
        <v>700</v>
      </c>
      <c r="H249" s="3636"/>
      <c r="I249" s="3636"/>
      <c r="J249" s="3636" t="s">
        <v>700</v>
      </c>
      <c r="K249" s="3636"/>
      <c r="L249" s="3636"/>
      <c r="M249" s="3636"/>
      <c r="N249" s="3636"/>
      <c r="O249" s="3636" t="s">
        <v>667</v>
      </c>
      <c r="P249" s="3636"/>
      <c r="Q249" s="3636"/>
      <c r="R249" s="3636" t="s">
        <v>652</v>
      </c>
      <c r="S249" s="3636"/>
      <c r="T249" s="3636"/>
      <c r="U249" s="3636" t="s">
        <v>658</v>
      </c>
      <c r="V249" s="3636"/>
      <c r="W249" s="3636"/>
      <c r="X249" s="3636"/>
      <c r="Y249" s="3636"/>
      <c r="Z249" s="3636" t="s">
        <v>667</v>
      </c>
      <c r="AA249" s="3636"/>
      <c r="AB249" s="3636"/>
      <c r="AC249" s="3636" t="s">
        <v>652</v>
      </c>
      <c r="AD249" s="3636"/>
      <c r="AE249" s="3636"/>
      <c r="AF249" s="3636" t="s">
        <v>658</v>
      </c>
      <c r="AG249" s="3636"/>
      <c r="AH249" s="3636"/>
      <c r="AI249" s="3636"/>
      <c r="AJ249" s="3636"/>
    </row>
    <row r="250" spans="1:72" ht="15">
      <c r="A250" s="3640" t="s">
        <v>747</v>
      </c>
      <c r="B250" s="3641"/>
      <c r="C250" s="3641"/>
      <c r="D250" s="3641"/>
      <c r="E250" s="3641"/>
      <c r="F250" s="3641"/>
      <c r="G250" s="3641"/>
      <c r="H250" s="3641"/>
      <c r="I250" s="3641"/>
      <c r="J250" s="3641"/>
      <c r="K250" s="3641"/>
      <c r="L250" s="3641"/>
      <c r="M250" s="3641"/>
      <c r="N250" s="3641"/>
      <c r="O250" s="3641"/>
      <c r="P250" s="3641"/>
      <c r="Q250" s="3641"/>
      <c r="R250" s="3641"/>
      <c r="S250" s="3641"/>
      <c r="T250" s="3641"/>
      <c r="U250" s="3641"/>
      <c r="V250" s="3641"/>
      <c r="W250" s="3641"/>
      <c r="X250" s="3641"/>
      <c r="Y250" s="3641"/>
      <c r="Z250" s="3641"/>
      <c r="AA250" s="3641"/>
      <c r="AB250" s="3641"/>
      <c r="AC250" s="3641"/>
      <c r="AD250" s="3641"/>
      <c r="AE250" s="3641"/>
      <c r="AF250" s="3641"/>
      <c r="AG250" s="3641"/>
      <c r="AH250" s="3641"/>
      <c r="AI250" s="3641"/>
      <c r="AJ250" s="3642"/>
    </row>
    <row r="251" spans="1:72" ht="16.5">
      <c r="A251" s="3639" t="s">
        <v>644</v>
      </c>
      <c r="B251" s="3636"/>
      <c r="C251" s="3636"/>
      <c r="D251" s="3636" t="s">
        <v>661</v>
      </c>
      <c r="E251" s="3636"/>
      <c r="F251" s="3636"/>
      <c r="G251" s="3636" t="s">
        <v>661</v>
      </c>
      <c r="H251" s="3636"/>
      <c r="I251" s="3636"/>
      <c r="J251" s="3636" t="s">
        <v>661</v>
      </c>
      <c r="K251" s="3636"/>
      <c r="L251" s="3636"/>
      <c r="M251" s="3636"/>
      <c r="N251" s="3636"/>
      <c r="O251" s="3636" t="s">
        <v>661</v>
      </c>
      <c r="P251" s="3636"/>
      <c r="Q251" s="3636"/>
      <c r="R251" s="3636" t="s">
        <v>661</v>
      </c>
      <c r="S251" s="3636"/>
      <c r="T251" s="3636"/>
      <c r="U251" s="3636" t="s">
        <v>661</v>
      </c>
      <c r="V251" s="3636"/>
      <c r="W251" s="3636"/>
      <c r="X251" s="3636"/>
      <c r="Y251" s="3636"/>
      <c r="Z251" s="3636" t="s">
        <v>661</v>
      </c>
      <c r="AA251" s="3636"/>
      <c r="AB251" s="3636"/>
      <c r="AC251" s="3636" t="s">
        <v>661</v>
      </c>
      <c r="AD251" s="3636"/>
      <c r="AE251" s="3636"/>
      <c r="AF251" s="3636" t="s">
        <v>661</v>
      </c>
      <c r="AG251" s="3636"/>
      <c r="AH251" s="3636"/>
      <c r="AI251" s="3636"/>
      <c r="AJ251" s="3636"/>
    </row>
    <row r="252" spans="1:72" ht="16.5">
      <c r="A252" s="3657" t="s">
        <v>655</v>
      </c>
      <c r="B252" s="3641"/>
      <c r="C252" s="3642"/>
      <c r="D252" s="3636" t="s">
        <v>661</v>
      </c>
      <c r="E252" s="3636"/>
      <c r="F252" s="3636"/>
      <c r="G252" s="3636" t="s">
        <v>661</v>
      </c>
      <c r="H252" s="3636"/>
      <c r="I252" s="3636"/>
      <c r="J252" s="3636" t="s">
        <v>661</v>
      </c>
      <c r="K252" s="3636"/>
      <c r="L252" s="3636"/>
      <c r="M252" s="3636"/>
      <c r="N252" s="3636"/>
      <c r="O252" s="3636" t="s">
        <v>661</v>
      </c>
      <c r="P252" s="3636"/>
      <c r="Q252" s="3636"/>
      <c r="R252" s="3636" t="s">
        <v>661</v>
      </c>
      <c r="S252" s="3636"/>
      <c r="T252" s="3636"/>
      <c r="U252" s="3636" t="s">
        <v>661</v>
      </c>
      <c r="V252" s="3636"/>
      <c r="W252" s="3636"/>
      <c r="X252" s="3636"/>
      <c r="Y252" s="3636"/>
      <c r="Z252" s="3636" t="s">
        <v>661</v>
      </c>
      <c r="AA252" s="3636"/>
      <c r="AB252" s="3636"/>
      <c r="AC252" s="3636" t="s">
        <v>661</v>
      </c>
      <c r="AD252" s="3636"/>
      <c r="AE252" s="3636"/>
      <c r="AF252" s="3636" t="s">
        <v>661</v>
      </c>
      <c r="AG252" s="3636"/>
      <c r="AH252" s="3636"/>
      <c r="AI252" s="3636"/>
      <c r="AJ252" s="3636"/>
    </row>
    <row r="253" spans="1:72" ht="16.5">
      <c r="A253" s="3640" t="s">
        <v>660</v>
      </c>
      <c r="B253" s="3641"/>
      <c r="C253" s="3642"/>
      <c r="D253" s="3636" t="s">
        <v>661</v>
      </c>
      <c r="E253" s="3636"/>
      <c r="F253" s="3636"/>
      <c r="G253" s="3636" t="s">
        <v>661</v>
      </c>
      <c r="H253" s="3636"/>
      <c r="I253" s="3636"/>
      <c r="J253" s="3636" t="s">
        <v>661</v>
      </c>
      <c r="K253" s="3636"/>
      <c r="L253" s="3636"/>
      <c r="M253" s="3636"/>
      <c r="N253" s="3636"/>
      <c r="O253" s="3636" t="s">
        <v>661</v>
      </c>
      <c r="P253" s="3636"/>
      <c r="Q253" s="3636"/>
      <c r="R253" s="3636" t="s">
        <v>661</v>
      </c>
      <c r="S253" s="3636"/>
      <c r="T253" s="3636"/>
      <c r="U253" s="3636" t="s">
        <v>661</v>
      </c>
      <c r="V253" s="3636"/>
      <c r="W253" s="3636"/>
      <c r="X253" s="3636"/>
      <c r="Y253" s="3636"/>
      <c r="Z253" s="3636" t="s">
        <v>661</v>
      </c>
      <c r="AA253" s="3636"/>
      <c r="AB253" s="3636"/>
      <c r="AC253" s="3636" t="s">
        <v>661</v>
      </c>
      <c r="AD253" s="3636"/>
      <c r="AE253" s="3636"/>
      <c r="AF253" s="3636" t="s">
        <v>661</v>
      </c>
      <c r="AG253" s="3636"/>
      <c r="AH253" s="3636"/>
      <c r="AI253" s="3636"/>
      <c r="AJ253" s="3636"/>
    </row>
    <row r="254" spans="1:72" ht="16.5">
      <c r="A254" s="3715" t="s">
        <v>748</v>
      </c>
      <c r="B254" s="3716"/>
      <c r="C254" s="3716"/>
      <c r="D254" s="3716"/>
      <c r="E254" s="3716"/>
      <c r="F254" s="3716"/>
      <c r="G254" s="3716"/>
      <c r="H254" s="3716"/>
      <c r="I254" s="3716"/>
      <c r="J254" s="3716"/>
      <c r="K254" s="3716"/>
      <c r="L254" s="3716"/>
      <c r="M254" s="3716"/>
      <c r="N254" s="3716"/>
      <c r="O254" s="3716"/>
      <c r="P254" s="3716"/>
      <c r="Q254" s="3716"/>
      <c r="R254" s="3716"/>
      <c r="S254" s="3716"/>
      <c r="T254" s="3716"/>
      <c r="U254" s="3716"/>
      <c r="V254" s="3716"/>
      <c r="W254" s="3716"/>
      <c r="X254" s="3716"/>
      <c r="Y254" s="3716"/>
      <c r="Z254" s="3716"/>
      <c r="AA254" s="3716"/>
      <c r="AB254" s="3716"/>
      <c r="AC254" s="3716"/>
      <c r="AD254" s="3716"/>
      <c r="AE254" s="3716"/>
      <c r="AF254" s="3716"/>
      <c r="AG254" s="3716"/>
      <c r="AH254" s="3716"/>
      <c r="AI254" s="3716"/>
      <c r="AJ254" s="3717"/>
    </row>
    <row r="255" spans="1:72" ht="15">
      <c r="A255" s="3636" t="s">
        <v>670</v>
      </c>
      <c r="B255" s="3636"/>
      <c r="C255" s="3636"/>
      <c r="D255" s="3636"/>
      <c r="E255" s="3635" t="s">
        <v>749</v>
      </c>
      <c r="F255" s="3636"/>
      <c r="G255" s="3636"/>
      <c r="H255" s="3636"/>
      <c r="I255" s="3636"/>
      <c r="J255" s="3636"/>
      <c r="K255" s="3636" t="s">
        <v>671</v>
      </c>
      <c r="L255" s="3636"/>
      <c r="M255" s="3636"/>
      <c r="N255" s="3636"/>
      <c r="O255" s="3636"/>
      <c r="P255" s="3636"/>
      <c r="Q255" s="3635" t="s">
        <v>717</v>
      </c>
      <c r="R255" s="3636"/>
      <c r="S255" s="3636"/>
      <c r="T255" s="3636"/>
      <c r="U255" s="3636"/>
      <c r="V255" s="3636"/>
      <c r="W255" s="3636"/>
      <c r="X255" s="3636" t="s">
        <v>672</v>
      </c>
      <c r="Y255" s="3636"/>
      <c r="Z255" s="3636"/>
      <c r="AA255" s="3636"/>
      <c r="AB255" s="3636"/>
      <c r="AC255" s="3646" t="s">
        <v>749</v>
      </c>
      <c r="AD255" s="3643"/>
      <c r="AE255" s="3643"/>
      <c r="AF255" s="3643"/>
      <c r="AG255" s="3643"/>
      <c r="AH255" s="3643"/>
      <c r="AI255" s="3643"/>
      <c r="AJ255" s="3644"/>
    </row>
    <row r="256" spans="1:72" ht="15">
      <c r="A256" s="269"/>
      <c r="B256" s="269"/>
      <c r="C256" s="269"/>
      <c r="D256" s="269"/>
      <c r="E256" s="269"/>
      <c r="F256" s="269"/>
      <c r="G256" s="269"/>
      <c r="H256" s="269"/>
      <c r="I256" s="269"/>
      <c r="J256" s="269"/>
      <c r="K256" s="269"/>
      <c r="L256" s="269"/>
      <c r="M256" s="269"/>
      <c r="N256" s="269"/>
      <c r="O256" s="269"/>
      <c r="P256" s="269"/>
      <c r="Q256" s="269"/>
      <c r="R256" s="269"/>
      <c r="S256" s="269"/>
      <c r="T256" s="269"/>
      <c r="U256" s="269"/>
      <c r="V256" s="269"/>
      <c r="W256" s="269"/>
      <c r="X256" s="269"/>
      <c r="Y256" s="269"/>
      <c r="Z256" s="269"/>
      <c r="AA256" s="269"/>
      <c r="AB256" s="269"/>
      <c r="AC256" s="269"/>
      <c r="AD256" s="269"/>
      <c r="AE256" s="269"/>
      <c r="AF256" s="269"/>
      <c r="AG256" s="269"/>
      <c r="AH256" s="269"/>
      <c r="AI256" s="269"/>
      <c r="AJ256" s="269"/>
    </row>
    <row r="257" spans="1:72" ht="15.75">
      <c r="A257" s="217"/>
      <c r="B257" s="217"/>
      <c r="C257" s="217"/>
      <c r="D257" s="217"/>
      <c r="E257" s="217"/>
      <c r="F257" s="217"/>
      <c r="G257" s="217"/>
      <c r="H257" s="217"/>
      <c r="I257" s="217"/>
      <c r="J257" s="217"/>
      <c r="K257" s="217"/>
      <c r="L257" s="217"/>
      <c r="M257" s="217"/>
      <c r="N257" s="217"/>
      <c r="O257" s="217"/>
      <c r="P257" s="217"/>
      <c r="Q257" s="217"/>
      <c r="R257" s="217"/>
      <c r="S257" s="217"/>
      <c r="T257" s="217"/>
      <c r="U257" s="217"/>
      <c r="V257" s="217"/>
      <c r="W257" s="217"/>
      <c r="X257" s="217"/>
      <c r="Y257" s="217"/>
      <c r="Z257" s="217"/>
      <c r="AA257" s="217"/>
      <c r="AB257" s="217"/>
      <c r="AC257" s="217"/>
      <c r="AD257" s="217"/>
      <c r="AE257" s="217"/>
      <c r="AF257" s="217"/>
      <c r="AG257" s="217"/>
      <c r="AH257" s="217"/>
      <c r="AI257" s="217"/>
      <c r="AJ257" s="217"/>
    </row>
    <row r="258" spans="1:72" ht="15.75">
      <c r="A258" s="211" t="s">
        <v>750</v>
      </c>
      <c r="B258" s="212"/>
      <c r="C258" s="212"/>
      <c r="D258" s="212"/>
      <c r="E258" s="212"/>
      <c r="F258" s="212"/>
      <c r="G258" s="212"/>
      <c r="H258" s="261" t="s">
        <v>637</v>
      </c>
      <c r="I258" s="212"/>
      <c r="J258" s="212"/>
      <c r="K258" s="212"/>
      <c r="L258" s="212"/>
      <c r="M258" s="212"/>
      <c r="N258" s="212"/>
      <c r="O258" s="212"/>
      <c r="P258" s="212"/>
      <c r="Q258" s="212"/>
      <c r="R258" s="212"/>
      <c r="S258" s="212"/>
      <c r="T258" s="212"/>
      <c r="U258" s="212"/>
      <c r="V258" s="212"/>
      <c r="W258" s="212"/>
      <c r="X258" s="212"/>
      <c r="Y258" s="212"/>
      <c r="Z258" s="212"/>
      <c r="AA258" s="212"/>
      <c r="AB258" s="212"/>
      <c r="AC258" s="212"/>
      <c r="AD258" s="212"/>
      <c r="AE258" s="212"/>
      <c r="AF258" s="212"/>
      <c r="AG258" s="212"/>
      <c r="AH258" s="212"/>
      <c r="AI258" s="212"/>
      <c r="AJ258" s="212"/>
      <c r="AL258" s="649" t="s">
        <v>1691</v>
      </c>
    </row>
    <row r="259" spans="1:72" ht="15.75">
      <c r="A259" s="3710" t="s">
        <v>695</v>
      </c>
      <c r="B259" s="3711"/>
      <c r="C259" s="3711"/>
      <c r="D259" s="3711"/>
      <c r="E259" s="3711"/>
      <c r="F259" s="3711"/>
      <c r="G259" s="3711"/>
      <c r="H259" s="3711"/>
      <c r="I259" s="3711"/>
      <c r="J259" s="3711"/>
      <c r="K259" s="3711"/>
      <c r="L259" s="3711"/>
      <c r="M259" s="3711"/>
      <c r="N259" s="3711"/>
      <c r="O259" s="3711"/>
      <c r="P259" s="3711"/>
      <c r="Q259" s="3711"/>
      <c r="R259" s="3711"/>
      <c r="S259" s="3711"/>
      <c r="T259" s="3711"/>
      <c r="U259" s="3711"/>
      <c r="V259" s="3711"/>
      <c r="W259" s="3711"/>
      <c r="X259" s="3711"/>
      <c r="Y259" s="3711"/>
      <c r="Z259" s="3711"/>
      <c r="AA259" s="3711"/>
      <c r="AB259" s="3711"/>
      <c r="AC259" s="3711"/>
      <c r="AD259" s="3711"/>
      <c r="AE259" s="3711"/>
      <c r="AF259" s="3711"/>
      <c r="AG259" s="3711"/>
      <c r="AH259" s="3711"/>
      <c r="AI259" s="3711"/>
      <c r="AJ259" s="3712"/>
      <c r="AL259" s="3763" t="s">
        <v>1716</v>
      </c>
      <c r="AM259" s="3763"/>
      <c r="AN259" s="3770" t="s">
        <v>1717</v>
      </c>
      <c r="AO259" s="3769"/>
      <c r="AP259" s="3769"/>
      <c r="AQ259" s="3769"/>
      <c r="AR259" s="1749"/>
      <c r="AS259" s="3745"/>
      <c r="AT259" s="3745"/>
      <c r="AU259" s="3745"/>
      <c r="AV259" s="3745"/>
      <c r="AW259" s="3745"/>
      <c r="AX259" s="3745"/>
      <c r="AY259" s="3745"/>
      <c r="AZ259" s="3745"/>
      <c r="BA259" s="3745"/>
      <c r="BB259" s="3648"/>
      <c r="BC259" s="3648"/>
      <c r="BD259" s="3648"/>
      <c r="BE259" s="3648"/>
      <c r="BF259" s="3648"/>
      <c r="BG259" s="3648"/>
      <c r="BH259" s="3648"/>
      <c r="BI259" s="3648"/>
      <c r="BJ259" s="3648"/>
      <c r="BK259" s="3648"/>
      <c r="BL259" s="3648"/>
      <c r="BM259" s="3648"/>
      <c r="BN259" s="3648"/>
      <c r="BO259" s="655"/>
      <c r="BP259" s="655"/>
      <c r="BQ259" s="655"/>
      <c r="BR259" s="655"/>
      <c r="BS259" s="655"/>
      <c r="BT259" s="655"/>
    </row>
    <row r="260" spans="1:72" ht="15.75">
      <c r="A260" s="3720" t="s">
        <v>639</v>
      </c>
      <c r="B260" s="3651"/>
      <c r="C260" s="3652"/>
      <c r="D260" s="3640" t="s">
        <v>719</v>
      </c>
      <c r="E260" s="3641"/>
      <c r="F260" s="3641"/>
      <c r="G260" s="3641"/>
      <c r="H260" s="3641"/>
      <c r="I260" s="3641"/>
      <c r="J260" s="3641"/>
      <c r="K260" s="3641"/>
      <c r="L260" s="3641"/>
      <c r="M260" s="3641"/>
      <c r="N260" s="3642"/>
      <c r="O260" s="3640" t="s">
        <v>720</v>
      </c>
      <c r="P260" s="3641"/>
      <c r="Q260" s="3641"/>
      <c r="R260" s="3641"/>
      <c r="S260" s="3641"/>
      <c r="T260" s="3641"/>
      <c r="U260" s="3641"/>
      <c r="V260" s="3641"/>
      <c r="W260" s="3641"/>
      <c r="X260" s="3641"/>
      <c r="Y260" s="3642"/>
      <c r="Z260" s="3640" t="s">
        <v>721</v>
      </c>
      <c r="AA260" s="3641"/>
      <c r="AB260" s="3641"/>
      <c r="AC260" s="3641"/>
      <c r="AD260" s="3641"/>
      <c r="AE260" s="3641"/>
      <c r="AF260" s="3641"/>
      <c r="AG260" s="3641"/>
      <c r="AH260" s="3641"/>
      <c r="AI260" s="3641"/>
      <c r="AJ260" s="3642"/>
      <c r="AL260" s="3730" t="s">
        <v>1663</v>
      </c>
      <c r="AM260" s="3648"/>
      <c r="AN260" s="3648"/>
      <c r="AO260" s="3648"/>
      <c r="AP260" s="3648"/>
      <c r="AQ260" s="3648"/>
      <c r="AR260" s="3648"/>
      <c r="AS260" s="3648"/>
      <c r="AT260" s="3648"/>
      <c r="AU260" s="3648"/>
      <c r="AV260" s="3648"/>
      <c r="AW260" s="3648"/>
      <c r="AX260" s="3648"/>
      <c r="AY260" s="3648"/>
      <c r="AZ260" s="3648"/>
      <c r="BA260" s="3648"/>
      <c r="BB260" s="3648"/>
      <c r="BC260" s="3648"/>
      <c r="BD260" s="3648"/>
      <c r="BE260" s="3648"/>
      <c r="BF260" s="3648"/>
      <c r="BG260" s="3648"/>
      <c r="BH260" s="3648"/>
      <c r="BI260" s="3648"/>
      <c r="BJ260" s="3648"/>
      <c r="BK260" s="3648"/>
      <c r="BL260" s="3648"/>
      <c r="BM260" s="3648"/>
      <c r="BN260" s="3648"/>
      <c r="BO260" s="3648"/>
      <c r="BP260" s="3648"/>
      <c r="BQ260" s="3648"/>
      <c r="BR260" s="3648"/>
      <c r="BS260" s="3648"/>
      <c r="BT260" s="3649"/>
    </row>
    <row r="261" spans="1:72" ht="15.75">
      <c r="A261" s="3653"/>
      <c r="B261" s="3654"/>
      <c r="C261" s="3655"/>
      <c r="D261" s="3646">
        <v>1</v>
      </c>
      <c r="E261" s="3643"/>
      <c r="F261" s="3644"/>
      <c r="G261" s="3640">
        <v>2</v>
      </c>
      <c r="H261" s="3641"/>
      <c r="I261" s="3642"/>
      <c r="J261" s="3710" t="s">
        <v>643</v>
      </c>
      <c r="K261" s="3641"/>
      <c r="L261" s="3641"/>
      <c r="M261" s="3641"/>
      <c r="N261" s="3642"/>
      <c r="O261" s="3646">
        <v>1</v>
      </c>
      <c r="P261" s="3643"/>
      <c r="Q261" s="3644"/>
      <c r="R261" s="3640">
        <v>2</v>
      </c>
      <c r="S261" s="3641"/>
      <c r="T261" s="3642"/>
      <c r="U261" s="3710" t="s">
        <v>643</v>
      </c>
      <c r="V261" s="3641"/>
      <c r="W261" s="3641"/>
      <c r="X261" s="3641"/>
      <c r="Y261" s="3642"/>
      <c r="Z261" s="3646">
        <v>1</v>
      </c>
      <c r="AA261" s="3643"/>
      <c r="AB261" s="3644"/>
      <c r="AC261" s="3640">
        <v>2</v>
      </c>
      <c r="AD261" s="3641"/>
      <c r="AE261" s="3642"/>
      <c r="AF261" s="3710" t="s">
        <v>643</v>
      </c>
      <c r="AG261" s="3641"/>
      <c r="AH261" s="3641"/>
      <c r="AI261" s="3641"/>
      <c r="AJ261" s="3642"/>
      <c r="AL261" s="3730" t="s">
        <v>1664</v>
      </c>
      <c r="AM261" s="3648"/>
      <c r="AN261" s="3648"/>
      <c r="AO261" s="3648"/>
      <c r="AP261" s="3649"/>
      <c r="AQ261" s="3647" t="s">
        <v>1697</v>
      </c>
      <c r="AR261" s="3648"/>
      <c r="AS261" s="3648"/>
      <c r="AT261" s="3648"/>
      <c r="AU261" s="3648"/>
      <c r="AV261" s="3649"/>
      <c r="AW261" s="3647" t="s">
        <v>1698</v>
      </c>
      <c r="AX261" s="3648"/>
      <c r="AY261" s="3648"/>
      <c r="AZ261" s="3648"/>
      <c r="BA261" s="3648"/>
      <c r="BB261" s="3649"/>
      <c r="BC261" s="3647" t="s">
        <v>1699</v>
      </c>
      <c r="BD261" s="3648"/>
      <c r="BE261" s="3648"/>
      <c r="BF261" s="3648"/>
      <c r="BG261" s="3648"/>
      <c r="BH261" s="3649"/>
      <c r="BI261" s="3647" t="s">
        <v>1700</v>
      </c>
      <c r="BJ261" s="3648"/>
      <c r="BK261" s="3648"/>
      <c r="BL261" s="3648"/>
      <c r="BM261" s="3648"/>
      <c r="BN261" s="3649"/>
      <c r="BO261" s="3647" t="s">
        <v>1701</v>
      </c>
      <c r="BP261" s="3648"/>
      <c r="BQ261" s="3648"/>
      <c r="BR261" s="3648"/>
      <c r="BS261" s="3648"/>
      <c r="BT261" s="3649"/>
    </row>
    <row r="262" spans="1:72" ht="18.75">
      <c r="A262" s="3639" t="s">
        <v>644</v>
      </c>
      <c r="B262" s="3636"/>
      <c r="C262" s="3636"/>
      <c r="D262" s="3640" t="s">
        <v>751</v>
      </c>
      <c r="E262" s="3643"/>
      <c r="F262" s="3644"/>
      <c r="G262" s="3640" t="s">
        <v>752</v>
      </c>
      <c r="H262" s="3641"/>
      <c r="I262" s="3642"/>
      <c r="J262" s="3640" t="s">
        <v>753</v>
      </c>
      <c r="K262" s="3643"/>
      <c r="L262" s="3643"/>
      <c r="M262" s="3643"/>
      <c r="N262" s="3644"/>
      <c r="O262" s="3640" t="s">
        <v>651</v>
      </c>
      <c r="P262" s="3643"/>
      <c r="Q262" s="3644"/>
      <c r="R262" s="3640" t="s">
        <v>648</v>
      </c>
      <c r="S262" s="3641"/>
      <c r="T262" s="3642"/>
      <c r="U262" s="3640" t="s">
        <v>754</v>
      </c>
      <c r="V262" s="3643"/>
      <c r="W262" s="3643"/>
      <c r="X262" s="3643"/>
      <c r="Y262" s="3644"/>
      <c r="Z262" s="3640" t="s">
        <v>755</v>
      </c>
      <c r="AA262" s="3643"/>
      <c r="AB262" s="3644"/>
      <c r="AC262" s="3640" t="s">
        <v>756</v>
      </c>
      <c r="AD262" s="3641"/>
      <c r="AE262" s="3642"/>
      <c r="AF262" s="3640" t="s">
        <v>757</v>
      </c>
      <c r="AG262" s="3643"/>
      <c r="AH262" s="3643"/>
      <c r="AI262" s="3643"/>
      <c r="AJ262" s="3644"/>
      <c r="AL262" s="3737" t="s">
        <v>1668</v>
      </c>
      <c r="AM262" s="3648"/>
      <c r="AN262" s="3648"/>
      <c r="AO262" s="3648"/>
      <c r="AP262" s="3649"/>
      <c r="AQ262" s="3724" t="s">
        <v>1703</v>
      </c>
      <c r="AR262" s="3648"/>
      <c r="AS262" s="3648"/>
      <c r="AT262" s="3648"/>
      <c r="AU262" s="3648"/>
      <c r="AV262" s="3649"/>
      <c r="AW262" s="3724" t="s">
        <v>1702</v>
      </c>
      <c r="AX262" s="3648"/>
      <c r="AY262" s="3648"/>
      <c r="AZ262" s="3648"/>
      <c r="BA262" s="3648"/>
      <c r="BB262" s="3649"/>
      <c r="BC262" s="3742" t="s">
        <v>1708</v>
      </c>
      <c r="BD262" s="3634"/>
      <c r="BE262" s="3634"/>
      <c r="BF262" s="3634"/>
      <c r="BG262" s="3634"/>
      <c r="BH262" s="3634"/>
      <c r="BI262" s="3724" t="s">
        <v>1655</v>
      </c>
      <c r="BJ262" s="3725"/>
      <c r="BK262" s="3725"/>
      <c r="BL262" s="3725"/>
      <c r="BM262" s="3725"/>
      <c r="BN262" s="3726"/>
      <c r="BO262" s="3724" t="s">
        <v>1655</v>
      </c>
      <c r="BP262" s="3725"/>
      <c r="BQ262" s="3725"/>
      <c r="BR262" s="3725"/>
      <c r="BS262" s="3725"/>
      <c r="BT262" s="3726"/>
    </row>
    <row r="263" spans="1:72" ht="18.75">
      <c r="A263" s="3640" t="s">
        <v>650</v>
      </c>
      <c r="B263" s="3641"/>
      <c r="C263" s="3642"/>
      <c r="D263" s="3640" t="s">
        <v>703</v>
      </c>
      <c r="E263" s="3643"/>
      <c r="F263" s="3644"/>
      <c r="G263" s="3640" t="s">
        <v>758</v>
      </c>
      <c r="H263" s="3641"/>
      <c r="I263" s="3642"/>
      <c r="J263" s="3640" t="s">
        <v>759</v>
      </c>
      <c r="K263" s="3643"/>
      <c r="L263" s="3643"/>
      <c r="M263" s="3643"/>
      <c r="N263" s="3644"/>
      <c r="O263" s="3640" t="s">
        <v>692</v>
      </c>
      <c r="P263" s="3643"/>
      <c r="Q263" s="3644"/>
      <c r="R263" s="3640" t="s">
        <v>658</v>
      </c>
      <c r="S263" s="3641"/>
      <c r="T263" s="3642"/>
      <c r="U263" s="3640" t="s">
        <v>760</v>
      </c>
      <c r="V263" s="3643"/>
      <c r="W263" s="3643"/>
      <c r="X263" s="3643"/>
      <c r="Y263" s="3644"/>
      <c r="Z263" s="3640" t="s">
        <v>652</v>
      </c>
      <c r="AA263" s="3643"/>
      <c r="AB263" s="3644"/>
      <c r="AC263" s="3640" t="s">
        <v>705</v>
      </c>
      <c r="AD263" s="3641"/>
      <c r="AE263" s="3642"/>
      <c r="AF263" s="3640" t="s">
        <v>761</v>
      </c>
      <c r="AG263" s="3643"/>
      <c r="AH263" s="3643"/>
      <c r="AI263" s="3643"/>
      <c r="AJ263" s="3644"/>
      <c r="AL263" s="3647" t="s">
        <v>1728</v>
      </c>
      <c r="AM263" s="3648"/>
      <c r="AN263" s="3648"/>
      <c r="AO263" s="3648"/>
      <c r="AP263" s="3649"/>
      <c r="AQ263" s="3724" t="s">
        <v>1768</v>
      </c>
      <c r="AR263" s="3648"/>
      <c r="AS263" s="3648"/>
      <c r="AT263" s="3648"/>
      <c r="AU263" s="3648"/>
      <c r="AV263" s="3649"/>
      <c r="AW263" s="3742" t="s">
        <v>1702</v>
      </c>
      <c r="AX263" s="3634"/>
      <c r="AY263" s="3634"/>
      <c r="AZ263" s="3634"/>
      <c r="BA263" s="3634"/>
      <c r="BB263" s="3634"/>
      <c r="BC263" s="3742" t="s">
        <v>1702</v>
      </c>
      <c r="BD263" s="3634"/>
      <c r="BE263" s="3634"/>
      <c r="BF263" s="3634"/>
      <c r="BG263" s="3634"/>
      <c r="BH263" s="3634"/>
      <c r="BI263" s="3724" t="s">
        <v>1655</v>
      </c>
      <c r="BJ263" s="3725"/>
      <c r="BK263" s="3725"/>
      <c r="BL263" s="3725"/>
      <c r="BM263" s="3725"/>
      <c r="BN263" s="3726"/>
      <c r="BO263" s="3724" t="s">
        <v>1655</v>
      </c>
      <c r="BP263" s="3725"/>
      <c r="BQ263" s="3725"/>
      <c r="BR263" s="3725"/>
      <c r="BS263" s="3725"/>
      <c r="BT263" s="3726"/>
    </row>
    <row r="264" spans="1:72" ht="18.75">
      <c r="A264" s="3657" t="s">
        <v>655</v>
      </c>
      <c r="B264" s="3641"/>
      <c r="C264" s="3642"/>
      <c r="D264" s="3640" t="s">
        <v>656</v>
      </c>
      <c r="E264" s="3643"/>
      <c r="F264" s="3644"/>
      <c r="G264" s="3640" t="s">
        <v>656</v>
      </c>
      <c r="H264" s="3641"/>
      <c r="I264" s="3642"/>
      <c r="J264" s="3640" t="s">
        <v>656</v>
      </c>
      <c r="K264" s="3643"/>
      <c r="L264" s="3643"/>
      <c r="M264" s="3643"/>
      <c r="N264" s="3644"/>
      <c r="O264" s="3640" t="s">
        <v>658</v>
      </c>
      <c r="P264" s="3643"/>
      <c r="Q264" s="3644"/>
      <c r="R264" s="3640" t="s">
        <v>734</v>
      </c>
      <c r="S264" s="3641"/>
      <c r="T264" s="3642"/>
      <c r="U264" s="3640" t="s">
        <v>732</v>
      </c>
      <c r="V264" s="3643"/>
      <c r="W264" s="3643"/>
      <c r="X264" s="3643"/>
      <c r="Y264" s="3644"/>
      <c r="Z264" s="3640" t="s">
        <v>657</v>
      </c>
      <c r="AA264" s="3643"/>
      <c r="AB264" s="3644"/>
      <c r="AC264" s="3640" t="s">
        <v>657</v>
      </c>
      <c r="AD264" s="3641"/>
      <c r="AE264" s="3642"/>
      <c r="AF264" s="3640" t="s">
        <v>657</v>
      </c>
      <c r="AG264" s="3643"/>
      <c r="AH264" s="3643"/>
      <c r="AI264" s="3643"/>
      <c r="AJ264" s="3644"/>
      <c r="AL264" s="3737" t="s">
        <v>1729</v>
      </c>
      <c r="AM264" s="3648"/>
      <c r="AN264" s="3648"/>
      <c r="AO264" s="3648"/>
      <c r="AP264" s="3649"/>
      <c r="AQ264" s="3742" t="s">
        <v>1702</v>
      </c>
      <c r="AR264" s="3634"/>
      <c r="AS264" s="3634"/>
      <c r="AT264" s="3634"/>
      <c r="AU264" s="3634"/>
      <c r="AV264" s="3634"/>
      <c r="AW264" s="3724" t="s">
        <v>1702</v>
      </c>
      <c r="AX264" s="3648"/>
      <c r="AY264" s="3648"/>
      <c r="AZ264" s="3648"/>
      <c r="BA264" s="3648"/>
      <c r="BB264" s="3649"/>
      <c r="BC264" s="3742" t="s">
        <v>1702</v>
      </c>
      <c r="BD264" s="3634"/>
      <c r="BE264" s="3634"/>
      <c r="BF264" s="3634"/>
      <c r="BG264" s="3634"/>
      <c r="BH264" s="3634"/>
      <c r="BI264" s="3724" t="s">
        <v>1655</v>
      </c>
      <c r="BJ264" s="3725"/>
      <c r="BK264" s="3725"/>
      <c r="BL264" s="3725"/>
      <c r="BM264" s="3725"/>
      <c r="BN264" s="3726"/>
      <c r="BO264" s="3724" t="s">
        <v>1655</v>
      </c>
      <c r="BP264" s="3725"/>
      <c r="BQ264" s="3725"/>
      <c r="BR264" s="3725"/>
      <c r="BS264" s="3725"/>
      <c r="BT264" s="3726"/>
    </row>
    <row r="265" spans="1:72" ht="18.75">
      <c r="A265" s="3640" t="s">
        <v>660</v>
      </c>
      <c r="B265" s="3641"/>
      <c r="C265" s="3642"/>
      <c r="D265" s="3640" t="s">
        <v>661</v>
      </c>
      <c r="E265" s="3643"/>
      <c r="F265" s="3644"/>
      <c r="G265" s="3640" t="s">
        <v>661</v>
      </c>
      <c r="H265" s="3641"/>
      <c r="I265" s="3642"/>
      <c r="J265" s="3640" t="s">
        <v>661</v>
      </c>
      <c r="K265" s="3643"/>
      <c r="L265" s="3643"/>
      <c r="M265" s="3643"/>
      <c r="N265" s="3644"/>
      <c r="O265" s="3640" t="s">
        <v>667</v>
      </c>
      <c r="P265" s="3643"/>
      <c r="Q265" s="3644"/>
      <c r="R265" s="3640" t="s">
        <v>667</v>
      </c>
      <c r="S265" s="3641"/>
      <c r="T265" s="3642"/>
      <c r="U265" s="3640" t="s">
        <v>667</v>
      </c>
      <c r="V265" s="3643"/>
      <c r="W265" s="3643"/>
      <c r="X265" s="3643"/>
      <c r="Y265" s="3644"/>
      <c r="Z265" s="3640" t="s">
        <v>662</v>
      </c>
      <c r="AA265" s="3643"/>
      <c r="AB265" s="3644"/>
      <c r="AC265" s="3640" t="s">
        <v>662</v>
      </c>
      <c r="AD265" s="3641"/>
      <c r="AE265" s="3642"/>
      <c r="AF265" s="3640" t="s">
        <v>662</v>
      </c>
      <c r="AG265" s="3643"/>
      <c r="AH265" s="3643"/>
      <c r="AI265" s="3643"/>
      <c r="AJ265" s="3644"/>
      <c r="AL265" s="3647" t="s">
        <v>1731</v>
      </c>
      <c r="AM265" s="3648"/>
      <c r="AN265" s="3648"/>
      <c r="AO265" s="3648"/>
      <c r="AP265" s="3649"/>
      <c r="AQ265" s="3724" t="s">
        <v>1655</v>
      </c>
      <c r="AR265" s="3648"/>
      <c r="AS265" s="3648"/>
      <c r="AT265" s="3648"/>
      <c r="AU265" s="3648"/>
      <c r="AV265" s="3649"/>
      <c r="AW265" s="3742" t="s">
        <v>1702</v>
      </c>
      <c r="AX265" s="3634"/>
      <c r="AY265" s="3634"/>
      <c r="AZ265" s="3634"/>
      <c r="BA265" s="3634"/>
      <c r="BB265" s="3634"/>
      <c r="BC265" s="3742" t="s">
        <v>1708</v>
      </c>
      <c r="BD265" s="3634"/>
      <c r="BE265" s="3634"/>
      <c r="BF265" s="3634"/>
      <c r="BG265" s="3634"/>
      <c r="BH265" s="3634"/>
      <c r="BI265" s="3742" t="s">
        <v>1655</v>
      </c>
      <c r="BJ265" s="3634"/>
      <c r="BK265" s="3634"/>
      <c r="BL265" s="3634"/>
      <c r="BM265" s="3634"/>
      <c r="BN265" s="3634"/>
      <c r="BO265" s="3724" t="s">
        <v>1655</v>
      </c>
      <c r="BP265" s="3725"/>
      <c r="BQ265" s="3725"/>
      <c r="BR265" s="3725"/>
      <c r="BS265" s="3725"/>
      <c r="BT265" s="3726"/>
    </row>
    <row r="266" spans="1:72" ht="18.75">
      <c r="A266" s="3640" t="s">
        <v>665</v>
      </c>
      <c r="B266" s="3641"/>
      <c r="C266" s="3642"/>
      <c r="D266" s="3640" t="s">
        <v>652</v>
      </c>
      <c r="E266" s="3643"/>
      <c r="F266" s="3644"/>
      <c r="G266" s="3640" t="s">
        <v>663</v>
      </c>
      <c r="H266" s="3641"/>
      <c r="I266" s="3642"/>
      <c r="J266" s="3640" t="s">
        <v>762</v>
      </c>
      <c r="K266" s="3643"/>
      <c r="L266" s="3643"/>
      <c r="M266" s="3643"/>
      <c r="N266" s="3644"/>
      <c r="O266" s="3640" t="s">
        <v>667</v>
      </c>
      <c r="P266" s="3643"/>
      <c r="Q266" s="3644"/>
      <c r="R266" s="3640" t="s">
        <v>667</v>
      </c>
      <c r="S266" s="3641"/>
      <c r="T266" s="3642"/>
      <c r="U266" s="3640" t="s">
        <v>667</v>
      </c>
      <c r="V266" s="3643"/>
      <c r="W266" s="3643"/>
      <c r="X266" s="3643"/>
      <c r="Y266" s="3644"/>
      <c r="Z266" s="3640" t="s">
        <v>662</v>
      </c>
      <c r="AA266" s="3643"/>
      <c r="AB266" s="3644"/>
      <c r="AC266" s="3640" t="s">
        <v>662</v>
      </c>
      <c r="AD266" s="3641"/>
      <c r="AE266" s="3642"/>
      <c r="AF266" s="3640" t="s">
        <v>662</v>
      </c>
      <c r="AG266" s="3643"/>
      <c r="AH266" s="3643"/>
      <c r="AI266" s="3643"/>
      <c r="AJ266" s="3644"/>
      <c r="AL266" s="3647" t="s">
        <v>1732</v>
      </c>
      <c r="AM266" s="3648"/>
      <c r="AN266" s="3648"/>
      <c r="AO266" s="3648"/>
      <c r="AP266" s="3649"/>
      <c r="AQ266" s="3742" t="s">
        <v>1703</v>
      </c>
      <c r="AR266" s="3634"/>
      <c r="AS266" s="3634"/>
      <c r="AT266" s="3634"/>
      <c r="AU266" s="3634"/>
      <c r="AV266" s="3634"/>
      <c r="AW266" s="3742" t="s">
        <v>1702</v>
      </c>
      <c r="AX266" s="3634"/>
      <c r="AY266" s="3634"/>
      <c r="AZ266" s="3634"/>
      <c r="BA266" s="3634"/>
      <c r="BB266" s="3634"/>
      <c r="BC266" s="3742" t="s">
        <v>1708</v>
      </c>
      <c r="BD266" s="3634"/>
      <c r="BE266" s="3634"/>
      <c r="BF266" s="3634"/>
      <c r="BG266" s="3634"/>
      <c r="BH266" s="3634"/>
      <c r="BI266" s="3742" t="s">
        <v>1655</v>
      </c>
      <c r="BJ266" s="3634"/>
      <c r="BK266" s="3634"/>
      <c r="BL266" s="3634"/>
      <c r="BM266" s="3634"/>
      <c r="BN266" s="3634"/>
      <c r="BO266" s="3724" t="s">
        <v>1655</v>
      </c>
      <c r="BP266" s="3725"/>
      <c r="BQ266" s="3725"/>
      <c r="BR266" s="3725"/>
      <c r="BS266" s="3725"/>
      <c r="BT266" s="3726"/>
    </row>
    <row r="267" spans="1:72" ht="18.75">
      <c r="A267" s="3640" t="s">
        <v>668</v>
      </c>
      <c r="B267" s="3641"/>
      <c r="C267" s="3642"/>
      <c r="D267" s="3640" t="s">
        <v>662</v>
      </c>
      <c r="E267" s="3643"/>
      <c r="F267" s="3644"/>
      <c r="G267" s="3640" t="s">
        <v>652</v>
      </c>
      <c r="H267" s="3641"/>
      <c r="I267" s="3642"/>
      <c r="J267" s="3640" t="s">
        <v>666</v>
      </c>
      <c r="K267" s="3643"/>
      <c r="L267" s="3643"/>
      <c r="M267" s="3643"/>
      <c r="N267" s="3644"/>
      <c r="O267" s="3640" t="s">
        <v>661</v>
      </c>
      <c r="P267" s="3643"/>
      <c r="Q267" s="3644"/>
      <c r="R267" s="3640" t="s">
        <v>661</v>
      </c>
      <c r="S267" s="3641"/>
      <c r="T267" s="3642"/>
      <c r="U267" s="3640" t="s">
        <v>661</v>
      </c>
      <c r="V267" s="3643"/>
      <c r="W267" s="3643"/>
      <c r="X267" s="3643"/>
      <c r="Y267" s="3644"/>
      <c r="Z267" s="3640" t="s">
        <v>661</v>
      </c>
      <c r="AA267" s="3643"/>
      <c r="AB267" s="3644"/>
      <c r="AC267" s="3640" t="s">
        <v>661</v>
      </c>
      <c r="AD267" s="3641"/>
      <c r="AE267" s="3642"/>
      <c r="AF267" s="3640" t="s">
        <v>661</v>
      </c>
      <c r="AG267" s="3643"/>
      <c r="AH267" s="3643"/>
      <c r="AI267" s="3643"/>
      <c r="AJ267" s="3644"/>
      <c r="AL267" s="3647" t="s">
        <v>1733</v>
      </c>
      <c r="AM267" s="3648"/>
      <c r="AN267" s="3648"/>
      <c r="AO267" s="3648"/>
      <c r="AP267" s="3649"/>
      <c r="AQ267" s="3724" t="s">
        <v>1702</v>
      </c>
      <c r="AR267" s="3648"/>
      <c r="AS267" s="3648"/>
      <c r="AT267" s="3648"/>
      <c r="AU267" s="3648"/>
      <c r="AV267" s="3649"/>
      <c r="AW267" s="3742" t="s">
        <v>1655</v>
      </c>
      <c r="AX267" s="3634"/>
      <c r="AY267" s="3634"/>
      <c r="AZ267" s="3634"/>
      <c r="BA267" s="3634"/>
      <c r="BB267" s="3634"/>
      <c r="BC267" s="3742" t="s">
        <v>1655</v>
      </c>
      <c r="BD267" s="3634"/>
      <c r="BE267" s="3634"/>
      <c r="BF267" s="3634"/>
      <c r="BG267" s="3634"/>
      <c r="BH267" s="3634"/>
      <c r="BI267" s="3742" t="s">
        <v>1655</v>
      </c>
      <c r="BJ267" s="3634"/>
      <c r="BK267" s="3634"/>
      <c r="BL267" s="3634"/>
      <c r="BM267" s="3634"/>
      <c r="BN267" s="3634"/>
      <c r="BO267" s="3724" t="s">
        <v>1655</v>
      </c>
      <c r="BP267" s="3725"/>
      <c r="BQ267" s="3725"/>
      <c r="BR267" s="3725"/>
      <c r="BS267" s="3725"/>
      <c r="BT267" s="3726"/>
    </row>
    <row r="268" spans="1:72" ht="15.75">
      <c r="A268" s="3720" t="s">
        <v>639</v>
      </c>
      <c r="B268" s="3651"/>
      <c r="C268" s="3652"/>
      <c r="D268" s="3647" t="s">
        <v>737</v>
      </c>
      <c r="E268" s="3648"/>
      <c r="F268" s="3648"/>
      <c r="G268" s="3648"/>
      <c r="H268" s="3648"/>
      <c r="I268" s="3648"/>
      <c r="J268" s="3648"/>
      <c r="K268" s="3648"/>
      <c r="L268" s="3648"/>
      <c r="M268" s="3648"/>
      <c r="N268" s="3648"/>
      <c r="O268" s="3648"/>
      <c r="P268" s="3648"/>
      <c r="Q268" s="3648"/>
      <c r="R268" s="3648"/>
      <c r="S268" s="3649"/>
      <c r="T268" s="3647" t="s">
        <v>738</v>
      </c>
      <c r="U268" s="3648"/>
      <c r="V268" s="3648"/>
      <c r="W268" s="3648"/>
      <c r="X268" s="3648"/>
      <c r="Y268" s="3648"/>
      <c r="Z268" s="3648"/>
      <c r="AA268" s="3648"/>
      <c r="AB268" s="3648"/>
      <c r="AC268" s="3648"/>
      <c r="AD268" s="3648"/>
      <c r="AE268" s="3648"/>
      <c r="AF268" s="3648"/>
      <c r="AG268" s="3648"/>
      <c r="AH268" s="3648"/>
      <c r="AI268" s="3648"/>
      <c r="AJ268" s="3649"/>
      <c r="AL268" s="3730" t="s">
        <v>1678</v>
      </c>
      <c r="AM268" s="3648"/>
      <c r="AN268" s="3648"/>
      <c r="AO268" s="3648"/>
      <c r="AP268" s="3648"/>
      <c r="AQ268" s="3648"/>
      <c r="AR268" s="3648"/>
      <c r="AS268" s="3648"/>
      <c r="AT268" s="3648"/>
      <c r="AU268" s="3648"/>
      <c r="AV268" s="3648"/>
      <c r="AW268" s="3648"/>
      <c r="AX268" s="3648"/>
      <c r="AY268" s="3648"/>
      <c r="AZ268" s="3648"/>
      <c r="BA268" s="3648"/>
      <c r="BB268" s="3648"/>
      <c r="BC268" s="3648"/>
      <c r="BD268" s="3648"/>
      <c r="BE268" s="3648"/>
      <c r="BF268" s="3648"/>
      <c r="BG268" s="3648"/>
      <c r="BH268" s="3648"/>
      <c r="BI268" s="3648"/>
      <c r="BJ268" s="3648"/>
      <c r="BK268" s="3648"/>
      <c r="BL268" s="3648"/>
      <c r="BM268" s="3648"/>
      <c r="BN268" s="3648"/>
      <c r="BO268" s="3648"/>
      <c r="BP268" s="3648"/>
      <c r="BQ268" s="3648"/>
      <c r="BR268" s="3648"/>
      <c r="BS268" s="3648"/>
      <c r="BT268" s="3649"/>
    </row>
    <row r="269" spans="1:72" ht="15.75">
      <c r="A269" s="3653"/>
      <c r="B269" s="3654"/>
      <c r="C269" s="3655"/>
      <c r="D269" s="3647">
        <v>1</v>
      </c>
      <c r="E269" s="3648"/>
      <c r="F269" s="3648"/>
      <c r="G269" s="3648"/>
      <c r="H269" s="3649"/>
      <c r="I269" s="3647">
        <v>2</v>
      </c>
      <c r="J269" s="3648"/>
      <c r="K269" s="3648"/>
      <c r="L269" s="3648"/>
      <c r="M269" s="3648"/>
      <c r="N269" s="3649"/>
      <c r="O269" s="3721" t="s">
        <v>643</v>
      </c>
      <c r="P269" s="3648"/>
      <c r="Q269" s="3648"/>
      <c r="R269" s="3648"/>
      <c r="S269" s="3649"/>
      <c r="T269" s="3647">
        <v>1</v>
      </c>
      <c r="U269" s="3648"/>
      <c r="V269" s="3648"/>
      <c r="W269" s="3648"/>
      <c r="X269" s="3648"/>
      <c r="Y269" s="3649"/>
      <c r="Z269" s="3647">
        <v>2</v>
      </c>
      <c r="AA269" s="3648"/>
      <c r="AB269" s="3648"/>
      <c r="AC269" s="3648"/>
      <c r="AD269" s="3649"/>
      <c r="AE269" s="3721" t="s">
        <v>643</v>
      </c>
      <c r="AF269" s="3722"/>
      <c r="AG269" s="3722"/>
      <c r="AH269" s="3722"/>
      <c r="AI269" s="3722"/>
      <c r="AJ269" s="3723"/>
      <c r="AL269" s="1749" t="s">
        <v>1664</v>
      </c>
      <c r="AM269" s="1749"/>
      <c r="AN269" s="3634" t="s">
        <v>1679</v>
      </c>
      <c r="AO269" s="3634"/>
      <c r="AP269" s="3634"/>
      <c r="AQ269" s="3634"/>
      <c r="AR269" s="3634"/>
      <c r="AS269" s="3634"/>
      <c r="AT269" s="3634"/>
      <c r="AU269" s="3634"/>
      <c r="AV269" s="3634"/>
      <c r="AW269" s="3634"/>
      <c r="AX269" s="3634"/>
      <c r="AY269" s="3634" t="s">
        <v>1680</v>
      </c>
      <c r="AZ269" s="3634"/>
      <c r="BA269" s="3634"/>
      <c r="BB269" s="3634"/>
      <c r="BC269" s="3634"/>
      <c r="BD269" s="3634"/>
      <c r="BE269" s="3634"/>
      <c r="BF269" s="3634"/>
      <c r="BG269" s="3634"/>
      <c r="BH269" s="3634"/>
      <c r="BI269" s="3634"/>
      <c r="BJ269" s="3647" t="s">
        <v>1681</v>
      </c>
      <c r="BK269" s="3648"/>
      <c r="BL269" s="3648"/>
      <c r="BM269" s="3648"/>
      <c r="BN269" s="3648"/>
      <c r="BO269" s="3648"/>
      <c r="BP269" s="3648"/>
      <c r="BQ269" s="3648"/>
      <c r="BR269" s="3648"/>
      <c r="BS269" s="3648"/>
      <c r="BT269" s="3649"/>
    </row>
    <row r="270" spans="1:72" ht="16.5">
      <c r="A270" s="3657" t="s">
        <v>739</v>
      </c>
      <c r="B270" s="3641"/>
      <c r="C270" s="3642"/>
      <c r="D270" s="3647" t="s">
        <v>661</v>
      </c>
      <c r="E270" s="3648"/>
      <c r="F270" s="3648"/>
      <c r="G270" s="3648"/>
      <c r="H270" s="3649"/>
      <c r="I270" s="3647" t="s">
        <v>661</v>
      </c>
      <c r="J270" s="3648"/>
      <c r="K270" s="3648"/>
      <c r="L270" s="3648"/>
      <c r="M270" s="3648"/>
      <c r="N270" s="3649"/>
      <c r="O270" s="3647" t="s">
        <v>661</v>
      </c>
      <c r="P270" s="3648"/>
      <c r="Q270" s="3648"/>
      <c r="R270" s="3648"/>
      <c r="S270" s="3649"/>
      <c r="T270" s="3647" t="s">
        <v>661</v>
      </c>
      <c r="U270" s="3648"/>
      <c r="V270" s="3648"/>
      <c r="W270" s="3648"/>
      <c r="X270" s="3648"/>
      <c r="Y270" s="3649"/>
      <c r="Z270" s="3647" t="s">
        <v>661</v>
      </c>
      <c r="AA270" s="3648"/>
      <c r="AB270" s="3648"/>
      <c r="AC270" s="3648"/>
      <c r="AD270" s="3649"/>
      <c r="AE270" s="3647" t="s">
        <v>661</v>
      </c>
      <c r="AF270" s="3648"/>
      <c r="AG270" s="3648"/>
      <c r="AH270" s="3648"/>
      <c r="AI270" s="3648"/>
      <c r="AJ270" s="3649"/>
      <c r="AL270" s="1749"/>
      <c r="AM270" s="1749"/>
      <c r="AN270" s="3478" t="s">
        <v>1704</v>
      </c>
      <c r="AO270" s="3478"/>
      <c r="AP270" s="3478"/>
      <c r="AQ270" s="3478" t="s">
        <v>1769</v>
      </c>
      <c r="AR270" s="3478"/>
      <c r="AS270" s="3478"/>
      <c r="AT270" s="3478"/>
      <c r="AU270" s="3478" t="s">
        <v>1706</v>
      </c>
      <c r="AV270" s="3478"/>
      <c r="AW270" s="3478"/>
      <c r="AX270" s="3478"/>
      <c r="AY270" s="3478" t="s">
        <v>1704</v>
      </c>
      <c r="AZ270" s="3478"/>
      <c r="BA270" s="3478"/>
      <c r="BB270" s="3478" t="s">
        <v>1705</v>
      </c>
      <c r="BC270" s="3478"/>
      <c r="BD270" s="3478"/>
      <c r="BE270" s="3478"/>
      <c r="BF270" s="3478" t="s">
        <v>1707</v>
      </c>
      <c r="BG270" s="3478"/>
      <c r="BH270" s="3478"/>
      <c r="BI270" s="3478"/>
      <c r="BJ270" s="3478" t="s">
        <v>1704</v>
      </c>
      <c r="BK270" s="3478"/>
      <c r="BL270" s="3478"/>
      <c r="BM270" s="3478" t="s">
        <v>1705</v>
      </c>
      <c r="BN270" s="3478"/>
      <c r="BO270" s="3478"/>
      <c r="BP270" s="3478"/>
      <c r="BQ270" s="3463" t="s">
        <v>1707</v>
      </c>
      <c r="BR270" s="3501"/>
      <c r="BS270" s="3501"/>
      <c r="BT270" s="3500"/>
    </row>
    <row r="271" spans="1:72" ht="18.75">
      <c r="A271" s="3710" t="s">
        <v>711</v>
      </c>
      <c r="B271" s="3711"/>
      <c r="C271" s="3711"/>
      <c r="D271" s="3711"/>
      <c r="E271" s="3711"/>
      <c r="F271" s="3711"/>
      <c r="G271" s="3711"/>
      <c r="H271" s="3711"/>
      <c r="I271" s="3711"/>
      <c r="J271" s="3711"/>
      <c r="K271" s="3711"/>
      <c r="L271" s="3711"/>
      <c r="M271" s="3711"/>
      <c r="N271" s="3711"/>
      <c r="O271" s="3711"/>
      <c r="P271" s="3711"/>
      <c r="Q271" s="3711"/>
      <c r="R271" s="3711"/>
      <c r="S271" s="3711"/>
      <c r="T271" s="3711"/>
      <c r="U271" s="3711"/>
      <c r="V271" s="3711"/>
      <c r="W271" s="3711"/>
      <c r="X271" s="3711"/>
      <c r="Y271" s="3711"/>
      <c r="Z271" s="3711"/>
      <c r="AA271" s="3711"/>
      <c r="AB271" s="3711"/>
      <c r="AC271" s="3711"/>
      <c r="AD271" s="3711"/>
      <c r="AE271" s="3711"/>
      <c r="AF271" s="3711"/>
      <c r="AG271" s="3711"/>
      <c r="AH271" s="3711"/>
      <c r="AI271" s="3711"/>
      <c r="AJ271" s="3712"/>
      <c r="AL271" s="3748" t="s">
        <v>1668</v>
      </c>
      <c r="AM271" s="3634"/>
      <c r="AN271" s="3742" t="s">
        <v>1702</v>
      </c>
      <c r="AO271" s="3634"/>
      <c r="AP271" s="3634"/>
      <c r="AQ271" s="3742" t="s">
        <v>1702</v>
      </c>
      <c r="AR271" s="3634"/>
      <c r="AS271" s="3634"/>
      <c r="AT271" s="3634"/>
      <c r="AU271" s="3742" t="s">
        <v>1655</v>
      </c>
      <c r="AV271" s="3634"/>
      <c r="AW271" s="3634"/>
      <c r="AX271" s="3634"/>
      <c r="AY271" s="3742" t="s">
        <v>1702</v>
      </c>
      <c r="AZ271" s="3634"/>
      <c r="BA271" s="3634"/>
      <c r="BB271" s="3742" t="s">
        <v>1702</v>
      </c>
      <c r="BC271" s="3634"/>
      <c r="BD271" s="3634"/>
      <c r="BE271" s="3634"/>
      <c r="BF271" s="3742" t="s">
        <v>1655</v>
      </c>
      <c r="BG271" s="3634"/>
      <c r="BH271" s="3634"/>
      <c r="BI271" s="3634"/>
      <c r="BJ271" s="3742" t="s">
        <v>1702</v>
      </c>
      <c r="BK271" s="3634"/>
      <c r="BL271" s="3634"/>
      <c r="BM271" s="3742" t="s">
        <v>1768</v>
      </c>
      <c r="BN271" s="3634"/>
      <c r="BO271" s="3634"/>
      <c r="BP271" s="3634"/>
      <c r="BQ271" s="3724" t="s">
        <v>1655</v>
      </c>
      <c r="BR271" s="3725"/>
      <c r="BS271" s="3725"/>
      <c r="BT271" s="3726"/>
    </row>
    <row r="272" spans="1:72" ht="18.75">
      <c r="A272" s="3720" t="s">
        <v>639</v>
      </c>
      <c r="B272" s="3651"/>
      <c r="C272" s="3652"/>
      <c r="D272" s="3640" t="s">
        <v>670</v>
      </c>
      <c r="E272" s="3641"/>
      <c r="F272" s="3641"/>
      <c r="G272" s="3641"/>
      <c r="H272" s="3641"/>
      <c r="I272" s="3641"/>
      <c r="J272" s="3641"/>
      <c r="K272" s="3641"/>
      <c r="L272" s="3641"/>
      <c r="M272" s="3641"/>
      <c r="N272" s="3642"/>
      <c r="O272" s="3640" t="s">
        <v>671</v>
      </c>
      <c r="P272" s="3641"/>
      <c r="Q272" s="3641"/>
      <c r="R272" s="3641"/>
      <c r="S272" s="3641"/>
      <c r="T272" s="3641"/>
      <c r="U272" s="3641"/>
      <c r="V272" s="3641"/>
      <c r="W272" s="3641"/>
      <c r="X272" s="3641"/>
      <c r="Y272" s="3642"/>
      <c r="Z272" s="3640" t="s">
        <v>672</v>
      </c>
      <c r="AA272" s="3641"/>
      <c r="AB272" s="3641"/>
      <c r="AC272" s="3641"/>
      <c r="AD272" s="3641"/>
      <c r="AE272" s="3641"/>
      <c r="AF272" s="3641"/>
      <c r="AG272" s="3641"/>
      <c r="AH272" s="3641"/>
      <c r="AI272" s="3641"/>
      <c r="AJ272" s="3642"/>
      <c r="AL272" s="3748" t="s">
        <v>1729</v>
      </c>
      <c r="AM272" s="3634"/>
      <c r="AN272" s="3742" t="s">
        <v>1702</v>
      </c>
      <c r="AO272" s="3634"/>
      <c r="AP272" s="3634"/>
      <c r="AQ272" s="3742" t="s">
        <v>1702</v>
      </c>
      <c r="AR272" s="3634"/>
      <c r="AS272" s="3634"/>
      <c r="AT272" s="3634"/>
      <c r="AU272" s="3742" t="s">
        <v>1655</v>
      </c>
      <c r="AV272" s="3634"/>
      <c r="AW272" s="3634"/>
      <c r="AX272" s="3634"/>
      <c r="AY272" s="3742" t="s">
        <v>1702</v>
      </c>
      <c r="AZ272" s="3634"/>
      <c r="BA272" s="3634"/>
      <c r="BB272" s="3742" t="s">
        <v>1702</v>
      </c>
      <c r="BC272" s="3634"/>
      <c r="BD272" s="3634"/>
      <c r="BE272" s="3634"/>
      <c r="BF272" s="3742" t="s">
        <v>1655</v>
      </c>
      <c r="BG272" s="3634"/>
      <c r="BH272" s="3634"/>
      <c r="BI272" s="3634"/>
      <c r="BJ272" s="3742" t="s">
        <v>1702</v>
      </c>
      <c r="BK272" s="3634"/>
      <c r="BL272" s="3634"/>
      <c r="BM272" s="3742" t="s">
        <v>1702</v>
      </c>
      <c r="BN272" s="3634"/>
      <c r="BO272" s="3634"/>
      <c r="BP272" s="3634"/>
      <c r="BQ272" s="3724" t="s">
        <v>1655</v>
      </c>
      <c r="BR272" s="3725"/>
      <c r="BS272" s="3725"/>
      <c r="BT272" s="3726"/>
    </row>
    <row r="273" spans="1:72" ht="18.75">
      <c r="A273" s="3653"/>
      <c r="B273" s="3654"/>
      <c r="C273" s="3655"/>
      <c r="D273" s="3646">
        <v>1</v>
      </c>
      <c r="E273" s="3643"/>
      <c r="F273" s="3644"/>
      <c r="G273" s="3640">
        <v>2</v>
      </c>
      <c r="H273" s="3641"/>
      <c r="I273" s="3642"/>
      <c r="J273" s="3710" t="s">
        <v>643</v>
      </c>
      <c r="K273" s="3641"/>
      <c r="L273" s="3641"/>
      <c r="M273" s="3641"/>
      <c r="N273" s="3642"/>
      <c r="O273" s="3646">
        <v>1</v>
      </c>
      <c r="P273" s="3643"/>
      <c r="Q273" s="3644"/>
      <c r="R273" s="3640">
        <v>2</v>
      </c>
      <c r="S273" s="3641"/>
      <c r="T273" s="3642"/>
      <c r="U273" s="3710" t="s">
        <v>643</v>
      </c>
      <c r="V273" s="3641"/>
      <c r="W273" s="3641"/>
      <c r="X273" s="3641"/>
      <c r="Y273" s="3642"/>
      <c r="Z273" s="3646">
        <v>1</v>
      </c>
      <c r="AA273" s="3643"/>
      <c r="AB273" s="3644"/>
      <c r="AC273" s="3640">
        <v>2</v>
      </c>
      <c r="AD273" s="3641"/>
      <c r="AE273" s="3642"/>
      <c r="AF273" s="3710" t="s">
        <v>643</v>
      </c>
      <c r="AG273" s="3641"/>
      <c r="AH273" s="3641"/>
      <c r="AI273" s="3641"/>
      <c r="AJ273" s="3642"/>
      <c r="AL273" s="3634" t="s">
        <v>1731</v>
      </c>
      <c r="AM273" s="3634"/>
      <c r="AN273" s="3742" t="s">
        <v>1655</v>
      </c>
      <c r="AO273" s="3634"/>
      <c r="AP273" s="3634"/>
      <c r="AQ273" s="3742" t="s">
        <v>1703</v>
      </c>
      <c r="AR273" s="3634"/>
      <c r="AS273" s="3634"/>
      <c r="AT273" s="3634"/>
      <c r="AU273" s="3742" t="s">
        <v>1655</v>
      </c>
      <c r="AV273" s="3634"/>
      <c r="AW273" s="3634"/>
      <c r="AX273" s="3634"/>
      <c r="AY273" s="3742" t="s">
        <v>1655</v>
      </c>
      <c r="AZ273" s="3634"/>
      <c r="BA273" s="3634"/>
      <c r="BB273" s="3742" t="s">
        <v>1702</v>
      </c>
      <c r="BC273" s="3634"/>
      <c r="BD273" s="3634"/>
      <c r="BE273" s="3634"/>
      <c r="BF273" s="3742" t="s">
        <v>1655</v>
      </c>
      <c r="BG273" s="3634"/>
      <c r="BH273" s="3634"/>
      <c r="BI273" s="3634"/>
      <c r="BJ273" s="3742" t="s">
        <v>1655</v>
      </c>
      <c r="BK273" s="3634"/>
      <c r="BL273" s="3634"/>
      <c r="BM273" s="3742" t="s">
        <v>1702</v>
      </c>
      <c r="BN273" s="3634"/>
      <c r="BO273" s="3634"/>
      <c r="BP273" s="3634"/>
      <c r="BQ273" s="3724" t="s">
        <v>1655</v>
      </c>
      <c r="BR273" s="3725"/>
      <c r="BS273" s="3725"/>
      <c r="BT273" s="3726"/>
    </row>
    <row r="274" spans="1:72" ht="18.75">
      <c r="A274" s="3640" t="s">
        <v>740</v>
      </c>
      <c r="B274" s="3641"/>
      <c r="C274" s="3641"/>
      <c r="D274" s="3641"/>
      <c r="E274" s="3641"/>
      <c r="F274" s="3641"/>
      <c r="G274" s="3641"/>
      <c r="H274" s="3641"/>
      <c r="I274" s="3641"/>
      <c r="J274" s="3641"/>
      <c r="K274" s="3641"/>
      <c r="L274" s="3641"/>
      <c r="M274" s="3641"/>
      <c r="N274" s="3641"/>
      <c r="O274" s="3641"/>
      <c r="P274" s="3641"/>
      <c r="Q274" s="3641"/>
      <c r="R274" s="3641"/>
      <c r="S274" s="3641"/>
      <c r="T274" s="3641"/>
      <c r="U274" s="3641"/>
      <c r="V274" s="3641"/>
      <c r="W274" s="3641"/>
      <c r="X274" s="3641"/>
      <c r="Y274" s="3641"/>
      <c r="Z274" s="3641"/>
      <c r="AA274" s="3641"/>
      <c r="AB274" s="3641"/>
      <c r="AC274" s="3641"/>
      <c r="AD274" s="3641"/>
      <c r="AE274" s="3641"/>
      <c r="AF274" s="3641"/>
      <c r="AG274" s="3641"/>
      <c r="AH274" s="3641"/>
      <c r="AI274" s="3641"/>
      <c r="AJ274" s="3642"/>
      <c r="AL274" s="3634" t="s">
        <v>1732</v>
      </c>
      <c r="AM274" s="3634"/>
      <c r="AN274" s="3742" t="s">
        <v>1702</v>
      </c>
      <c r="AO274" s="3634"/>
      <c r="AP274" s="3634"/>
      <c r="AQ274" s="3742" t="s">
        <v>1655</v>
      </c>
      <c r="AR274" s="3634"/>
      <c r="AS274" s="3634"/>
      <c r="AT274" s="3634"/>
      <c r="AU274" s="3742" t="s">
        <v>1655</v>
      </c>
      <c r="AV274" s="3634"/>
      <c r="AW274" s="3634"/>
      <c r="AX274" s="3634"/>
      <c r="AY274" s="3742" t="s">
        <v>1702</v>
      </c>
      <c r="AZ274" s="3634"/>
      <c r="BA274" s="3634"/>
      <c r="BB274" s="3742" t="s">
        <v>1655</v>
      </c>
      <c r="BC274" s="3634"/>
      <c r="BD274" s="3634"/>
      <c r="BE274" s="3634"/>
      <c r="BF274" s="3742" t="s">
        <v>1655</v>
      </c>
      <c r="BG274" s="3634"/>
      <c r="BH274" s="3634"/>
      <c r="BI274" s="3634"/>
      <c r="BJ274" s="3742" t="s">
        <v>1702</v>
      </c>
      <c r="BK274" s="3634"/>
      <c r="BL274" s="3634"/>
      <c r="BM274" s="3742" t="s">
        <v>1655</v>
      </c>
      <c r="BN274" s="3634"/>
      <c r="BO274" s="3634"/>
      <c r="BP274" s="3634"/>
      <c r="BQ274" s="3724" t="s">
        <v>1655</v>
      </c>
      <c r="BR274" s="3725"/>
      <c r="BS274" s="3725"/>
      <c r="BT274" s="3726"/>
    </row>
    <row r="275" spans="1:72" ht="18.75">
      <c r="A275" s="3639" t="s">
        <v>644</v>
      </c>
      <c r="B275" s="3636"/>
      <c r="C275" s="3636"/>
      <c r="D275" s="3640" t="s">
        <v>652</v>
      </c>
      <c r="E275" s="3643"/>
      <c r="F275" s="3644"/>
      <c r="G275" s="3640" t="s">
        <v>652</v>
      </c>
      <c r="H275" s="3641"/>
      <c r="I275" s="3642"/>
      <c r="J275" s="3640" t="s">
        <v>652</v>
      </c>
      <c r="K275" s="3643"/>
      <c r="L275" s="3643"/>
      <c r="M275" s="3643"/>
      <c r="N275" s="3644"/>
      <c r="O275" s="3640" t="s">
        <v>658</v>
      </c>
      <c r="P275" s="3643"/>
      <c r="Q275" s="3644"/>
      <c r="R275" s="3640" t="s">
        <v>681</v>
      </c>
      <c r="S275" s="3641"/>
      <c r="T275" s="3642"/>
      <c r="U275" s="3640" t="s">
        <v>712</v>
      </c>
      <c r="V275" s="3643"/>
      <c r="W275" s="3643"/>
      <c r="X275" s="3643"/>
      <c r="Y275" s="3644"/>
      <c r="Z275" s="3640" t="s">
        <v>704</v>
      </c>
      <c r="AA275" s="3643"/>
      <c r="AB275" s="3644"/>
      <c r="AC275" s="3640" t="s">
        <v>652</v>
      </c>
      <c r="AD275" s="3641"/>
      <c r="AE275" s="3642"/>
      <c r="AF275" s="3640" t="s">
        <v>713</v>
      </c>
      <c r="AG275" s="3643"/>
      <c r="AH275" s="3643"/>
      <c r="AI275" s="3643"/>
      <c r="AJ275" s="3644"/>
      <c r="AL275" s="3738" t="s">
        <v>1770</v>
      </c>
      <c r="AM275" s="3739"/>
      <c r="AN275" s="3739"/>
      <c r="AO275" s="3739"/>
      <c r="AP275" s="3739"/>
      <c r="AQ275" s="3739"/>
      <c r="AR275" s="3739"/>
      <c r="AS275" s="3739"/>
      <c r="AT275" s="3739"/>
      <c r="AU275" s="3739"/>
      <c r="AV275" s="3739"/>
      <c r="AW275" s="3739"/>
      <c r="AX275" s="3739"/>
      <c r="AY275" s="3739"/>
      <c r="AZ275" s="3739"/>
      <c r="BA275" s="3739"/>
      <c r="BB275" s="3739"/>
      <c r="BC275" s="3739"/>
      <c r="BD275" s="3739"/>
      <c r="BE275" s="3739"/>
      <c r="BF275" s="3739"/>
      <c r="BG275" s="3739"/>
      <c r="BH275" s="3739"/>
      <c r="BI275" s="3739"/>
      <c r="BJ275" s="3739"/>
      <c r="BK275" s="3739"/>
      <c r="BL275" s="3739"/>
      <c r="BM275" s="3739"/>
      <c r="BN275" s="3739"/>
      <c r="BO275" s="3739"/>
      <c r="BP275" s="3739"/>
      <c r="BQ275" s="3739"/>
      <c r="BR275" s="3739"/>
      <c r="BS275" s="3739"/>
      <c r="BT275" s="3740"/>
    </row>
    <row r="276" spans="1:72" ht="16.5">
      <c r="A276" s="3657" t="s">
        <v>655</v>
      </c>
      <c r="B276" s="3641"/>
      <c r="C276" s="3642"/>
      <c r="D276" s="3640" t="s">
        <v>652</v>
      </c>
      <c r="E276" s="3643"/>
      <c r="F276" s="3644"/>
      <c r="G276" s="3640" t="s">
        <v>652</v>
      </c>
      <c r="H276" s="3641"/>
      <c r="I276" s="3642"/>
      <c r="J276" s="3640" t="s">
        <v>652</v>
      </c>
      <c r="K276" s="3643"/>
      <c r="L276" s="3643"/>
      <c r="M276" s="3643"/>
      <c r="N276" s="3644"/>
      <c r="O276" s="3640" t="s">
        <v>653</v>
      </c>
      <c r="P276" s="3643"/>
      <c r="Q276" s="3644"/>
      <c r="R276" s="3640" t="s">
        <v>653</v>
      </c>
      <c r="S276" s="3641"/>
      <c r="T276" s="3642"/>
      <c r="U276" s="3640" t="s">
        <v>653</v>
      </c>
      <c r="V276" s="3643"/>
      <c r="W276" s="3643"/>
      <c r="X276" s="3643"/>
      <c r="Y276" s="3644"/>
      <c r="Z276" s="3640" t="s">
        <v>652</v>
      </c>
      <c r="AA276" s="3643"/>
      <c r="AB276" s="3644"/>
      <c r="AC276" s="3640" t="s">
        <v>677</v>
      </c>
      <c r="AD276" s="3641"/>
      <c r="AE276" s="3642"/>
      <c r="AF276" s="3640" t="s">
        <v>678</v>
      </c>
      <c r="AG276" s="3643"/>
      <c r="AH276" s="3643"/>
      <c r="AI276" s="3643"/>
      <c r="AJ276" s="3644"/>
      <c r="AL276" s="3634" t="s">
        <v>1679</v>
      </c>
      <c r="AM276" s="3634"/>
      <c r="AN276" s="3634"/>
      <c r="AO276" s="3634"/>
      <c r="AP276" s="3634"/>
      <c r="AQ276" s="3742" t="s">
        <v>1702</v>
      </c>
      <c r="AR276" s="3634"/>
      <c r="AS276" s="3634"/>
      <c r="AT276" s="3634"/>
      <c r="AU276" s="3634"/>
      <c r="AV276" s="3634"/>
      <c r="AW276" s="3634" t="s">
        <v>1680</v>
      </c>
      <c r="AX276" s="3634"/>
      <c r="AY276" s="3634"/>
      <c r="AZ276" s="3634"/>
      <c r="BA276" s="3634"/>
      <c r="BB276" s="3634"/>
      <c r="BC276" s="3742" t="s">
        <v>1702</v>
      </c>
      <c r="BD276" s="3634"/>
      <c r="BE276" s="3634"/>
      <c r="BF276" s="3634"/>
      <c r="BG276" s="3634"/>
      <c r="BH276" s="3634"/>
      <c r="BI276" s="3634" t="s">
        <v>1681</v>
      </c>
      <c r="BJ276" s="3634"/>
      <c r="BK276" s="3634"/>
      <c r="BL276" s="3634"/>
      <c r="BM276" s="3634"/>
      <c r="BN276" s="3634"/>
      <c r="BO276" s="3724" t="s">
        <v>1702</v>
      </c>
      <c r="BP276" s="3725"/>
      <c r="BQ276" s="3725"/>
      <c r="BR276" s="3725"/>
      <c r="BS276" s="3725"/>
      <c r="BT276" s="3726"/>
    </row>
    <row r="277" spans="1:72" ht="16.5">
      <c r="A277" s="3640" t="s">
        <v>665</v>
      </c>
      <c r="B277" s="3641"/>
      <c r="C277" s="3642"/>
      <c r="D277" s="3636" t="s">
        <v>662</v>
      </c>
      <c r="E277" s="3636"/>
      <c r="F277" s="3636"/>
      <c r="G277" s="3636" t="s">
        <v>652</v>
      </c>
      <c r="H277" s="3636"/>
      <c r="I277" s="3636"/>
      <c r="J277" s="3636" t="s">
        <v>666</v>
      </c>
      <c r="K277" s="3636"/>
      <c r="L277" s="3636"/>
      <c r="M277" s="3636"/>
      <c r="N277" s="3636"/>
      <c r="O277" s="3636" t="s">
        <v>667</v>
      </c>
      <c r="P277" s="3636"/>
      <c r="Q277" s="3636"/>
      <c r="R277" s="3636" t="s">
        <v>652</v>
      </c>
      <c r="S277" s="3636"/>
      <c r="T277" s="3636"/>
      <c r="U277" s="3636" t="s">
        <v>658</v>
      </c>
      <c r="V277" s="3636"/>
      <c r="W277" s="3636"/>
      <c r="X277" s="3636"/>
      <c r="Y277" s="3636"/>
      <c r="Z277" s="3636" t="s">
        <v>652</v>
      </c>
      <c r="AA277" s="3636"/>
      <c r="AB277" s="3636"/>
      <c r="AC277" s="3636" t="s">
        <v>652</v>
      </c>
      <c r="AD277" s="3636"/>
      <c r="AE277" s="3636"/>
      <c r="AF277" s="3636" t="s">
        <v>652</v>
      </c>
      <c r="AG277" s="3636"/>
      <c r="AH277" s="3636"/>
      <c r="AI277" s="3636"/>
      <c r="AJ277" s="3636"/>
    </row>
    <row r="278" spans="1:72" ht="15">
      <c r="A278" s="3640" t="s">
        <v>742</v>
      </c>
      <c r="B278" s="3641"/>
      <c r="C278" s="3641"/>
      <c r="D278" s="3641"/>
      <c r="E278" s="3641"/>
      <c r="F278" s="3641"/>
      <c r="G278" s="3641"/>
      <c r="H278" s="3641"/>
      <c r="I278" s="3641"/>
      <c r="J278" s="3641"/>
      <c r="K278" s="3641"/>
      <c r="L278" s="3641"/>
      <c r="M278" s="3641"/>
      <c r="N278" s="3641"/>
      <c r="O278" s="3641"/>
      <c r="P278" s="3641"/>
      <c r="Q278" s="3641"/>
      <c r="R278" s="3641"/>
      <c r="S278" s="3641"/>
      <c r="T278" s="3641"/>
      <c r="U278" s="3641"/>
      <c r="V278" s="3641"/>
      <c r="W278" s="3641"/>
      <c r="X278" s="3641"/>
      <c r="Y278" s="3641"/>
      <c r="Z278" s="3641"/>
      <c r="AA278" s="3641"/>
      <c r="AB278" s="3641"/>
      <c r="AC278" s="3641"/>
      <c r="AD278" s="3641"/>
      <c r="AE278" s="3641"/>
      <c r="AF278" s="3641"/>
      <c r="AG278" s="3641"/>
      <c r="AH278" s="3641"/>
      <c r="AI278" s="3641"/>
      <c r="AJ278" s="3642"/>
    </row>
    <row r="279" spans="1:72" ht="16.5">
      <c r="A279" s="3639" t="s">
        <v>644</v>
      </c>
      <c r="B279" s="3636"/>
      <c r="C279" s="3636"/>
      <c r="D279" s="3636" t="s">
        <v>714</v>
      </c>
      <c r="E279" s="3636"/>
      <c r="F279" s="3636"/>
      <c r="G279" s="3636" t="s">
        <v>682</v>
      </c>
      <c r="H279" s="3636"/>
      <c r="I279" s="3636"/>
      <c r="J279" s="3636" t="s">
        <v>657</v>
      </c>
      <c r="K279" s="3636"/>
      <c r="L279" s="3636"/>
      <c r="M279" s="3636"/>
      <c r="N279" s="3636"/>
      <c r="O279" s="3636" t="s">
        <v>676</v>
      </c>
      <c r="P279" s="3636"/>
      <c r="Q279" s="3636"/>
      <c r="R279" s="3636" t="s">
        <v>681</v>
      </c>
      <c r="S279" s="3636"/>
      <c r="T279" s="3636"/>
      <c r="U279" s="3636" t="s">
        <v>658</v>
      </c>
      <c r="V279" s="3636"/>
      <c r="W279" s="3636"/>
      <c r="X279" s="3636"/>
      <c r="Y279" s="3636"/>
      <c r="Z279" s="3636" t="s">
        <v>763</v>
      </c>
      <c r="AA279" s="3636"/>
      <c r="AB279" s="3636"/>
      <c r="AC279" s="3636" t="s">
        <v>764</v>
      </c>
      <c r="AD279" s="3636"/>
      <c r="AE279" s="3636"/>
      <c r="AF279" s="3636" t="s">
        <v>765</v>
      </c>
      <c r="AG279" s="3636"/>
      <c r="AH279" s="3636"/>
      <c r="AI279" s="3636"/>
      <c r="AJ279" s="3636"/>
    </row>
    <row r="280" spans="1:72" ht="16.5">
      <c r="A280" s="3657" t="s">
        <v>655</v>
      </c>
      <c r="B280" s="3641"/>
      <c r="C280" s="3642"/>
      <c r="D280" s="3636" t="s">
        <v>667</v>
      </c>
      <c r="E280" s="3636"/>
      <c r="F280" s="3636"/>
      <c r="G280" s="3636" t="s">
        <v>658</v>
      </c>
      <c r="H280" s="3636"/>
      <c r="I280" s="3636"/>
      <c r="J280" s="3636" t="s">
        <v>746</v>
      </c>
      <c r="K280" s="3636"/>
      <c r="L280" s="3636"/>
      <c r="M280" s="3636"/>
      <c r="N280" s="3636"/>
      <c r="O280" s="3636" t="s">
        <v>667</v>
      </c>
      <c r="P280" s="3636"/>
      <c r="Q280" s="3636"/>
      <c r="R280" s="3636" t="s">
        <v>658</v>
      </c>
      <c r="S280" s="3636"/>
      <c r="T280" s="3636"/>
      <c r="U280" s="3636" t="s">
        <v>746</v>
      </c>
      <c r="V280" s="3636"/>
      <c r="W280" s="3636"/>
      <c r="X280" s="3636"/>
      <c r="Y280" s="3636"/>
      <c r="Z280" s="3636" t="s">
        <v>658</v>
      </c>
      <c r="AA280" s="3636"/>
      <c r="AB280" s="3636"/>
      <c r="AC280" s="3636" t="s">
        <v>658</v>
      </c>
      <c r="AD280" s="3636"/>
      <c r="AE280" s="3636"/>
      <c r="AF280" s="3636" t="s">
        <v>658</v>
      </c>
      <c r="AG280" s="3636"/>
      <c r="AH280" s="3636"/>
      <c r="AI280" s="3636"/>
      <c r="AJ280" s="3636"/>
    </row>
    <row r="281" spans="1:72" ht="16.5">
      <c r="A281" s="3640" t="s">
        <v>660</v>
      </c>
      <c r="B281" s="3641"/>
      <c r="C281" s="3642"/>
      <c r="D281" s="3636" t="s">
        <v>700</v>
      </c>
      <c r="E281" s="3636"/>
      <c r="F281" s="3636"/>
      <c r="G281" s="3636" t="s">
        <v>700</v>
      </c>
      <c r="H281" s="3636"/>
      <c r="I281" s="3636"/>
      <c r="J281" s="3636" t="s">
        <v>700</v>
      </c>
      <c r="K281" s="3636"/>
      <c r="L281" s="3636"/>
      <c r="M281" s="3636"/>
      <c r="N281" s="3636"/>
      <c r="O281" s="3636" t="s">
        <v>667</v>
      </c>
      <c r="P281" s="3636"/>
      <c r="Q281" s="3636"/>
      <c r="R281" s="3636" t="s">
        <v>652</v>
      </c>
      <c r="S281" s="3636"/>
      <c r="T281" s="3636"/>
      <c r="U281" s="3636" t="s">
        <v>658</v>
      </c>
      <c r="V281" s="3636"/>
      <c r="W281" s="3636"/>
      <c r="X281" s="3636"/>
      <c r="Y281" s="3636"/>
      <c r="Z281" s="3636" t="s">
        <v>667</v>
      </c>
      <c r="AA281" s="3636"/>
      <c r="AB281" s="3636"/>
      <c r="AC281" s="3636" t="s">
        <v>652</v>
      </c>
      <c r="AD281" s="3636"/>
      <c r="AE281" s="3636"/>
      <c r="AF281" s="3636" t="s">
        <v>658</v>
      </c>
      <c r="AG281" s="3636"/>
      <c r="AH281" s="3636"/>
      <c r="AI281" s="3636"/>
      <c r="AJ281" s="3636"/>
    </row>
    <row r="282" spans="1:72" ht="15">
      <c r="A282" s="3640" t="s">
        <v>747</v>
      </c>
      <c r="B282" s="3641"/>
      <c r="C282" s="3641"/>
      <c r="D282" s="3641"/>
      <c r="E282" s="3641"/>
      <c r="F282" s="3641"/>
      <c r="G282" s="3641"/>
      <c r="H282" s="3641"/>
      <c r="I282" s="3641"/>
      <c r="J282" s="3641"/>
      <c r="K282" s="3641"/>
      <c r="L282" s="3641"/>
      <c r="M282" s="3641"/>
      <c r="N282" s="3641"/>
      <c r="O282" s="3641"/>
      <c r="P282" s="3641"/>
      <c r="Q282" s="3641"/>
      <c r="R282" s="3641"/>
      <c r="S282" s="3641"/>
      <c r="T282" s="3641"/>
      <c r="U282" s="3641"/>
      <c r="V282" s="3641"/>
      <c r="W282" s="3641"/>
      <c r="X282" s="3641"/>
      <c r="Y282" s="3641"/>
      <c r="Z282" s="3641"/>
      <c r="AA282" s="3641"/>
      <c r="AB282" s="3641"/>
      <c r="AC282" s="3641"/>
      <c r="AD282" s="3641"/>
      <c r="AE282" s="3641"/>
      <c r="AF282" s="3641"/>
      <c r="AG282" s="3641"/>
      <c r="AH282" s="3641"/>
      <c r="AI282" s="3641"/>
      <c r="AJ282" s="3642"/>
    </row>
    <row r="283" spans="1:72" ht="16.5">
      <c r="A283" s="3639" t="s">
        <v>644</v>
      </c>
      <c r="B283" s="3636"/>
      <c r="C283" s="3636"/>
      <c r="D283" s="3636" t="s">
        <v>661</v>
      </c>
      <c r="E283" s="3636"/>
      <c r="F283" s="3636"/>
      <c r="G283" s="3636" t="s">
        <v>661</v>
      </c>
      <c r="H283" s="3636"/>
      <c r="I283" s="3636"/>
      <c r="J283" s="3636" t="s">
        <v>661</v>
      </c>
      <c r="K283" s="3636"/>
      <c r="L283" s="3636"/>
      <c r="M283" s="3636"/>
      <c r="N283" s="3636"/>
      <c r="O283" s="3636" t="s">
        <v>661</v>
      </c>
      <c r="P283" s="3636"/>
      <c r="Q283" s="3636"/>
      <c r="R283" s="3636" t="s">
        <v>661</v>
      </c>
      <c r="S283" s="3636"/>
      <c r="T283" s="3636"/>
      <c r="U283" s="3636" t="s">
        <v>661</v>
      </c>
      <c r="V283" s="3636"/>
      <c r="W283" s="3636"/>
      <c r="X283" s="3636"/>
      <c r="Y283" s="3636"/>
      <c r="Z283" s="3636" t="s">
        <v>661</v>
      </c>
      <c r="AA283" s="3636"/>
      <c r="AB283" s="3636"/>
      <c r="AC283" s="3636" t="s">
        <v>661</v>
      </c>
      <c r="AD283" s="3636"/>
      <c r="AE283" s="3636"/>
      <c r="AF283" s="3636" t="s">
        <v>661</v>
      </c>
      <c r="AG283" s="3636"/>
      <c r="AH283" s="3636"/>
      <c r="AI283" s="3636"/>
      <c r="AJ283" s="3636"/>
    </row>
    <row r="284" spans="1:72" ht="16.5">
      <c r="A284" s="3657" t="s">
        <v>655</v>
      </c>
      <c r="B284" s="3641"/>
      <c r="C284" s="3642"/>
      <c r="D284" s="3636" t="s">
        <v>661</v>
      </c>
      <c r="E284" s="3636"/>
      <c r="F284" s="3636"/>
      <c r="G284" s="3636" t="s">
        <v>661</v>
      </c>
      <c r="H284" s="3636"/>
      <c r="I284" s="3636"/>
      <c r="J284" s="3636" t="s">
        <v>661</v>
      </c>
      <c r="K284" s="3636"/>
      <c r="L284" s="3636"/>
      <c r="M284" s="3636"/>
      <c r="N284" s="3636"/>
      <c r="O284" s="3636" t="s">
        <v>661</v>
      </c>
      <c r="P284" s="3636"/>
      <c r="Q284" s="3636"/>
      <c r="R284" s="3636" t="s">
        <v>661</v>
      </c>
      <c r="S284" s="3636"/>
      <c r="T284" s="3636"/>
      <c r="U284" s="3636" t="s">
        <v>661</v>
      </c>
      <c r="V284" s="3636"/>
      <c r="W284" s="3636"/>
      <c r="X284" s="3636"/>
      <c r="Y284" s="3636"/>
      <c r="Z284" s="3636" t="s">
        <v>661</v>
      </c>
      <c r="AA284" s="3636"/>
      <c r="AB284" s="3636"/>
      <c r="AC284" s="3636" t="s">
        <v>661</v>
      </c>
      <c r="AD284" s="3636"/>
      <c r="AE284" s="3636"/>
      <c r="AF284" s="3636" t="s">
        <v>661</v>
      </c>
      <c r="AG284" s="3636"/>
      <c r="AH284" s="3636"/>
      <c r="AI284" s="3636"/>
      <c r="AJ284" s="3636"/>
    </row>
    <row r="285" spans="1:72" ht="16.5">
      <c r="A285" s="3640" t="s">
        <v>660</v>
      </c>
      <c r="B285" s="3641"/>
      <c r="C285" s="3642"/>
      <c r="D285" s="3636" t="s">
        <v>661</v>
      </c>
      <c r="E285" s="3636"/>
      <c r="F285" s="3636"/>
      <c r="G285" s="3636" t="s">
        <v>661</v>
      </c>
      <c r="H285" s="3636"/>
      <c r="I285" s="3636"/>
      <c r="J285" s="3636" t="s">
        <v>661</v>
      </c>
      <c r="K285" s="3636"/>
      <c r="L285" s="3636"/>
      <c r="M285" s="3636"/>
      <c r="N285" s="3636"/>
      <c r="O285" s="3636" t="s">
        <v>661</v>
      </c>
      <c r="P285" s="3636"/>
      <c r="Q285" s="3636"/>
      <c r="R285" s="3636" t="s">
        <v>661</v>
      </c>
      <c r="S285" s="3636"/>
      <c r="T285" s="3636"/>
      <c r="U285" s="3636" t="s">
        <v>661</v>
      </c>
      <c r="V285" s="3636"/>
      <c r="W285" s="3636"/>
      <c r="X285" s="3636"/>
      <c r="Y285" s="3636"/>
      <c r="Z285" s="3636" t="s">
        <v>661</v>
      </c>
      <c r="AA285" s="3636"/>
      <c r="AB285" s="3636"/>
      <c r="AC285" s="3636" t="s">
        <v>661</v>
      </c>
      <c r="AD285" s="3636"/>
      <c r="AE285" s="3636"/>
      <c r="AF285" s="3636" t="s">
        <v>661</v>
      </c>
      <c r="AG285" s="3636"/>
      <c r="AH285" s="3636"/>
      <c r="AI285" s="3636"/>
      <c r="AJ285" s="3636"/>
    </row>
    <row r="286" spans="1:72" ht="16.5">
      <c r="A286" s="3715" t="s">
        <v>748</v>
      </c>
      <c r="B286" s="3716"/>
      <c r="C286" s="3716"/>
      <c r="D286" s="3716"/>
      <c r="E286" s="3716"/>
      <c r="F286" s="3716"/>
      <c r="G286" s="3716"/>
      <c r="H286" s="3716"/>
      <c r="I286" s="3716"/>
      <c r="J286" s="3716"/>
      <c r="K286" s="3716"/>
      <c r="L286" s="3716"/>
      <c r="M286" s="3716"/>
      <c r="N286" s="3716"/>
      <c r="O286" s="3716"/>
      <c r="P286" s="3716"/>
      <c r="Q286" s="3716"/>
      <c r="R286" s="3716"/>
      <c r="S286" s="3716"/>
      <c r="T286" s="3716"/>
      <c r="U286" s="3716"/>
      <c r="V286" s="3716"/>
      <c r="W286" s="3716"/>
      <c r="X286" s="3716"/>
      <c r="Y286" s="3716"/>
      <c r="Z286" s="3716"/>
      <c r="AA286" s="3716"/>
      <c r="AB286" s="3716"/>
      <c r="AC286" s="3716"/>
      <c r="AD286" s="3716"/>
      <c r="AE286" s="3716"/>
      <c r="AF286" s="3716"/>
      <c r="AG286" s="3716"/>
      <c r="AH286" s="3716"/>
      <c r="AI286" s="3716"/>
      <c r="AJ286" s="3717"/>
    </row>
    <row r="287" spans="1:72" ht="15">
      <c r="A287" s="3636" t="s">
        <v>670</v>
      </c>
      <c r="B287" s="3636"/>
      <c r="C287" s="3636"/>
      <c r="D287" s="3636"/>
      <c r="E287" s="3635" t="s">
        <v>693</v>
      </c>
      <c r="F287" s="3636"/>
      <c r="G287" s="3636"/>
      <c r="H287" s="3636"/>
      <c r="I287" s="3636"/>
      <c r="J287" s="3636"/>
      <c r="K287" s="3636" t="s">
        <v>671</v>
      </c>
      <c r="L287" s="3636"/>
      <c r="M287" s="3636"/>
      <c r="N287" s="3636"/>
      <c r="O287" s="3636"/>
      <c r="P287" s="3636"/>
      <c r="Q287" s="3635" t="s">
        <v>766</v>
      </c>
      <c r="R287" s="3636"/>
      <c r="S287" s="3636"/>
      <c r="T287" s="3636"/>
      <c r="U287" s="3636"/>
      <c r="V287" s="3636"/>
      <c r="W287" s="3636"/>
      <c r="X287" s="3636" t="s">
        <v>672</v>
      </c>
      <c r="Y287" s="3636"/>
      <c r="Z287" s="3636"/>
      <c r="AA287" s="3636"/>
      <c r="AB287" s="3636"/>
      <c r="AC287" s="3646" t="s">
        <v>691</v>
      </c>
      <c r="AD287" s="3643"/>
      <c r="AE287" s="3643"/>
      <c r="AF287" s="3643"/>
      <c r="AG287" s="3643"/>
      <c r="AH287" s="3643"/>
      <c r="AI287" s="3643"/>
      <c r="AJ287" s="3644"/>
    </row>
    <row r="289" spans="1:36" ht="19.5" customHeight="1">
      <c r="A289" s="153" t="s">
        <v>803</v>
      </c>
      <c r="D289" s="649" t="s">
        <v>1771</v>
      </c>
    </row>
    <row r="290" spans="1:36" ht="20.100000000000001" customHeight="1">
      <c r="D290" s="3692" t="s">
        <v>773</v>
      </c>
      <c r="E290" s="2298"/>
      <c r="F290" s="2298"/>
      <c r="G290" s="2298"/>
      <c r="H290" s="2298"/>
      <c r="I290" s="3692" t="s">
        <v>774</v>
      </c>
      <c r="J290" s="3692"/>
      <c r="K290" s="3692"/>
      <c r="L290" s="3692"/>
      <c r="M290" s="3692"/>
      <c r="N290" s="3692"/>
      <c r="O290" s="3692" t="s">
        <v>775</v>
      </c>
      <c r="P290" s="3692"/>
      <c r="Q290" s="3692"/>
      <c r="R290" s="3692"/>
      <c r="S290" s="3692"/>
      <c r="T290" s="3692"/>
      <c r="U290" s="3692"/>
      <c r="V290" s="3692" t="s">
        <v>776</v>
      </c>
      <c r="W290" s="3692"/>
      <c r="X290" s="3692"/>
      <c r="Y290" s="3692"/>
      <c r="Z290" s="3692"/>
      <c r="AA290" s="3692"/>
      <c r="AB290" s="3692"/>
      <c r="AC290" s="3703" t="s">
        <v>777</v>
      </c>
      <c r="AD290" s="3703"/>
      <c r="AE290" s="3703"/>
      <c r="AF290" s="3703"/>
      <c r="AG290" s="3703"/>
      <c r="AH290" s="3703"/>
    </row>
    <row r="291" spans="1:36" ht="20.100000000000001" customHeight="1">
      <c r="D291" s="3692" t="s">
        <v>778</v>
      </c>
      <c r="E291" s="2298"/>
      <c r="F291" s="2298"/>
      <c r="G291" s="2298"/>
      <c r="H291" s="2298"/>
      <c r="I291" s="3692" t="s">
        <v>779</v>
      </c>
      <c r="J291" s="3692"/>
      <c r="K291" s="3692"/>
      <c r="L291" s="3692"/>
      <c r="M291" s="3692"/>
      <c r="N291" s="3692"/>
      <c r="O291" s="3692" t="s">
        <v>804</v>
      </c>
      <c r="P291" s="3692"/>
      <c r="Q291" s="3692"/>
      <c r="R291" s="3692"/>
      <c r="S291" s="3692"/>
      <c r="T291" s="3692"/>
      <c r="U291" s="3692"/>
      <c r="V291" s="3692">
        <v>1</v>
      </c>
      <c r="W291" s="3692"/>
      <c r="X291" s="3692"/>
      <c r="Y291" s="3692"/>
      <c r="Z291" s="3692"/>
      <c r="AA291" s="3692"/>
      <c r="AB291" s="3692"/>
      <c r="AC291" s="3693">
        <v>1.2E-4</v>
      </c>
      <c r="AD291" s="3693"/>
      <c r="AE291" s="3693"/>
      <c r="AF291" s="3693">
        <v>1.2999999999999999E-4</v>
      </c>
      <c r="AG291" s="3693"/>
      <c r="AH291" s="3693"/>
    </row>
    <row r="292" spans="1:36" ht="20.100000000000001" customHeight="1">
      <c r="D292" s="2298"/>
      <c r="E292" s="2298"/>
      <c r="F292" s="2298"/>
      <c r="G292" s="2298"/>
      <c r="H292" s="2298"/>
      <c r="I292" s="3692" t="s">
        <v>779</v>
      </c>
      <c r="J292" s="3692"/>
      <c r="K292" s="3692"/>
      <c r="L292" s="3692"/>
      <c r="M292" s="3692"/>
      <c r="N292" s="3692"/>
      <c r="O292" s="3692" t="s">
        <v>805</v>
      </c>
      <c r="P292" s="3692"/>
      <c r="Q292" s="3692"/>
      <c r="R292" s="3692"/>
      <c r="S292" s="3692"/>
      <c r="T292" s="3692"/>
      <c r="U292" s="3692"/>
      <c r="V292" s="3692" t="s">
        <v>780</v>
      </c>
      <c r="W292" s="3692"/>
      <c r="X292" s="3692"/>
      <c r="Y292" s="3692"/>
      <c r="Z292" s="3692"/>
      <c r="AA292" s="3692"/>
      <c r="AB292" s="3692"/>
      <c r="AC292" s="3693">
        <v>1.2E-4</v>
      </c>
      <c r="AD292" s="3693"/>
      <c r="AE292" s="3693"/>
      <c r="AF292" s="3693">
        <v>1.2999999999999999E-4</v>
      </c>
      <c r="AG292" s="3693"/>
      <c r="AH292" s="3693"/>
    </row>
    <row r="293" spans="1:36" ht="20.100000000000001" customHeight="1">
      <c r="D293" s="2298"/>
      <c r="E293" s="2298"/>
      <c r="F293" s="2298"/>
      <c r="G293" s="2298"/>
      <c r="H293" s="2298"/>
      <c r="I293" s="3692" t="s">
        <v>779</v>
      </c>
      <c r="J293" s="3692"/>
      <c r="K293" s="3692"/>
      <c r="L293" s="3692"/>
      <c r="M293" s="3692"/>
      <c r="N293" s="3692"/>
      <c r="O293" s="3692" t="s">
        <v>806</v>
      </c>
      <c r="P293" s="3692"/>
      <c r="Q293" s="3692"/>
      <c r="R293" s="3692"/>
      <c r="S293" s="3692"/>
      <c r="T293" s="3692"/>
      <c r="U293" s="3692"/>
      <c r="V293" s="3692" t="s">
        <v>781</v>
      </c>
      <c r="W293" s="3692"/>
      <c r="X293" s="3692"/>
      <c r="Y293" s="3692"/>
      <c r="Z293" s="3692"/>
      <c r="AA293" s="3692"/>
      <c r="AB293" s="3692"/>
      <c r="AC293" s="3693">
        <v>1.8000000000000001E-4</v>
      </c>
      <c r="AD293" s="3693"/>
      <c r="AE293" s="3693"/>
      <c r="AF293" s="3693">
        <v>1.2999999999999999E-4</v>
      </c>
      <c r="AG293" s="3693"/>
      <c r="AH293" s="3693"/>
    </row>
    <row r="294" spans="1:36" ht="20.100000000000001" customHeight="1">
      <c r="D294" s="2298"/>
      <c r="E294" s="2298"/>
      <c r="F294" s="2298"/>
      <c r="G294" s="2298"/>
      <c r="H294" s="2298"/>
      <c r="I294" s="3692" t="s">
        <v>779</v>
      </c>
      <c r="J294" s="3692"/>
      <c r="K294" s="3692"/>
      <c r="L294" s="3692"/>
      <c r="M294" s="3692"/>
      <c r="N294" s="3692"/>
      <c r="O294" s="3692" t="s">
        <v>806</v>
      </c>
      <c r="P294" s="3692"/>
      <c r="Q294" s="3692"/>
      <c r="R294" s="3692"/>
      <c r="S294" s="3692"/>
      <c r="T294" s="3692"/>
      <c r="U294" s="3692"/>
      <c r="V294" s="3692" t="s">
        <v>782</v>
      </c>
      <c r="W294" s="3692"/>
      <c r="X294" s="3692"/>
      <c r="Y294" s="3692"/>
      <c r="Z294" s="3692"/>
      <c r="AA294" s="3692"/>
      <c r="AB294" s="3692"/>
      <c r="AC294" s="3693">
        <v>3.5E-4</v>
      </c>
      <c r="AD294" s="3693"/>
      <c r="AE294" s="3693"/>
      <c r="AF294" s="3693">
        <v>1.2999999999999999E-4</v>
      </c>
      <c r="AG294" s="3693"/>
      <c r="AH294" s="3693"/>
    </row>
    <row r="295" spans="1:36" s="257" customFormat="1" ht="14.25" customHeight="1">
      <c r="B295" s="261"/>
      <c r="C295" s="261"/>
      <c r="D295" s="261"/>
      <c r="E295" s="261"/>
      <c r="F295" s="261"/>
      <c r="G295" s="261"/>
      <c r="H295" s="261"/>
      <c r="I295" s="263"/>
      <c r="J295" s="263"/>
      <c r="K295" s="263"/>
      <c r="L295" s="263"/>
      <c r="M295" s="263"/>
      <c r="N295" s="263"/>
      <c r="O295" s="263"/>
      <c r="P295" s="263"/>
      <c r="Q295" s="263"/>
      <c r="R295" s="261"/>
      <c r="S295" s="261"/>
      <c r="T295" s="261"/>
      <c r="U295" s="261"/>
      <c r="V295" s="261"/>
      <c r="W295" s="261"/>
      <c r="X295" s="261"/>
      <c r="Y295" s="261"/>
      <c r="Z295" s="261"/>
      <c r="AA295" s="261"/>
      <c r="AB295" s="261"/>
      <c r="AC295" s="261"/>
      <c r="AD295" s="261"/>
      <c r="AE295" s="261"/>
      <c r="AF295" s="261"/>
      <c r="AG295" s="261"/>
      <c r="AH295" s="261"/>
      <c r="AI295" s="261"/>
      <c r="AJ295" s="261"/>
    </row>
    <row r="296" spans="1:36" ht="20.100000000000001" customHeight="1">
      <c r="D296" s="3692" t="s">
        <v>773</v>
      </c>
      <c r="E296" s="2298"/>
      <c r="F296" s="2298"/>
      <c r="G296" s="2298"/>
      <c r="H296" s="2298"/>
      <c r="I296" s="3692" t="s">
        <v>774</v>
      </c>
      <c r="J296" s="3692"/>
      <c r="K296" s="3692"/>
      <c r="L296" s="3692"/>
      <c r="M296" s="3692"/>
      <c r="N296" s="3692"/>
      <c r="O296" s="3692" t="s">
        <v>775</v>
      </c>
      <c r="P296" s="3692"/>
      <c r="Q296" s="3692"/>
      <c r="R296" s="3692"/>
      <c r="S296" s="3692"/>
      <c r="T296" s="3692"/>
      <c r="U296" s="3692"/>
      <c r="V296" s="3692" t="s">
        <v>776</v>
      </c>
      <c r="W296" s="3692"/>
      <c r="X296" s="3692"/>
      <c r="Y296" s="3692"/>
      <c r="Z296" s="3692"/>
      <c r="AA296" s="3692"/>
      <c r="AB296" s="3692"/>
      <c r="AC296" s="3703" t="s">
        <v>777</v>
      </c>
      <c r="AD296" s="3703"/>
      <c r="AE296" s="3703"/>
      <c r="AF296" s="3703"/>
      <c r="AG296" s="3703"/>
      <c r="AH296" s="3703"/>
    </row>
    <row r="297" spans="1:36" ht="20.100000000000001" customHeight="1">
      <c r="D297" s="3692" t="s">
        <v>783</v>
      </c>
      <c r="E297" s="2298"/>
      <c r="F297" s="2298"/>
      <c r="G297" s="2298"/>
      <c r="H297" s="2298"/>
      <c r="I297" s="3692" t="s">
        <v>784</v>
      </c>
      <c r="J297" s="3692"/>
      <c r="K297" s="3692"/>
      <c r="L297" s="3692"/>
      <c r="M297" s="3692"/>
      <c r="N297" s="3692"/>
      <c r="O297" s="3692" t="s">
        <v>804</v>
      </c>
      <c r="P297" s="3692"/>
      <c r="Q297" s="3692"/>
      <c r="R297" s="3692"/>
      <c r="S297" s="3692"/>
      <c r="T297" s="3692"/>
      <c r="U297" s="3692"/>
      <c r="V297" s="3692">
        <v>1</v>
      </c>
      <c r="W297" s="3692"/>
      <c r="X297" s="3692"/>
      <c r="Y297" s="3692"/>
      <c r="Z297" s="3692"/>
      <c r="AA297" s="3692"/>
      <c r="AB297" s="3692"/>
      <c r="AC297" s="3693">
        <v>1.2999999999999999E-4</v>
      </c>
      <c r="AD297" s="3693"/>
      <c r="AE297" s="3693"/>
      <c r="AF297" s="3693">
        <v>1.2999999999999999E-4</v>
      </c>
      <c r="AG297" s="3693"/>
      <c r="AH297" s="3693"/>
    </row>
    <row r="298" spans="1:36" ht="20.100000000000001" customHeight="1">
      <c r="D298" s="2298"/>
      <c r="E298" s="2298"/>
      <c r="F298" s="2298"/>
      <c r="G298" s="2298"/>
      <c r="H298" s="2298"/>
      <c r="I298" s="3692" t="s">
        <v>784</v>
      </c>
      <c r="J298" s="3692"/>
      <c r="K298" s="3692"/>
      <c r="L298" s="3692"/>
      <c r="M298" s="3692"/>
      <c r="N298" s="3692"/>
      <c r="O298" s="3692" t="s">
        <v>805</v>
      </c>
      <c r="P298" s="3692"/>
      <c r="Q298" s="3692"/>
      <c r="R298" s="3692"/>
      <c r="S298" s="3692"/>
      <c r="T298" s="3692"/>
      <c r="U298" s="3692"/>
      <c r="V298" s="3692" t="s">
        <v>785</v>
      </c>
      <c r="W298" s="3692"/>
      <c r="X298" s="3692"/>
      <c r="Y298" s="3692"/>
      <c r="Z298" s="3692"/>
      <c r="AA298" s="3692"/>
      <c r="AB298" s="3692"/>
      <c r="AC298" s="3693">
        <v>1.2999999999999999E-4</v>
      </c>
      <c r="AD298" s="3693"/>
      <c r="AE298" s="3693"/>
      <c r="AF298" s="3693">
        <v>1.2999999999999999E-4</v>
      </c>
      <c r="AG298" s="3693"/>
      <c r="AH298" s="3693"/>
    </row>
    <row r="299" spans="1:36" ht="20.100000000000001" customHeight="1">
      <c r="D299" s="2298"/>
      <c r="E299" s="2298"/>
      <c r="F299" s="2298"/>
      <c r="G299" s="2298"/>
      <c r="H299" s="2298"/>
      <c r="I299" s="3692" t="s">
        <v>784</v>
      </c>
      <c r="J299" s="3692"/>
      <c r="K299" s="3692"/>
      <c r="L299" s="3692"/>
      <c r="M299" s="3692"/>
      <c r="N299" s="3692"/>
      <c r="O299" s="3692" t="s">
        <v>805</v>
      </c>
      <c r="P299" s="3692"/>
      <c r="Q299" s="3692"/>
      <c r="R299" s="3692"/>
      <c r="S299" s="3692"/>
      <c r="T299" s="3692"/>
      <c r="U299" s="3692"/>
      <c r="V299" s="3692" t="s">
        <v>782</v>
      </c>
      <c r="W299" s="3692"/>
      <c r="X299" s="3692"/>
      <c r="Y299" s="3692"/>
      <c r="Z299" s="3692"/>
      <c r="AA299" s="3692"/>
      <c r="AB299" s="3692"/>
      <c r="AC299" s="3693">
        <v>3.8999999999999999E-4</v>
      </c>
      <c r="AD299" s="3693"/>
      <c r="AE299" s="3693"/>
      <c r="AF299" s="3693">
        <v>1.2999999999999999E-4</v>
      </c>
      <c r="AG299" s="3693"/>
      <c r="AH299" s="3693"/>
    </row>
    <row r="300" spans="1:36" ht="20.100000000000001" customHeight="1">
      <c r="D300" s="2298"/>
      <c r="E300" s="2298"/>
      <c r="F300" s="2298"/>
      <c r="G300" s="2298"/>
      <c r="H300" s="2298"/>
      <c r="I300" s="3692" t="s">
        <v>786</v>
      </c>
      <c r="J300" s="3692"/>
      <c r="K300" s="3692"/>
      <c r="L300" s="3692"/>
      <c r="M300" s="3692"/>
      <c r="N300" s="3692"/>
      <c r="O300" s="3691" t="s">
        <v>807</v>
      </c>
      <c r="P300" s="3692"/>
      <c r="Q300" s="3692"/>
      <c r="R300" s="3692"/>
      <c r="S300" s="3692"/>
      <c r="T300" s="3692"/>
      <c r="U300" s="3692"/>
      <c r="V300" s="3692">
        <v>1</v>
      </c>
      <c r="W300" s="3692"/>
      <c r="X300" s="3692"/>
      <c r="Y300" s="3692"/>
      <c r="Z300" s="3692"/>
      <c r="AA300" s="3692"/>
      <c r="AB300" s="3692"/>
      <c r="AC300" s="3693">
        <v>1.2999999999999999E-4</v>
      </c>
      <c r="AD300" s="3693"/>
      <c r="AE300" s="3693"/>
      <c r="AF300" s="3693">
        <v>1.2999999999999999E-4</v>
      </c>
      <c r="AG300" s="3693"/>
      <c r="AH300" s="3693"/>
    </row>
    <row r="301" spans="1:36" ht="20.100000000000001" customHeight="1">
      <c r="D301" s="2298"/>
      <c r="E301" s="2298"/>
      <c r="F301" s="2298"/>
      <c r="G301" s="2298"/>
      <c r="H301" s="2298"/>
      <c r="I301" s="3692" t="s">
        <v>786</v>
      </c>
      <c r="J301" s="3692"/>
      <c r="K301" s="3692"/>
      <c r="L301" s="3692"/>
      <c r="M301" s="3692"/>
      <c r="N301" s="3692"/>
      <c r="O301" s="3691" t="s">
        <v>808</v>
      </c>
      <c r="P301" s="3692"/>
      <c r="Q301" s="3692"/>
      <c r="R301" s="3692"/>
      <c r="S301" s="3692"/>
      <c r="T301" s="3692"/>
      <c r="U301" s="3692"/>
      <c r="V301" s="3692" t="s">
        <v>809</v>
      </c>
      <c r="W301" s="3692"/>
      <c r="X301" s="3692"/>
      <c r="Y301" s="3692"/>
      <c r="Z301" s="3692"/>
      <c r="AA301" s="3692"/>
      <c r="AB301" s="3692"/>
      <c r="AC301" s="3693">
        <v>1.8000000000000001E-4</v>
      </c>
      <c r="AD301" s="3693"/>
      <c r="AE301" s="3693"/>
      <c r="AF301" s="3693">
        <v>1.8000000000000001E-4</v>
      </c>
      <c r="AG301" s="3693"/>
      <c r="AH301" s="3693"/>
    </row>
    <row r="302" spans="1:36" s="257" customFormat="1" ht="14.25" customHeight="1">
      <c r="B302" s="261"/>
      <c r="C302" s="261"/>
      <c r="D302" s="261"/>
      <c r="E302" s="261"/>
      <c r="F302" s="261"/>
      <c r="G302" s="261"/>
      <c r="H302" s="261"/>
      <c r="I302" s="263"/>
      <c r="J302" s="263"/>
      <c r="K302" s="263"/>
      <c r="L302" s="263"/>
      <c r="M302" s="263"/>
      <c r="N302" s="263"/>
      <c r="O302" s="263"/>
      <c r="P302" s="263"/>
      <c r="Q302" s="263"/>
      <c r="R302" s="261"/>
      <c r="S302" s="261"/>
      <c r="T302" s="261"/>
      <c r="U302" s="261"/>
      <c r="V302" s="261"/>
      <c r="W302" s="261"/>
      <c r="X302" s="261"/>
      <c r="Y302" s="261"/>
      <c r="Z302" s="261"/>
      <c r="AA302" s="261"/>
      <c r="AB302" s="261"/>
      <c r="AC302" s="261"/>
      <c r="AD302" s="261"/>
      <c r="AE302" s="261"/>
      <c r="AF302" s="261"/>
      <c r="AG302" s="261"/>
      <c r="AH302" s="261"/>
      <c r="AI302" s="261"/>
      <c r="AJ302" s="261"/>
    </row>
    <row r="303" spans="1:36" ht="20.100000000000001" customHeight="1">
      <c r="D303" s="3692" t="s">
        <v>773</v>
      </c>
      <c r="E303" s="2298"/>
      <c r="F303" s="2298"/>
      <c r="G303" s="2298"/>
      <c r="H303" s="2298"/>
      <c r="I303" s="3692" t="s">
        <v>774</v>
      </c>
      <c r="J303" s="3692"/>
      <c r="K303" s="3692"/>
      <c r="L303" s="3692"/>
      <c r="M303" s="3692"/>
      <c r="N303" s="3692"/>
      <c r="O303" s="3692" t="s">
        <v>775</v>
      </c>
      <c r="P303" s="3692"/>
      <c r="Q303" s="3692"/>
      <c r="R303" s="3692"/>
      <c r="S303" s="3692"/>
      <c r="T303" s="3692"/>
      <c r="U303" s="3692"/>
      <c r="V303" s="3692" t="s">
        <v>776</v>
      </c>
      <c r="W303" s="3692"/>
      <c r="X303" s="3692"/>
      <c r="Y303" s="3692"/>
      <c r="Z303" s="3692"/>
      <c r="AA303" s="3692"/>
      <c r="AB303" s="3692"/>
      <c r="AC303" s="3703" t="s">
        <v>777</v>
      </c>
      <c r="AD303" s="3703"/>
      <c r="AE303" s="3703"/>
      <c r="AF303" s="3703"/>
      <c r="AG303" s="3703"/>
      <c r="AH303" s="3703"/>
    </row>
    <row r="304" spans="1:36" ht="20.100000000000001" customHeight="1">
      <c r="D304" s="3692" t="s">
        <v>810</v>
      </c>
      <c r="E304" s="2298"/>
      <c r="F304" s="2298"/>
      <c r="G304" s="2298"/>
      <c r="H304" s="2298"/>
      <c r="I304" s="3692" t="s">
        <v>784</v>
      </c>
      <c r="J304" s="3692"/>
      <c r="K304" s="3692"/>
      <c r="L304" s="3692"/>
      <c r="M304" s="3692"/>
      <c r="N304" s="3692"/>
      <c r="O304" s="3692" t="s">
        <v>804</v>
      </c>
      <c r="P304" s="3692"/>
      <c r="Q304" s="3692"/>
      <c r="R304" s="3692"/>
      <c r="S304" s="3692"/>
      <c r="T304" s="3692"/>
      <c r="U304" s="3692"/>
      <c r="V304" s="3692">
        <v>1</v>
      </c>
      <c r="W304" s="3692"/>
      <c r="X304" s="3692"/>
      <c r="Y304" s="3692"/>
      <c r="Z304" s="3692"/>
      <c r="AA304" s="3692"/>
      <c r="AB304" s="3692"/>
      <c r="AC304" s="3693">
        <v>1.3999999999999999E-4</v>
      </c>
      <c r="AD304" s="3693"/>
      <c r="AE304" s="3693"/>
      <c r="AF304" s="3693">
        <v>1.2999999999999999E-4</v>
      </c>
      <c r="AG304" s="3693"/>
      <c r="AH304" s="3693"/>
    </row>
    <row r="305" spans="4:34" ht="20.100000000000001" customHeight="1">
      <c r="D305" s="2298"/>
      <c r="E305" s="2298"/>
      <c r="F305" s="2298"/>
      <c r="G305" s="2298"/>
      <c r="H305" s="2298"/>
      <c r="I305" s="3692" t="s">
        <v>784</v>
      </c>
      <c r="J305" s="3692"/>
      <c r="K305" s="3692"/>
      <c r="L305" s="3692"/>
      <c r="M305" s="3692"/>
      <c r="N305" s="3692"/>
      <c r="O305" s="3692" t="s">
        <v>805</v>
      </c>
      <c r="P305" s="3692"/>
      <c r="Q305" s="3692"/>
      <c r="R305" s="3692"/>
      <c r="S305" s="3692"/>
      <c r="T305" s="3692"/>
      <c r="U305" s="3692"/>
      <c r="V305" s="3692" t="s">
        <v>780</v>
      </c>
      <c r="W305" s="3692"/>
      <c r="X305" s="3692"/>
      <c r="Y305" s="3692"/>
      <c r="Z305" s="3692"/>
      <c r="AA305" s="3692"/>
      <c r="AB305" s="3692"/>
      <c r="AC305" s="3693">
        <v>1.3999999999999999E-4</v>
      </c>
      <c r="AD305" s="3693"/>
      <c r="AE305" s="3693"/>
      <c r="AF305" s="3693">
        <v>1.2999999999999999E-4</v>
      </c>
      <c r="AG305" s="3693"/>
      <c r="AH305" s="3693"/>
    </row>
    <row r="306" spans="4:34" ht="20.100000000000001" customHeight="1">
      <c r="D306" s="2298"/>
      <c r="E306" s="2298"/>
      <c r="F306" s="2298"/>
      <c r="G306" s="2298"/>
      <c r="H306" s="2298"/>
      <c r="I306" s="3692" t="s">
        <v>784</v>
      </c>
      <c r="J306" s="3692"/>
      <c r="K306" s="3692"/>
      <c r="L306" s="3692"/>
      <c r="M306" s="3692"/>
      <c r="N306" s="3692"/>
      <c r="O306" s="3692" t="s">
        <v>805</v>
      </c>
      <c r="P306" s="3692"/>
      <c r="Q306" s="3692"/>
      <c r="R306" s="3692"/>
      <c r="S306" s="3692"/>
      <c r="T306" s="3692"/>
      <c r="U306" s="3692"/>
      <c r="V306" s="3692" t="s">
        <v>781</v>
      </c>
      <c r="W306" s="3692"/>
      <c r="X306" s="3692"/>
      <c r="Y306" s="3692"/>
      <c r="Z306" s="3692"/>
      <c r="AA306" s="3692"/>
      <c r="AB306" s="3692"/>
      <c r="AC306" s="3693">
        <v>1.9000000000000001E-4</v>
      </c>
      <c r="AD306" s="3693"/>
      <c r="AE306" s="3693"/>
      <c r="AF306" s="3693">
        <v>1.2999999999999999E-4</v>
      </c>
      <c r="AG306" s="3693"/>
      <c r="AH306" s="3693"/>
    </row>
    <row r="307" spans="4:34" ht="20.100000000000001" customHeight="1">
      <c r="D307" s="2298"/>
      <c r="E307" s="2298"/>
      <c r="F307" s="2298"/>
      <c r="G307" s="2298"/>
      <c r="H307" s="2298"/>
      <c r="I307" s="3692" t="s">
        <v>784</v>
      </c>
      <c r="J307" s="3692"/>
      <c r="K307" s="3692"/>
      <c r="L307" s="3692"/>
      <c r="M307" s="3692"/>
      <c r="N307" s="3692"/>
      <c r="O307" s="3692" t="s">
        <v>805</v>
      </c>
      <c r="P307" s="3692"/>
      <c r="Q307" s="3692"/>
      <c r="R307" s="3692"/>
      <c r="S307" s="3692"/>
      <c r="T307" s="3692"/>
      <c r="U307" s="3692"/>
      <c r="V307" s="3692" t="s">
        <v>782</v>
      </c>
      <c r="W307" s="3692"/>
      <c r="X307" s="3692"/>
      <c r="Y307" s="3692"/>
      <c r="Z307" s="3692"/>
      <c r="AA307" s="3692"/>
      <c r="AB307" s="3692"/>
      <c r="AC307" s="3693">
        <v>3.6000000000000002E-4</v>
      </c>
      <c r="AD307" s="3693"/>
      <c r="AE307" s="3693"/>
      <c r="AF307" s="3693">
        <v>1.2999999999999999E-4</v>
      </c>
      <c r="AG307" s="3693"/>
      <c r="AH307" s="3693"/>
    </row>
    <row r="308" spans="4:34" ht="20.100000000000001" customHeight="1">
      <c r="D308" s="2298"/>
      <c r="E308" s="2298"/>
      <c r="F308" s="2298"/>
      <c r="G308" s="2298"/>
      <c r="H308" s="2298"/>
      <c r="I308" s="3692" t="s">
        <v>786</v>
      </c>
      <c r="J308" s="3692"/>
      <c r="K308" s="3692"/>
      <c r="L308" s="3692"/>
      <c r="M308" s="3692"/>
      <c r="N308" s="3692"/>
      <c r="O308" s="3691" t="s">
        <v>807</v>
      </c>
      <c r="P308" s="3692"/>
      <c r="Q308" s="3692"/>
      <c r="R308" s="3692"/>
      <c r="S308" s="3692"/>
      <c r="T308" s="3692"/>
      <c r="U308" s="3692"/>
      <c r="V308" s="3692">
        <v>1</v>
      </c>
      <c r="W308" s="3692"/>
      <c r="X308" s="3692"/>
      <c r="Y308" s="3692"/>
      <c r="Z308" s="3692"/>
      <c r="AA308" s="3692"/>
      <c r="AB308" s="3692"/>
      <c r="AC308" s="3693">
        <v>1.3999999999999999E-4</v>
      </c>
      <c r="AD308" s="3693"/>
      <c r="AE308" s="3693"/>
      <c r="AF308" s="3693">
        <v>1.2999999999999999E-4</v>
      </c>
      <c r="AG308" s="3693"/>
      <c r="AH308" s="3693"/>
    </row>
    <row r="309" spans="4:34" ht="20.100000000000001" customHeight="1">
      <c r="D309" s="2298"/>
      <c r="E309" s="2298"/>
      <c r="F309" s="2298"/>
      <c r="G309" s="2298"/>
      <c r="H309" s="2298"/>
      <c r="I309" s="3692" t="s">
        <v>786</v>
      </c>
      <c r="J309" s="3692"/>
      <c r="K309" s="3692"/>
      <c r="L309" s="3692"/>
      <c r="M309" s="3692"/>
      <c r="N309" s="3692"/>
      <c r="O309" s="3691" t="s">
        <v>808</v>
      </c>
      <c r="P309" s="3692"/>
      <c r="Q309" s="3692"/>
      <c r="R309" s="3692"/>
      <c r="S309" s="3692"/>
      <c r="T309" s="3692"/>
      <c r="U309" s="3692"/>
      <c r="V309" s="3692" t="s">
        <v>809</v>
      </c>
      <c r="W309" s="3692"/>
      <c r="X309" s="3692"/>
      <c r="Y309" s="3692"/>
      <c r="Z309" s="3692"/>
      <c r="AA309" s="3692"/>
      <c r="AB309" s="3692"/>
      <c r="AC309" s="3693">
        <v>1.9000000000000001E-4</v>
      </c>
      <c r="AD309" s="3693"/>
      <c r="AE309" s="3693"/>
      <c r="AF309" s="3693">
        <v>1.8000000000000001E-4</v>
      </c>
      <c r="AG309" s="3693"/>
      <c r="AH309" s="3693"/>
    </row>
  </sheetData>
  <mergeCells count="2327">
    <mergeCell ref="BB274:BE274"/>
    <mergeCell ref="BF272:BI272"/>
    <mergeCell ref="BJ272:BL272"/>
    <mergeCell ref="BM272:BP272"/>
    <mergeCell ref="BQ272:BT272"/>
    <mergeCell ref="AL273:AM273"/>
    <mergeCell ref="AN273:AP273"/>
    <mergeCell ref="AQ273:AT273"/>
    <mergeCell ref="AU273:AX273"/>
    <mergeCell ref="AY273:BA273"/>
    <mergeCell ref="BB271:BE271"/>
    <mergeCell ref="BI276:BN276"/>
    <mergeCell ref="BF273:BI273"/>
    <mergeCell ref="BJ273:BL273"/>
    <mergeCell ref="BM273:BP273"/>
    <mergeCell ref="BQ273:BT273"/>
    <mergeCell ref="AL274:AM274"/>
    <mergeCell ref="AN274:AP274"/>
    <mergeCell ref="AQ274:AT274"/>
    <mergeCell ref="AU274:AX274"/>
    <mergeCell ref="AY274:BA274"/>
    <mergeCell ref="BO276:BT276"/>
    <mergeCell ref="BF274:BI274"/>
    <mergeCell ref="BJ274:BL274"/>
    <mergeCell ref="BM274:BP274"/>
    <mergeCell ref="BQ274:BT274"/>
    <mergeCell ref="AL275:BT275"/>
    <mergeCell ref="AL276:AP276"/>
    <mergeCell ref="AQ276:AV276"/>
    <mergeCell ref="AW276:BB276"/>
    <mergeCell ref="BC276:BH276"/>
    <mergeCell ref="BB273:BE273"/>
    <mergeCell ref="BB272:BE272"/>
    <mergeCell ref="BF270:BI270"/>
    <mergeCell ref="BJ270:BL270"/>
    <mergeCell ref="BM270:BP270"/>
    <mergeCell ref="BQ270:BT270"/>
    <mergeCell ref="AL271:AM271"/>
    <mergeCell ref="AN271:AP271"/>
    <mergeCell ref="AQ271:AT271"/>
    <mergeCell ref="AU271:AX271"/>
    <mergeCell ref="AY271:BA271"/>
    <mergeCell ref="BF271:BI271"/>
    <mergeCell ref="BJ271:BL271"/>
    <mergeCell ref="BM271:BP271"/>
    <mergeCell ref="BQ271:BT271"/>
    <mergeCell ref="AL272:AM272"/>
    <mergeCell ref="AN272:AP272"/>
    <mergeCell ref="AQ272:AT272"/>
    <mergeCell ref="AU272:AX272"/>
    <mergeCell ref="AY272:BA272"/>
    <mergeCell ref="AL265:AP265"/>
    <mergeCell ref="AQ265:AV265"/>
    <mergeCell ref="AW265:BB265"/>
    <mergeCell ref="BC265:BH265"/>
    <mergeCell ref="BI265:BN265"/>
    <mergeCell ref="BO265:BT265"/>
    <mergeCell ref="BO267:BT267"/>
    <mergeCell ref="AL266:AP266"/>
    <mergeCell ref="AQ266:AV266"/>
    <mergeCell ref="AW266:BB266"/>
    <mergeCell ref="BC266:BH266"/>
    <mergeCell ref="BI266:BN266"/>
    <mergeCell ref="BO266:BT266"/>
    <mergeCell ref="BB270:BE270"/>
    <mergeCell ref="AL267:AP267"/>
    <mergeCell ref="AQ267:AV267"/>
    <mergeCell ref="AW267:BB267"/>
    <mergeCell ref="BC267:BH267"/>
    <mergeCell ref="BI267:BN267"/>
    <mergeCell ref="AL268:BT268"/>
    <mergeCell ref="AL269:AM270"/>
    <mergeCell ref="AN269:AX269"/>
    <mergeCell ref="AY269:BI269"/>
    <mergeCell ref="BJ269:BT269"/>
    <mergeCell ref="AN270:AP270"/>
    <mergeCell ref="AQ270:AT270"/>
    <mergeCell ref="AU270:AX270"/>
    <mergeCell ref="AY270:BA270"/>
    <mergeCell ref="AL262:AP262"/>
    <mergeCell ref="AQ262:AV262"/>
    <mergeCell ref="AW262:BB262"/>
    <mergeCell ref="BC262:BH262"/>
    <mergeCell ref="BI262:BN262"/>
    <mergeCell ref="BO262:BT262"/>
    <mergeCell ref="AL263:AP263"/>
    <mergeCell ref="AQ263:AV263"/>
    <mergeCell ref="AW263:BB263"/>
    <mergeCell ref="BC263:BH263"/>
    <mergeCell ref="BI263:BN263"/>
    <mergeCell ref="BO263:BT263"/>
    <mergeCell ref="AL264:AP264"/>
    <mergeCell ref="AQ264:AV264"/>
    <mergeCell ref="AW264:BB264"/>
    <mergeCell ref="BC264:BH264"/>
    <mergeCell ref="BI264:BN264"/>
    <mergeCell ref="BO264:BT264"/>
    <mergeCell ref="AL242:BT242"/>
    <mergeCell ref="AL243:AP243"/>
    <mergeCell ref="AQ243:AV243"/>
    <mergeCell ref="AW243:BB243"/>
    <mergeCell ref="BC243:BH243"/>
    <mergeCell ref="BI243:BN243"/>
    <mergeCell ref="BO243:BT243"/>
    <mergeCell ref="AL259:AM259"/>
    <mergeCell ref="AN259:AQ259"/>
    <mergeCell ref="AR259:BN259"/>
    <mergeCell ref="AL260:BT260"/>
    <mergeCell ref="AL261:AP261"/>
    <mergeCell ref="AQ261:AV261"/>
    <mergeCell ref="AW261:BB261"/>
    <mergeCell ref="BC261:BH261"/>
    <mergeCell ref="BI261:BN261"/>
    <mergeCell ref="BO261:BT261"/>
    <mergeCell ref="AL240:AM240"/>
    <mergeCell ref="AN240:AP240"/>
    <mergeCell ref="AQ240:AT240"/>
    <mergeCell ref="AU240:AX240"/>
    <mergeCell ref="AY240:BA240"/>
    <mergeCell ref="BB240:BE240"/>
    <mergeCell ref="BF240:BI240"/>
    <mergeCell ref="BJ240:BL240"/>
    <mergeCell ref="BM240:BP240"/>
    <mergeCell ref="BQ240:BT240"/>
    <mergeCell ref="AL241:AM241"/>
    <mergeCell ref="AN241:AP241"/>
    <mergeCell ref="AQ241:AT241"/>
    <mergeCell ref="AU241:AX241"/>
    <mergeCell ref="AY241:BA241"/>
    <mergeCell ref="BB241:BE241"/>
    <mergeCell ref="BF241:BI241"/>
    <mergeCell ref="BJ241:BL241"/>
    <mergeCell ref="BM241:BP241"/>
    <mergeCell ref="BQ241:BT241"/>
    <mergeCell ref="AL238:AM238"/>
    <mergeCell ref="AN238:AP238"/>
    <mergeCell ref="AQ238:AT238"/>
    <mergeCell ref="AU238:AX238"/>
    <mergeCell ref="AY238:BA238"/>
    <mergeCell ref="BB238:BE238"/>
    <mergeCell ref="BF238:BI238"/>
    <mergeCell ref="BJ238:BL238"/>
    <mergeCell ref="BM238:BP238"/>
    <mergeCell ref="BQ238:BT238"/>
    <mergeCell ref="AL239:AM239"/>
    <mergeCell ref="AN239:AP239"/>
    <mergeCell ref="AQ239:AT239"/>
    <mergeCell ref="AU239:AX239"/>
    <mergeCell ref="AY239:BA239"/>
    <mergeCell ref="BB239:BE239"/>
    <mergeCell ref="BF239:BI239"/>
    <mergeCell ref="BJ239:BL239"/>
    <mergeCell ref="BM239:BP239"/>
    <mergeCell ref="BQ239:BT239"/>
    <mergeCell ref="AL233:AP233"/>
    <mergeCell ref="AQ233:AV233"/>
    <mergeCell ref="AW233:BB233"/>
    <mergeCell ref="BC233:BH233"/>
    <mergeCell ref="BI233:BN233"/>
    <mergeCell ref="BO233:BT233"/>
    <mergeCell ref="AL234:AP234"/>
    <mergeCell ref="AQ234:AV234"/>
    <mergeCell ref="AW234:BB234"/>
    <mergeCell ref="BC234:BH234"/>
    <mergeCell ref="BI234:BN234"/>
    <mergeCell ref="BO234:BT234"/>
    <mergeCell ref="AL235:BT235"/>
    <mergeCell ref="AL236:AM237"/>
    <mergeCell ref="AN236:AX236"/>
    <mergeCell ref="AY236:BI236"/>
    <mergeCell ref="BJ236:BT236"/>
    <mergeCell ref="AN237:AP237"/>
    <mergeCell ref="AQ237:AT237"/>
    <mergeCell ref="AU237:AX237"/>
    <mergeCell ref="AY237:BA237"/>
    <mergeCell ref="BB237:BE237"/>
    <mergeCell ref="BF237:BI237"/>
    <mergeCell ref="BJ237:BL237"/>
    <mergeCell ref="BM237:BP237"/>
    <mergeCell ref="BQ237:BT237"/>
    <mergeCell ref="AL230:AP230"/>
    <mergeCell ref="AQ230:AV230"/>
    <mergeCell ref="AW230:BB230"/>
    <mergeCell ref="BC230:BH230"/>
    <mergeCell ref="BI230:BN230"/>
    <mergeCell ref="BO230:BT230"/>
    <mergeCell ref="AL231:AP231"/>
    <mergeCell ref="AQ231:AV231"/>
    <mergeCell ref="AW231:BB231"/>
    <mergeCell ref="BC231:BH231"/>
    <mergeCell ref="BI231:BN231"/>
    <mergeCell ref="BO231:BT231"/>
    <mergeCell ref="AL232:AP232"/>
    <mergeCell ref="AQ232:AV232"/>
    <mergeCell ref="AW232:BB232"/>
    <mergeCell ref="BC232:BH232"/>
    <mergeCell ref="BI232:BN232"/>
    <mergeCell ref="BO232:BT232"/>
    <mergeCell ref="BA212:BJ212"/>
    <mergeCell ref="AL226:AM226"/>
    <mergeCell ref="AN226:AQ226"/>
    <mergeCell ref="AR226:BN226"/>
    <mergeCell ref="AL227:BT227"/>
    <mergeCell ref="AL228:AP228"/>
    <mergeCell ref="AQ228:AV228"/>
    <mergeCell ref="AW228:BB228"/>
    <mergeCell ref="BC228:BH228"/>
    <mergeCell ref="BI228:BN228"/>
    <mergeCell ref="BO228:BT228"/>
    <mergeCell ref="AL229:AP229"/>
    <mergeCell ref="AQ229:AV229"/>
    <mergeCell ref="AW229:BB229"/>
    <mergeCell ref="BC229:BH229"/>
    <mergeCell ref="BI229:BN229"/>
    <mergeCell ref="BO229:BT229"/>
    <mergeCell ref="BO48:BT48"/>
    <mergeCell ref="AL218:BT218"/>
    <mergeCell ref="AL219:AP219"/>
    <mergeCell ref="BP216:BT216"/>
    <mergeCell ref="AL217:AP217"/>
    <mergeCell ref="AQ217:AU217"/>
    <mergeCell ref="AV217:AZ217"/>
    <mergeCell ref="BA217:BE217"/>
    <mergeCell ref="BF217:BJ217"/>
    <mergeCell ref="BK217:BO217"/>
    <mergeCell ref="BP217:BT217"/>
    <mergeCell ref="AL202:AM202"/>
    <mergeCell ref="AN202:AQ202"/>
    <mergeCell ref="AR202:BK202"/>
    <mergeCell ref="AL203:BT203"/>
    <mergeCell ref="AL204:AV204"/>
    <mergeCell ref="AW204:BD204"/>
    <mergeCell ref="BE204:BL204"/>
    <mergeCell ref="BM204:BT204"/>
    <mergeCell ref="AQ213:AU213"/>
    <mergeCell ref="AV213:AZ213"/>
    <mergeCell ref="BA213:BE213"/>
    <mergeCell ref="BF213:BJ213"/>
    <mergeCell ref="BK213:BO213"/>
    <mergeCell ref="BP213:BT213"/>
    <mergeCell ref="AQ219:AV219"/>
    <mergeCell ref="AW219:BB219"/>
    <mergeCell ref="BC219:BH219"/>
    <mergeCell ref="BI219:BN219"/>
    <mergeCell ref="BO219:BT219"/>
    <mergeCell ref="AL212:AP213"/>
    <mergeCell ref="AQ212:AZ212"/>
    <mergeCell ref="BM36:BT36"/>
    <mergeCell ref="AL45:AP45"/>
    <mergeCell ref="AQ45:AU45"/>
    <mergeCell ref="BK212:BT212"/>
    <mergeCell ref="AQ215:AU215"/>
    <mergeCell ref="AV215:AZ215"/>
    <mergeCell ref="BA215:BE215"/>
    <mergeCell ref="BF215:BJ215"/>
    <mergeCell ref="BK215:BO215"/>
    <mergeCell ref="AV214:AZ214"/>
    <mergeCell ref="BA214:BE214"/>
    <mergeCell ref="BF214:BJ214"/>
    <mergeCell ref="BK214:BO214"/>
    <mergeCell ref="BP215:BT215"/>
    <mergeCell ref="AL214:AP214"/>
    <mergeCell ref="AQ214:AU214"/>
    <mergeCell ref="AL216:AP216"/>
    <mergeCell ref="AQ216:AU216"/>
    <mergeCell ref="AV216:AZ216"/>
    <mergeCell ref="BA216:BE216"/>
    <mergeCell ref="BF216:BJ216"/>
    <mergeCell ref="BK216:BO216"/>
    <mergeCell ref="AL215:AP215"/>
    <mergeCell ref="AL59:AV59"/>
    <mergeCell ref="AW59:BD59"/>
    <mergeCell ref="BE59:BL59"/>
    <mergeCell ref="BM59:BT59"/>
    <mergeCell ref="AL48:AP48"/>
    <mergeCell ref="AQ48:AV48"/>
    <mergeCell ref="AW48:BB48"/>
    <mergeCell ref="BC48:BH48"/>
    <mergeCell ref="BI48:BN48"/>
    <mergeCell ref="AW34:BD34"/>
    <mergeCell ref="BE34:BL34"/>
    <mergeCell ref="BM34:BT34"/>
    <mergeCell ref="AL32:BT32"/>
    <mergeCell ref="AL33:AV33"/>
    <mergeCell ref="AL31:AM31"/>
    <mergeCell ref="AN31:AQ31"/>
    <mergeCell ref="AR31:BK31"/>
    <mergeCell ref="AW33:BD33"/>
    <mergeCell ref="BE33:BL33"/>
    <mergeCell ref="BM33:BT33"/>
    <mergeCell ref="BP44:BT44"/>
    <mergeCell ref="AL43:AP43"/>
    <mergeCell ref="AQ43:AU43"/>
    <mergeCell ref="AV43:AZ43"/>
    <mergeCell ref="BA43:BE43"/>
    <mergeCell ref="BF43:BJ43"/>
    <mergeCell ref="AL37:AV37"/>
    <mergeCell ref="AW37:BD37"/>
    <mergeCell ref="BE37:BL37"/>
    <mergeCell ref="BM37:BT37"/>
    <mergeCell ref="AL38:AV38"/>
    <mergeCell ref="AW38:BD38"/>
    <mergeCell ref="BE38:BL38"/>
    <mergeCell ref="BM38:BT38"/>
    <mergeCell ref="AL35:AV35"/>
    <mergeCell ref="AW35:BD35"/>
    <mergeCell ref="BE35:BL35"/>
    <mergeCell ref="BM35:BT35"/>
    <mergeCell ref="AL36:AV36"/>
    <mergeCell ref="AW36:BD36"/>
    <mergeCell ref="BE36:BL36"/>
    <mergeCell ref="BE58:BL58"/>
    <mergeCell ref="BM58:BT58"/>
    <mergeCell ref="AL46:AP46"/>
    <mergeCell ref="AQ46:AU46"/>
    <mergeCell ref="AV46:AZ46"/>
    <mergeCell ref="BA46:BE46"/>
    <mergeCell ref="BF46:BJ46"/>
    <mergeCell ref="BK46:BO46"/>
    <mergeCell ref="AL57:BT57"/>
    <mergeCell ref="AL63:AV63"/>
    <mergeCell ref="AW63:BD63"/>
    <mergeCell ref="BE63:BL63"/>
    <mergeCell ref="BM63:BT63"/>
    <mergeCell ref="A3:F3"/>
    <mergeCell ref="F5:F25"/>
    <mergeCell ref="BP43:BT43"/>
    <mergeCell ref="AL44:AP44"/>
    <mergeCell ref="AQ44:AU44"/>
    <mergeCell ref="AV44:AZ44"/>
    <mergeCell ref="BA44:BE44"/>
    <mergeCell ref="BF44:BJ44"/>
    <mergeCell ref="BK44:BO44"/>
    <mergeCell ref="AL39:AV39"/>
    <mergeCell ref="AW39:BD39"/>
    <mergeCell ref="BE39:BL39"/>
    <mergeCell ref="BM39:BT39"/>
    <mergeCell ref="AL40:BT40"/>
    <mergeCell ref="AL41:AP42"/>
    <mergeCell ref="AQ41:AZ41"/>
    <mergeCell ref="BA41:BJ41"/>
    <mergeCell ref="BK41:BT41"/>
    <mergeCell ref="AL34:AV34"/>
    <mergeCell ref="AL64:AV64"/>
    <mergeCell ref="AW64:BD64"/>
    <mergeCell ref="BE64:BL64"/>
    <mergeCell ref="BM64:BT64"/>
    <mergeCell ref="AL61:AV61"/>
    <mergeCell ref="AW61:BD61"/>
    <mergeCell ref="BE61:BL61"/>
    <mergeCell ref="BM61:BT61"/>
    <mergeCell ref="AL62:AV62"/>
    <mergeCell ref="AW62:BD62"/>
    <mergeCell ref="BE62:BL62"/>
    <mergeCell ref="BM62:BT62"/>
    <mergeCell ref="AQ42:AU42"/>
    <mergeCell ref="AV42:AZ42"/>
    <mergeCell ref="BA42:BE42"/>
    <mergeCell ref="BF42:BJ42"/>
    <mergeCell ref="BK42:BO42"/>
    <mergeCell ref="BP42:BT42"/>
    <mergeCell ref="AL60:AV60"/>
    <mergeCell ref="AW60:BD60"/>
    <mergeCell ref="BE60:BL60"/>
    <mergeCell ref="BM60:BT60"/>
    <mergeCell ref="AV45:AZ45"/>
    <mergeCell ref="BA45:BE45"/>
    <mergeCell ref="BF45:BJ45"/>
    <mergeCell ref="BK45:BO45"/>
    <mergeCell ref="BP45:BT45"/>
    <mergeCell ref="BK43:BO43"/>
    <mergeCell ref="BP46:BT46"/>
    <mergeCell ref="AL47:BT47"/>
    <mergeCell ref="AL58:AV58"/>
    <mergeCell ref="AW58:BD58"/>
    <mergeCell ref="BP67:BT67"/>
    <mergeCell ref="AL68:AP68"/>
    <mergeCell ref="AQ68:AU68"/>
    <mergeCell ref="AV68:AZ68"/>
    <mergeCell ref="BA68:BE68"/>
    <mergeCell ref="BF68:BJ68"/>
    <mergeCell ref="BK68:BO68"/>
    <mergeCell ref="BP68:BT68"/>
    <mergeCell ref="AL65:BT65"/>
    <mergeCell ref="AL66:AP67"/>
    <mergeCell ref="AQ66:AZ66"/>
    <mergeCell ref="BA66:BJ66"/>
    <mergeCell ref="BK66:BT66"/>
    <mergeCell ref="AQ67:AU67"/>
    <mergeCell ref="AV67:AZ67"/>
    <mergeCell ref="BA67:BE67"/>
    <mergeCell ref="BF67:BJ67"/>
    <mergeCell ref="BK67:BO67"/>
    <mergeCell ref="BP71:BT71"/>
    <mergeCell ref="AL72:BT72"/>
    <mergeCell ref="AL73:AP73"/>
    <mergeCell ref="AQ73:AV73"/>
    <mergeCell ref="AW73:BB73"/>
    <mergeCell ref="BC73:BH73"/>
    <mergeCell ref="BI73:BN73"/>
    <mergeCell ref="BO73:BT73"/>
    <mergeCell ref="AL71:AP71"/>
    <mergeCell ref="AQ71:AU71"/>
    <mergeCell ref="AV71:AZ71"/>
    <mergeCell ref="BA71:BE71"/>
    <mergeCell ref="BF71:BJ71"/>
    <mergeCell ref="BK71:BO71"/>
    <mergeCell ref="BP69:BT69"/>
    <mergeCell ref="AL70:AP70"/>
    <mergeCell ref="AQ70:AU70"/>
    <mergeCell ref="AV70:AZ70"/>
    <mergeCell ref="BA70:BE70"/>
    <mergeCell ref="BF70:BJ70"/>
    <mergeCell ref="BK70:BO70"/>
    <mergeCell ref="BP70:BT70"/>
    <mergeCell ref="AL69:AP69"/>
    <mergeCell ref="AQ69:AU69"/>
    <mergeCell ref="AV69:AZ69"/>
    <mergeCell ref="BA69:BE69"/>
    <mergeCell ref="BF69:BJ69"/>
    <mergeCell ref="BK69:BO69"/>
    <mergeCell ref="AQ83:AV83"/>
    <mergeCell ref="AW83:BB83"/>
    <mergeCell ref="BC83:BH83"/>
    <mergeCell ref="BI83:BN83"/>
    <mergeCell ref="BO83:BT83"/>
    <mergeCell ref="AL84:AP84"/>
    <mergeCell ref="AQ84:AV84"/>
    <mergeCell ref="AW84:BB84"/>
    <mergeCell ref="BC84:BH84"/>
    <mergeCell ref="BI84:BN84"/>
    <mergeCell ref="AL82:BT82"/>
    <mergeCell ref="AL177:AM177"/>
    <mergeCell ref="AN177:AQ177"/>
    <mergeCell ref="AR177:BK177"/>
    <mergeCell ref="AL178:BT178"/>
    <mergeCell ref="AL179:AV179"/>
    <mergeCell ref="AW179:BD179"/>
    <mergeCell ref="BE179:BL179"/>
    <mergeCell ref="BM179:BT179"/>
    <mergeCell ref="AL83:AP83"/>
    <mergeCell ref="AL87:AP87"/>
    <mergeCell ref="AQ87:AV87"/>
    <mergeCell ref="AW87:BB87"/>
    <mergeCell ref="BC87:BH87"/>
    <mergeCell ref="BI87:BN87"/>
    <mergeCell ref="BO87:BT87"/>
    <mergeCell ref="AL86:AP86"/>
    <mergeCell ref="AQ86:AV86"/>
    <mergeCell ref="AW86:BB86"/>
    <mergeCell ref="BC86:BH86"/>
    <mergeCell ref="BI86:BN86"/>
    <mergeCell ref="BO86:BT86"/>
    <mergeCell ref="BO84:BT84"/>
    <mergeCell ref="AL85:AP85"/>
    <mergeCell ref="AQ85:AV85"/>
    <mergeCell ref="AW85:BB85"/>
    <mergeCell ref="BC85:BH85"/>
    <mergeCell ref="BI85:BN85"/>
    <mergeCell ref="BO85:BT85"/>
    <mergeCell ref="BQ92:BT92"/>
    <mergeCell ref="AL93:AM93"/>
    <mergeCell ref="AN93:AP93"/>
    <mergeCell ref="AQ93:AT93"/>
    <mergeCell ref="AU93:AX93"/>
    <mergeCell ref="AY93:BA93"/>
    <mergeCell ref="BB93:BE93"/>
    <mergeCell ref="BF93:BI93"/>
    <mergeCell ref="BJ93:BL93"/>
    <mergeCell ref="BM91:BP91"/>
    <mergeCell ref="BQ91:BT91"/>
    <mergeCell ref="AL92:AM92"/>
    <mergeCell ref="AN92:AP92"/>
    <mergeCell ref="AQ92:AT92"/>
    <mergeCell ref="AU92:AX92"/>
    <mergeCell ref="AY92:BA92"/>
    <mergeCell ref="BB92:BE92"/>
    <mergeCell ref="BF92:BI92"/>
    <mergeCell ref="BJ92:BL92"/>
    <mergeCell ref="AN91:AP91"/>
    <mergeCell ref="AQ91:AT91"/>
    <mergeCell ref="AU91:AX91"/>
    <mergeCell ref="AY91:BA91"/>
    <mergeCell ref="BB91:BE91"/>
    <mergeCell ref="BF91:BI91"/>
    <mergeCell ref="BJ91:BL91"/>
    <mergeCell ref="AL89:BT89"/>
    <mergeCell ref="AL90:AM91"/>
    <mergeCell ref="AN90:AX90"/>
    <mergeCell ref="AY90:BI90"/>
    <mergeCell ref="BJ90:BT90"/>
    <mergeCell ref="AL95:AM95"/>
    <mergeCell ref="AN95:AP95"/>
    <mergeCell ref="AQ95:AT95"/>
    <mergeCell ref="AU95:AX95"/>
    <mergeCell ref="AY95:BA95"/>
    <mergeCell ref="AL88:AP88"/>
    <mergeCell ref="AQ88:AV88"/>
    <mergeCell ref="AW88:BB88"/>
    <mergeCell ref="BC88:BH88"/>
    <mergeCell ref="BI88:BN88"/>
    <mergeCell ref="BO88:BT88"/>
    <mergeCell ref="BM94:BP94"/>
    <mergeCell ref="BQ94:BT94"/>
    <mergeCell ref="BB95:BE95"/>
    <mergeCell ref="BF95:BI95"/>
    <mergeCell ref="BJ95:BL95"/>
    <mergeCell ref="BM93:BP93"/>
    <mergeCell ref="BQ93:BT93"/>
    <mergeCell ref="AL94:AM94"/>
    <mergeCell ref="AN94:AP94"/>
    <mergeCell ref="AQ94:AT94"/>
    <mergeCell ref="AU94:AX94"/>
    <mergeCell ref="AY94:BA94"/>
    <mergeCell ref="BB94:BE94"/>
    <mergeCell ref="BF94:BI94"/>
    <mergeCell ref="BJ94:BL94"/>
    <mergeCell ref="BM92:BP92"/>
    <mergeCell ref="AL112:AM112"/>
    <mergeCell ref="AN112:AQ112"/>
    <mergeCell ref="AR112:BN112"/>
    <mergeCell ref="AL113:BT113"/>
    <mergeCell ref="AL114:AP114"/>
    <mergeCell ref="AQ114:AV114"/>
    <mergeCell ref="AW114:BB114"/>
    <mergeCell ref="BC114:BH114"/>
    <mergeCell ref="BI114:BN114"/>
    <mergeCell ref="BO114:BT114"/>
    <mergeCell ref="BM95:BP95"/>
    <mergeCell ref="BQ95:BT95"/>
    <mergeCell ref="AL96:BT96"/>
    <mergeCell ref="AL97:AP97"/>
    <mergeCell ref="AQ97:AV97"/>
    <mergeCell ref="AW97:BB97"/>
    <mergeCell ref="BC97:BH97"/>
    <mergeCell ref="BI97:BN97"/>
    <mergeCell ref="BO97:BT97"/>
    <mergeCell ref="AL117:AP117"/>
    <mergeCell ref="AQ117:AV117"/>
    <mergeCell ref="AW117:BB117"/>
    <mergeCell ref="BC117:BH117"/>
    <mergeCell ref="BI117:BN117"/>
    <mergeCell ref="BO117:BT117"/>
    <mergeCell ref="AL116:AP116"/>
    <mergeCell ref="AQ116:AV116"/>
    <mergeCell ref="AW116:BB116"/>
    <mergeCell ref="BC116:BH116"/>
    <mergeCell ref="BI116:BN116"/>
    <mergeCell ref="BO116:BT116"/>
    <mergeCell ref="AL115:AP115"/>
    <mergeCell ref="AQ115:AV115"/>
    <mergeCell ref="AW115:BB115"/>
    <mergeCell ref="BC115:BH115"/>
    <mergeCell ref="BI115:BN115"/>
    <mergeCell ref="BO115:BT115"/>
    <mergeCell ref="AL120:BT120"/>
    <mergeCell ref="AL121:AM122"/>
    <mergeCell ref="AN121:AX121"/>
    <mergeCell ref="AY121:BI121"/>
    <mergeCell ref="BJ121:BT121"/>
    <mergeCell ref="AN122:AP122"/>
    <mergeCell ref="AQ122:AT122"/>
    <mergeCell ref="AU122:AX122"/>
    <mergeCell ref="AY122:BA122"/>
    <mergeCell ref="BB122:BE122"/>
    <mergeCell ref="AL119:AP119"/>
    <mergeCell ref="AQ119:AV119"/>
    <mergeCell ref="AW119:BB119"/>
    <mergeCell ref="BC119:BH119"/>
    <mergeCell ref="BI119:BN119"/>
    <mergeCell ref="BO119:BT119"/>
    <mergeCell ref="AL118:AP118"/>
    <mergeCell ref="AQ118:AV118"/>
    <mergeCell ref="AW118:BB118"/>
    <mergeCell ref="BC118:BH118"/>
    <mergeCell ref="BI118:BN118"/>
    <mergeCell ref="BO118:BT118"/>
    <mergeCell ref="BF123:BI123"/>
    <mergeCell ref="BJ123:BL123"/>
    <mergeCell ref="BM123:BP123"/>
    <mergeCell ref="BQ123:BT123"/>
    <mergeCell ref="AL124:AM124"/>
    <mergeCell ref="AN124:AP124"/>
    <mergeCell ref="AQ124:AT124"/>
    <mergeCell ref="AU124:AX124"/>
    <mergeCell ref="AY124:BA124"/>
    <mergeCell ref="BB124:BE124"/>
    <mergeCell ref="BF122:BI122"/>
    <mergeCell ref="BJ122:BL122"/>
    <mergeCell ref="BM122:BP122"/>
    <mergeCell ref="BQ122:BT122"/>
    <mergeCell ref="AL123:AM123"/>
    <mergeCell ref="AN123:AP123"/>
    <mergeCell ref="AQ123:AT123"/>
    <mergeCell ref="AU123:AX123"/>
    <mergeCell ref="AY123:BA123"/>
    <mergeCell ref="BB123:BE123"/>
    <mergeCell ref="BF125:BI125"/>
    <mergeCell ref="BJ125:BL125"/>
    <mergeCell ref="BM125:BP125"/>
    <mergeCell ref="BQ125:BT125"/>
    <mergeCell ref="AL126:AM126"/>
    <mergeCell ref="AN126:AP126"/>
    <mergeCell ref="AQ126:AT126"/>
    <mergeCell ref="AU126:AX126"/>
    <mergeCell ref="AY126:BA126"/>
    <mergeCell ref="BB126:BE126"/>
    <mergeCell ref="BF124:BI124"/>
    <mergeCell ref="BJ124:BL124"/>
    <mergeCell ref="BM124:BP124"/>
    <mergeCell ref="BQ124:BT124"/>
    <mergeCell ref="AL125:AM125"/>
    <mergeCell ref="AN125:AP125"/>
    <mergeCell ref="AQ125:AT125"/>
    <mergeCell ref="AU125:AX125"/>
    <mergeCell ref="AY125:BA125"/>
    <mergeCell ref="BB125:BE125"/>
    <mergeCell ref="BO128:BT128"/>
    <mergeCell ref="AL184:AV184"/>
    <mergeCell ref="AW184:BD184"/>
    <mergeCell ref="BE184:BL184"/>
    <mergeCell ref="BM184:BT184"/>
    <mergeCell ref="AL185:AV185"/>
    <mergeCell ref="AW185:BD185"/>
    <mergeCell ref="BE185:BL185"/>
    <mergeCell ref="BM185:BT185"/>
    <mergeCell ref="AL180:AV180"/>
    <mergeCell ref="BF126:BI126"/>
    <mergeCell ref="BJ126:BL126"/>
    <mergeCell ref="BM126:BP126"/>
    <mergeCell ref="BQ126:BT126"/>
    <mergeCell ref="AL127:BT127"/>
    <mergeCell ref="AL128:AP128"/>
    <mergeCell ref="AQ128:AV128"/>
    <mergeCell ref="AW128:BB128"/>
    <mergeCell ref="BC128:BH128"/>
    <mergeCell ref="BI128:BN128"/>
    <mergeCell ref="BM182:BT182"/>
    <mergeCell ref="AL183:AV183"/>
    <mergeCell ref="AW183:BD183"/>
    <mergeCell ref="BE183:BL183"/>
    <mergeCell ref="BM183:BT183"/>
    <mergeCell ref="AL182:AV182"/>
    <mergeCell ref="AW182:BD182"/>
    <mergeCell ref="BE182:BL182"/>
    <mergeCell ref="AW180:BD180"/>
    <mergeCell ref="BE180:BL180"/>
    <mergeCell ref="BM180:BT180"/>
    <mergeCell ref="AL181:AV181"/>
    <mergeCell ref="BF192:BJ192"/>
    <mergeCell ref="BK192:BO192"/>
    <mergeCell ref="BP190:BT190"/>
    <mergeCell ref="AL191:AP191"/>
    <mergeCell ref="AQ191:AU191"/>
    <mergeCell ref="AV191:AZ191"/>
    <mergeCell ref="BA191:BE191"/>
    <mergeCell ref="BF191:BJ191"/>
    <mergeCell ref="BK191:BO191"/>
    <mergeCell ref="BP191:BT191"/>
    <mergeCell ref="AL190:AP190"/>
    <mergeCell ref="AQ190:AU190"/>
    <mergeCell ref="AV190:AZ190"/>
    <mergeCell ref="BA190:BE190"/>
    <mergeCell ref="BF190:BJ190"/>
    <mergeCell ref="BK190:BO190"/>
    <mergeCell ref="BP188:BT188"/>
    <mergeCell ref="AL189:AP189"/>
    <mergeCell ref="AQ189:AU189"/>
    <mergeCell ref="AV189:AZ189"/>
    <mergeCell ref="BA189:BE189"/>
    <mergeCell ref="BF189:BJ189"/>
    <mergeCell ref="BK189:BO189"/>
    <mergeCell ref="BP189:BT189"/>
    <mergeCell ref="AL187:AP188"/>
    <mergeCell ref="AQ187:AZ187"/>
    <mergeCell ref="BA187:BJ187"/>
    <mergeCell ref="BK187:BT187"/>
    <mergeCell ref="AQ188:AU188"/>
    <mergeCell ref="AV188:AZ188"/>
    <mergeCell ref="BA188:BE188"/>
    <mergeCell ref="BF188:BJ188"/>
    <mergeCell ref="BE209:BL209"/>
    <mergeCell ref="BM209:BT209"/>
    <mergeCell ref="I170:N170"/>
    <mergeCell ref="O170:U170"/>
    <mergeCell ref="V170:AB170"/>
    <mergeCell ref="AC170:AH170"/>
    <mergeCell ref="Z179:AJ179"/>
    <mergeCell ref="A178:AJ178"/>
    <mergeCell ref="AL207:AV207"/>
    <mergeCell ref="AW207:BD207"/>
    <mergeCell ref="BE207:BL207"/>
    <mergeCell ref="BM207:BT207"/>
    <mergeCell ref="AL208:AV208"/>
    <mergeCell ref="AW208:BD208"/>
    <mergeCell ref="BE208:BL208"/>
    <mergeCell ref="BM208:BT208"/>
    <mergeCell ref="AL205:AV205"/>
    <mergeCell ref="AW205:BD205"/>
    <mergeCell ref="BE205:BL205"/>
    <mergeCell ref="BM205:BT205"/>
    <mergeCell ref="AL206:AV206"/>
    <mergeCell ref="AW206:BD206"/>
    <mergeCell ref="BE206:BL206"/>
    <mergeCell ref="BM206:BT206"/>
    <mergeCell ref="BP192:BT192"/>
    <mergeCell ref="AL193:BT193"/>
    <mergeCell ref="AL194:AP194"/>
    <mergeCell ref="AQ194:AV194"/>
    <mergeCell ref="AW194:BB194"/>
    <mergeCell ref="BC194:BH194"/>
    <mergeCell ref="BI194:BN194"/>
    <mergeCell ref="BO194:BT194"/>
    <mergeCell ref="I169:N169"/>
    <mergeCell ref="O169:U169"/>
    <mergeCell ref="V169:AB169"/>
    <mergeCell ref="AC169:AH169"/>
    <mergeCell ref="I167:N167"/>
    <mergeCell ref="D290:H290"/>
    <mergeCell ref="I290:N290"/>
    <mergeCell ref="O290:U290"/>
    <mergeCell ref="V290:AB290"/>
    <mergeCell ref="AC290:AH290"/>
    <mergeCell ref="AE237:AJ237"/>
    <mergeCell ref="A250:AJ250"/>
    <mergeCell ref="Z284:AB284"/>
    <mergeCell ref="AC284:AE284"/>
    <mergeCell ref="AF284:AJ284"/>
    <mergeCell ref="AL209:AV209"/>
    <mergeCell ref="AW209:BD209"/>
    <mergeCell ref="AL192:AP192"/>
    <mergeCell ref="AQ192:AU192"/>
    <mergeCell ref="AV192:AZ192"/>
    <mergeCell ref="BA192:BE192"/>
    <mergeCell ref="AL186:BT186"/>
    <mergeCell ref="BK188:BO188"/>
    <mergeCell ref="AW181:BD181"/>
    <mergeCell ref="BE181:BL181"/>
    <mergeCell ref="BM181:BT181"/>
    <mergeCell ref="AL210:AV210"/>
    <mergeCell ref="AW210:BD210"/>
    <mergeCell ref="BE210:BL210"/>
    <mergeCell ref="BM210:BT210"/>
    <mergeCell ref="AL211:BT211"/>
    <mergeCell ref="BP214:BT214"/>
    <mergeCell ref="D164:H164"/>
    <mergeCell ref="I164:N164"/>
    <mergeCell ref="O164:U164"/>
    <mergeCell ref="V164:AB164"/>
    <mergeCell ref="AC164:AH164"/>
    <mergeCell ref="I162:N162"/>
    <mergeCell ref="O165:U165"/>
    <mergeCell ref="V165:AB165"/>
    <mergeCell ref="AC165:AH165"/>
    <mergeCell ref="I166:N166"/>
    <mergeCell ref="O166:U166"/>
    <mergeCell ref="V166:AB166"/>
    <mergeCell ref="AC166:AH166"/>
    <mergeCell ref="I165:N165"/>
    <mergeCell ref="AC167:AH167"/>
    <mergeCell ref="I168:N168"/>
    <mergeCell ref="O168:U168"/>
    <mergeCell ref="V168:AB168"/>
    <mergeCell ref="AC168:AH168"/>
    <mergeCell ref="AC155:AH155"/>
    <mergeCell ref="I154:N154"/>
    <mergeCell ref="D157:H157"/>
    <mergeCell ref="I157:N157"/>
    <mergeCell ref="O157:U157"/>
    <mergeCell ref="V157:AB157"/>
    <mergeCell ref="AC157:AH157"/>
    <mergeCell ref="D158:H162"/>
    <mergeCell ref="I158:N158"/>
    <mergeCell ref="O158:U158"/>
    <mergeCell ref="V158:AB158"/>
    <mergeCell ref="AC158:AH158"/>
    <mergeCell ref="AC159:AH159"/>
    <mergeCell ref="I160:N160"/>
    <mergeCell ref="O160:U160"/>
    <mergeCell ref="V160:AB160"/>
    <mergeCell ref="AC160:AH160"/>
    <mergeCell ref="I161:N161"/>
    <mergeCell ref="O161:U161"/>
    <mergeCell ref="V161:AB161"/>
    <mergeCell ref="AC161:AH161"/>
    <mergeCell ref="I159:N159"/>
    <mergeCell ref="O162:U162"/>
    <mergeCell ref="V162:AB162"/>
    <mergeCell ref="AC162:AH162"/>
    <mergeCell ref="AF285:AJ285"/>
    <mergeCell ref="AC294:AH294"/>
    <mergeCell ref="AC287:AJ287"/>
    <mergeCell ref="A286:AJ286"/>
    <mergeCell ref="A278:AJ278"/>
    <mergeCell ref="AE270:AJ270"/>
    <mergeCell ref="AE269:AJ269"/>
    <mergeCell ref="I292:N292"/>
    <mergeCell ref="O292:U292"/>
    <mergeCell ref="V292:AB292"/>
    <mergeCell ref="I294:N294"/>
    <mergeCell ref="A285:C285"/>
    <mergeCell ref="Z204:AJ204"/>
    <mergeCell ref="R284:T284"/>
    <mergeCell ref="U284:Y284"/>
    <mergeCell ref="D285:F285"/>
    <mergeCell ref="G285:I285"/>
    <mergeCell ref="R283:T283"/>
    <mergeCell ref="U283:Y283"/>
    <mergeCell ref="Z283:AB283"/>
    <mergeCell ref="AC283:AE283"/>
    <mergeCell ref="R285:T285"/>
    <mergeCell ref="U285:Y285"/>
    <mergeCell ref="Z285:AB285"/>
    <mergeCell ref="AC285:AE285"/>
    <mergeCell ref="J285:N285"/>
    <mergeCell ref="O285:Q285"/>
    <mergeCell ref="A284:C284"/>
    <mergeCell ref="D284:F284"/>
    <mergeCell ref="G284:I284"/>
    <mergeCell ref="J284:N284"/>
    <mergeCell ref="O284:Q284"/>
    <mergeCell ref="D296:H296"/>
    <mergeCell ref="I296:N296"/>
    <mergeCell ref="O296:U296"/>
    <mergeCell ref="V296:AB296"/>
    <mergeCell ref="AC296:AH296"/>
    <mergeCell ref="D291:H294"/>
    <mergeCell ref="I291:N291"/>
    <mergeCell ref="O291:U291"/>
    <mergeCell ref="V291:AB291"/>
    <mergeCell ref="AC291:AH291"/>
    <mergeCell ref="O294:U294"/>
    <mergeCell ref="V294:AB294"/>
    <mergeCell ref="AC292:AH292"/>
    <mergeCell ref="I293:N293"/>
    <mergeCell ref="O293:U293"/>
    <mergeCell ref="V293:AB293"/>
    <mergeCell ref="AC293:AH293"/>
    <mergeCell ref="O304:U304"/>
    <mergeCell ref="V304:AB304"/>
    <mergeCell ref="AC304:AH304"/>
    <mergeCell ref="O300:U300"/>
    <mergeCell ref="V300:AB300"/>
    <mergeCell ref="AC300:AH300"/>
    <mergeCell ref="I301:N301"/>
    <mergeCell ref="O301:U301"/>
    <mergeCell ref="V301:AB301"/>
    <mergeCell ref="AC301:AH301"/>
    <mergeCell ref="I299:N299"/>
    <mergeCell ref="O299:U299"/>
    <mergeCell ref="V299:AB299"/>
    <mergeCell ref="AC299:AH299"/>
    <mergeCell ref="D297:H301"/>
    <mergeCell ref="I297:N297"/>
    <mergeCell ref="O297:U297"/>
    <mergeCell ref="V297:AB297"/>
    <mergeCell ref="AC297:AH297"/>
    <mergeCell ref="I298:N298"/>
    <mergeCell ref="O298:U298"/>
    <mergeCell ref="V298:AB298"/>
    <mergeCell ref="AC298:AH298"/>
    <mergeCell ref="I300:N300"/>
    <mergeCell ref="I309:N309"/>
    <mergeCell ref="O309:U309"/>
    <mergeCell ref="V309:AB309"/>
    <mergeCell ref="AC309:AH309"/>
    <mergeCell ref="A287:D287"/>
    <mergeCell ref="E287:J287"/>
    <mergeCell ref="K287:P287"/>
    <mergeCell ref="Q287:W287"/>
    <mergeCell ref="X287:AB287"/>
    <mergeCell ref="I307:N307"/>
    <mergeCell ref="O307:U307"/>
    <mergeCell ref="V307:AB307"/>
    <mergeCell ref="AC307:AH307"/>
    <mergeCell ref="I308:N308"/>
    <mergeCell ref="O308:U308"/>
    <mergeCell ref="V308:AB308"/>
    <mergeCell ref="AC308:AH308"/>
    <mergeCell ref="I305:N305"/>
    <mergeCell ref="O305:U305"/>
    <mergeCell ref="V305:AB305"/>
    <mergeCell ref="AC305:AH305"/>
    <mergeCell ref="I306:N306"/>
    <mergeCell ref="O306:U306"/>
    <mergeCell ref="V306:AB306"/>
    <mergeCell ref="AC306:AH306"/>
    <mergeCell ref="D303:H303"/>
    <mergeCell ref="I303:N303"/>
    <mergeCell ref="O303:U303"/>
    <mergeCell ref="V303:AB303"/>
    <mergeCell ref="AC303:AH303"/>
    <mergeCell ref="D304:H309"/>
    <mergeCell ref="I304:N304"/>
    <mergeCell ref="A281:C281"/>
    <mergeCell ref="D281:F281"/>
    <mergeCell ref="G281:I281"/>
    <mergeCell ref="J281:N281"/>
    <mergeCell ref="O281:Q281"/>
    <mergeCell ref="R281:T281"/>
    <mergeCell ref="U281:Y281"/>
    <mergeCell ref="Z281:AB281"/>
    <mergeCell ref="AC281:AE281"/>
    <mergeCell ref="AF281:AJ281"/>
    <mergeCell ref="A282:AJ282"/>
    <mergeCell ref="A283:C283"/>
    <mergeCell ref="D283:F283"/>
    <mergeCell ref="G283:I283"/>
    <mergeCell ref="J283:N283"/>
    <mergeCell ref="O283:Q283"/>
    <mergeCell ref="AF283:AJ283"/>
    <mergeCell ref="A279:C279"/>
    <mergeCell ref="D279:F279"/>
    <mergeCell ref="G279:I279"/>
    <mergeCell ref="J279:N279"/>
    <mergeCell ref="O279:Q279"/>
    <mergeCell ref="R279:T279"/>
    <mergeCell ref="U279:Y279"/>
    <mergeCell ref="Z279:AB279"/>
    <mergeCell ref="AC279:AE279"/>
    <mergeCell ref="AF279:AJ279"/>
    <mergeCell ref="A280:C280"/>
    <mergeCell ref="D280:F280"/>
    <mergeCell ref="G280:I280"/>
    <mergeCell ref="J280:N280"/>
    <mergeCell ref="O280:Q280"/>
    <mergeCell ref="R280:T280"/>
    <mergeCell ref="U280:Y280"/>
    <mergeCell ref="Z280:AB280"/>
    <mergeCell ref="AC280:AE280"/>
    <mergeCell ref="AF280:AJ280"/>
    <mergeCell ref="A274:AJ274"/>
    <mergeCell ref="A275:C275"/>
    <mergeCell ref="D275:F275"/>
    <mergeCell ref="G275:I275"/>
    <mergeCell ref="J275:N275"/>
    <mergeCell ref="O275:Q275"/>
    <mergeCell ref="U275:Y275"/>
    <mergeCell ref="Z275:AB275"/>
    <mergeCell ref="AC275:AE275"/>
    <mergeCell ref="AF275:AJ275"/>
    <mergeCell ref="A276:C276"/>
    <mergeCell ref="D276:F276"/>
    <mergeCell ref="G276:I276"/>
    <mergeCell ref="J276:N276"/>
    <mergeCell ref="O276:Q276"/>
    <mergeCell ref="A277:C277"/>
    <mergeCell ref="D277:F277"/>
    <mergeCell ref="G277:I277"/>
    <mergeCell ref="J277:N277"/>
    <mergeCell ref="O277:Q277"/>
    <mergeCell ref="R275:T275"/>
    <mergeCell ref="R277:T277"/>
    <mergeCell ref="U277:Y277"/>
    <mergeCell ref="Z277:AB277"/>
    <mergeCell ref="AC277:AE277"/>
    <mergeCell ref="AF277:AJ277"/>
    <mergeCell ref="R276:T276"/>
    <mergeCell ref="U276:Y276"/>
    <mergeCell ref="Z276:AB276"/>
    <mergeCell ref="AC276:AE276"/>
    <mergeCell ref="AF276:AJ276"/>
    <mergeCell ref="A270:C270"/>
    <mergeCell ref="D270:H270"/>
    <mergeCell ref="I270:N270"/>
    <mergeCell ref="O270:S270"/>
    <mergeCell ref="T270:Y270"/>
    <mergeCell ref="Z270:AD270"/>
    <mergeCell ref="A271:AJ271"/>
    <mergeCell ref="A272:C273"/>
    <mergeCell ref="D272:N272"/>
    <mergeCell ref="O272:Y272"/>
    <mergeCell ref="Z272:AJ272"/>
    <mergeCell ref="D273:F273"/>
    <mergeCell ref="G273:I273"/>
    <mergeCell ref="J273:N273"/>
    <mergeCell ref="O273:Q273"/>
    <mergeCell ref="R273:T273"/>
    <mergeCell ref="U273:Y273"/>
    <mergeCell ref="Z273:AB273"/>
    <mergeCell ref="AC273:AE273"/>
    <mergeCell ref="AF273:AJ273"/>
    <mergeCell ref="A267:C267"/>
    <mergeCell ref="D267:F267"/>
    <mergeCell ref="G267:I267"/>
    <mergeCell ref="J267:N267"/>
    <mergeCell ref="O267:Q267"/>
    <mergeCell ref="R267:T267"/>
    <mergeCell ref="U267:Y267"/>
    <mergeCell ref="Z267:AB267"/>
    <mergeCell ref="AC267:AE267"/>
    <mergeCell ref="AF267:AJ267"/>
    <mergeCell ref="A268:C269"/>
    <mergeCell ref="D268:S268"/>
    <mergeCell ref="T268:AJ268"/>
    <mergeCell ref="D269:H269"/>
    <mergeCell ref="I269:N269"/>
    <mergeCell ref="O269:S269"/>
    <mergeCell ref="T269:Y269"/>
    <mergeCell ref="Z269:AD269"/>
    <mergeCell ref="A265:C265"/>
    <mergeCell ref="D265:F265"/>
    <mergeCell ref="G265:I265"/>
    <mergeCell ref="J265:N265"/>
    <mergeCell ref="O265:Q265"/>
    <mergeCell ref="R265:T265"/>
    <mergeCell ref="U265:Y265"/>
    <mergeCell ref="Z265:AB265"/>
    <mergeCell ref="AC265:AE265"/>
    <mergeCell ref="AF265:AJ265"/>
    <mergeCell ref="A266:C266"/>
    <mergeCell ref="D266:F266"/>
    <mergeCell ref="G266:I266"/>
    <mergeCell ref="J266:N266"/>
    <mergeCell ref="O266:Q266"/>
    <mergeCell ref="R266:T266"/>
    <mergeCell ref="U266:Y266"/>
    <mergeCell ref="Z266:AB266"/>
    <mergeCell ref="AC266:AE266"/>
    <mergeCell ref="AF266:AJ266"/>
    <mergeCell ref="A263:C263"/>
    <mergeCell ref="D263:F263"/>
    <mergeCell ref="G263:I263"/>
    <mergeCell ref="J263:N263"/>
    <mergeCell ref="O263:Q263"/>
    <mergeCell ref="R263:T263"/>
    <mergeCell ref="U263:Y263"/>
    <mergeCell ref="Z263:AB263"/>
    <mergeCell ref="AC263:AE263"/>
    <mergeCell ref="AF263:AJ263"/>
    <mergeCell ref="A264:C264"/>
    <mergeCell ref="D264:F264"/>
    <mergeCell ref="G264:I264"/>
    <mergeCell ref="J264:N264"/>
    <mergeCell ref="O264:Q264"/>
    <mergeCell ref="R264:T264"/>
    <mergeCell ref="U264:Y264"/>
    <mergeCell ref="Z264:AB264"/>
    <mergeCell ref="AC264:AE264"/>
    <mergeCell ref="AF264:AJ264"/>
    <mergeCell ref="A259:AJ259"/>
    <mergeCell ref="A260:C261"/>
    <mergeCell ref="D260:N260"/>
    <mergeCell ref="O260:Y260"/>
    <mergeCell ref="Z260:AJ260"/>
    <mergeCell ref="D261:F261"/>
    <mergeCell ref="G261:I261"/>
    <mergeCell ref="J261:N261"/>
    <mergeCell ref="O261:Q261"/>
    <mergeCell ref="R261:T261"/>
    <mergeCell ref="U261:Y261"/>
    <mergeCell ref="Z261:AB261"/>
    <mergeCell ref="AC261:AE261"/>
    <mergeCell ref="AF261:AJ261"/>
    <mergeCell ref="A262:C262"/>
    <mergeCell ref="D262:F262"/>
    <mergeCell ref="G262:I262"/>
    <mergeCell ref="J262:N262"/>
    <mergeCell ref="O262:Q262"/>
    <mergeCell ref="R262:T262"/>
    <mergeCell ref="U262:Y262"/>
    <mergeCell ref="Z262:AB262"/>
    <mergeCell ref="AC262:AE262"/>
    <mergeCell ref="AF262:AJ262"/>
    <mergeCell ref="A253:C253"/>
    <mergeCell ref="D253:F253"/>
    <mergeCell ref="G253:I253"/>
    <mergeCell ref="J253:N253"/>
    <mergeCell ref="O253:Q253"/>
    <mergeCell ref="R253:T253"/>
    <mergeCell ref="U253:Y253"/>
    <mergeCell ref="Z253:AB253"/>
    <mergeCell ref="AC253:AE253"/>
    <mergeCell ref="AF253:AJ253"/>
    <mergeCell ref="A254:AJ254"/>
    <mergeCell ref="A255:D255"/>
    <mergeCell ref="E255:J255"/>
    <mergeCell ref="K255:P255"/>
    <mergeCell ref="Q255:W255"/>
    <mergeCell ref="X255:AB255"/>
    <mergeCell ref="AC255:AJ255"/>
    <mergeCell ref="A251:C251"/>
    <mergeCell ref="D251:F251"/>
    <mergeCell ref="G251:I251"/>
    <mergeCell ref="J251:N251"/>
    <mergeCell ref="O251:Q251"/>
    <mergeCell ref="R251:T251"/>
    <mergeCell ref="U251:Y251"/>
    <mergeCell ref="Z251:AB251"/>
    <mergeCell ref="AC251:AE251"/>
    <mergeCell ref="AF251:AJ251"/>
    <mergeCell ref="A252:C252"/>
    <mergeCell ref="D252:F252"/>
    <mergeCell ref="G252:I252"/>
    <mergeCell ref="J252:N252"/>
    <mergeCell ref="O252:Q252"/>
    <mergeCell ref="R252:T252"/>
    <mergeCell ref="U252:Y252"/>
    <mergeCell ref="Z252:AB252"/>
    <mergeCell ref="AC252:AE252"/>
    <mergeCell ref="AF252:AJ252"/>
    <mergeCell ref="A248:C248"/>
    <mergeCell ref="D248:F248"/>
    <mergeCell ref="G248:I248"/>
    <mergeCell ref="J248:N248"/>
    <mergeCell ref="O248:Q248"/>
    <mergeCell ref="A249:C249"/>
    <mergeCell ref="D249:F249"/>
    <mergeCell ref="G249:I249"/>
    <mergeCell ref="J249:N249"/>
    <mergeCell ref="O249:Q249"/>
    <mergeCell ref="R247:T247"/>
    <mergeCell ref="R249:T249"/>
    <mergeCell ref="U249:Y249"/>
    <mergeCell ref="Z249:AB249"/>
    <mergeCell ref="AC249:AE249"/>
    <mergeCell ref="AF249:AJ249"/>
    <mergeCell ref="R248:T248"/>
    <mergeCell ref="U248:Y248"/>
    <mergeCell ref="Z248:AB248"/>
    <mergeCell ref="AC248:AE248"/>
    <mergeCell ref="AF248:AJ248"/>
    <mergeCell ref="A245:C245"/>
    <mergeCell ref="D245:F245"/>
    <mergeCell ref="G245:I245"/>
    <mergeCell ref="J245:N245"/>
    <mergeCell ref="O245:Q245"/>
    <mergeCell ref="R245:T245"/>
    <mergeCell ref="U245:Y245"/>
    <mergeCell ref="Z245:AB245"/>
    <mergeCell ref="AC245:AE245"/>
    <mergeCell ref="AF245:AJ245"/>
    <mergeCell ref="A246:AJ246"/>
    <mergeCell ref="A247:C247"/>
    <mergeCell ref="D247:F247"/>
    <mergeCell ref="G247:I247"/>
    <mergeCell ref="J247:N247"/>
    <mergeCell ref="O247:Q247"/>
    <mergeCell ref="U247:Y247"/>
    <mergeCell ref="Z247:AB247"/>
    <mergeCell ref="AC247:AE247"/>
    <mergeCell ref="AF247:AJ247"/>
    <mergeCell ref="A243:C243"/>
    <mergeCell ref="D243:F243"/>
    <mergeCell ref="G243:I243"/>
    <mergeCell ref="J243:N243"/>
    <mergeCell ref="O243:Q243"/>
    <mergeCell ref="R243:T243"/>
    <mergeCell ref="U243:Y243"/>
    <mergeCell ref="Z243:AB243"/>
    <mergeCell ref="AC243:AE243"/>
    <mergeCell ref="AF243:AJ243"/>
    <mergeCell ref="A244:C244"/>
    <mergeCell ref="D244:F244"/>
    <mergeCell ref="G244:I244"/>
    <mergeCell ref="J244:N244"/>
    <mergeCell ref="O244:Q244"/>
    <mergeCell ref="R244:T244"/>
    <mergeCell ref="U244:Y244"/>
    <mergeCell ref="Z244:AB244"/>
    <mergeCell ref="AC244:AE244"/>
    <mergeCell ref="AF244:AJ244"/>
    <mergeCell ref="A236:C237"/>
    <mergeCell ref="D236:S236"/>
    <mergeCell ref="T236:AJ236"/>
    <mergeCell ref="D237:H237"/>
    <mergeCell ref="I237:N237"/>
    <mergeCell ref="A238:C238"/>
    <mergeCell ref="D238:H238"/>
    <mergeCell ref="I238:N238"/>
    <mergeCell ref="O238:S238"/>
    <mergeCell ref="T238:Y238"/>
    <mergeCell ref="Z238:AD238"/>
    <mergeCell ref="O241:Q241"/>
    <mergeCell ref="O237:S237"/>
    <mergeCell ref="T237:Y237"/>
    <mergeCell ref="Z237:AD237"/>
    <mergeCell ref="R241:T241"/>
    <mergeCell ref="U241:Y241"/>
    <mergeCell ref="Z241:AB241"/>
    <mergeCell ref="AC241:AE241"/>
    <mergeCell ref="AF241:AJ241"/>
    <mergeCell ref="AE238:AJ238"/>
    <mergeCell ref="A239:AJ239"/>
    <mergeCell ref="A240:C241"/>
    <mergeCell ref="D240:N240"/>
    <mergeCell ref="O240:Y240"/>
    <mergeCell ref="Z240:AJ240"/>
    <mergeCell ref="D241:F241"/>
    <mergeCell ref="G241:I241"/>
    <mergeCell ref="J241:N241"/>
    <mergeCell ref="A234:C234"/>
    <mergeCell ref="D234:F234"/>
    <mergeCell ref="G234:I234"/>
    <mergeCell ref="J234:N234"/>
    <mergeCell ref="O234:Q234"/>
    <mergeCell ref="R234:T234"/>
    <mergeCell ref="U234:Y234"/>
    <mergeCell ref="Z234:AB234"/>
    <mergeCell ref="AC234:AE234"/>
    <mergeCell ref="AF234:AJ234"/>
    <mergeCell ref="A235:C235"/>
    <mergeCell ref="D235:F235"/>
    <mergeCell ref="G235:I235"/>
    <mergeCell ref="J235:N235"/>
    <mergeCell ref="O235:Q235"/>
    <mergeCell ref="R235:T235"/>
    <mergeCell ref="U235:Y235"/>
    <mergeCell ref="Z235:AB235"/>
    <mergeCell ref="AC235:AE235"/>
    <mergeCell ref="AF235:AJ235"/>
    <mergeCell ref="A232:C232"/>
    <mergeCell ref="D232:F232"/>
    <mergeCell ref="G232:I232"/>
    <mergeCell ref="J232:N232"/>
    <mergeCell ref="O232:Q232"/>
    <mergeCell ref="R232:T232"/>
    <mergeCell ref="U232:Y232"/>
    <mergeCell ref="Z232:AB232"/>
    <mergeCell ref="AC232:AE232"/>
    <mergeCell ref="AF232:AJ232"/>
    <mergeCell ref="A233:C233"/>
    <mergeCell ref="D233:F233"/>
    <mergeCell ref="G233:I233"/>
    <mergeCell ref="J233:N233"/>
    <mergeCell ref="O233:Q233"/>
    <mergeCell ref="R233:T233"/>
    <mergeCell ref="U233:Y233"/>
    <mergeCell ref="Z233:AB233"/>
    <mergeCell ref="AC233:AE233"/>
    <mergeCell ref="AF233:AJ233"/>
    <mergeCell ref="A230:C230"/>
    <mergeCell ref="D230:F230"/>
    <mergeCell ref="G230:I230"/>
    <mergeCell ref="J230:N230"/>
    <mergeCell ref="O230:Q230"/>
    <mergeCell ref="R230:T230"/>
    <mergeCell ref="U230:Y230"/>
    <mergeCell ref="Z230:AB230"/>
    <mergeCell ref="AC230:AE230"/>
    <mergeCell ref="AF230:AJ230"/>
    <mergeCell ref="A231:C231"/>
    <mergeCell ref="D231:F231"/>
    <mergeCell ref="G231:I231"/>
    <mergeCell ref="J231:N231"/>
    <mergeCell ref="O231:Q231"/>
    <mergeCell ref="R231:T231"/>
    <mergeCell ref="U231:Y231"/>
    <mergeCell ref="Z231:AB231"/>
    <mergeCell ref="AC231:AE231"/>
    <mergeCell ref="AF231:AJ231"/>
    <mergeCell ref="A222:C222"/>
    <mergeCell ref="D222:F222"/>
    <mergeCell ref="G222:I222"/>
    <mergeCell ref="J222:N222"/>
    <mergeCell ref="O222:Q222"/>
    <mergeCell ref="R222:T222"/>
    <mergeCell ref="U222:Y222"/>
    <mergeCell ref="Z222:AB222"/>
    <mergeCell ref="A242:AJ242"/>
    <mergeCell ref="AC222:AE222"/>
    <mergeCell ref="AF222:AJ222"/>
    <mergeCell ref="A223:AJ223"/>
    <mergeCell ref="A224:D224"/>
    <mergeCell ref="E224:J224"/>
    <mergeCell ref="K224:P224"/>
    <mergeCell ref="Q224:W224"/>
    <mergeCell ref="X224:AB224"/>
    <mergeCell ref="AC224:AJ224"/>
    <mergeCell ref="A227:AJ227"/>
    <mergeCell ref="A228:C229"/>
    <mergeCell ref="D228:N228"/>
    <mergeCell ref="O228:Y228"/>
    <mergeCell ref="Z228:AJ228"/>
    <mergeCell ref="D229:F229"/>
    <mergeCell ref="G229:I229"/>
    <mergeCell ref="J229:N229"/>
    <mergeCell ref="O229:Q229"/>
    <mergeCell ref="R229:T229"/>
    <mergeCell ref="U229:Y229"/>
    <mergeCell ref="Z229:AB229"/>
    <mergeCell ref="AC229:AE229"/>
    <mergeCell ref="AF229:AJ229"/>
    <mergeCell ref="A219:AJ219"/>
    <mergeCell ref="A220:C220"/>
    <mergeCell ref="D220:F220"/>
    <mergeCell ref="G220:I220"/>
    <mergeCell ref="J220:N220"/>
    <mergeCell ref="O220:Q220"/>
    <mergeCell ref="R220:T220"/>
    <mergeCell ref="U220:Y220"/>
    <mergeCell ref="Z220:AB220"/>
    <mergeCell ref="AC220:AE220"/>
    <mergeCell ref="AF220:AJ220"/>
    <mergeCell ref="A221:C221"/>
    <mergeCell ref="D221:F221"/>
    <mergeCell ref="G221:I221"/>
    <mergeCell ref="J221:N221"/>
    <mergeCell ref="O221:Q221"/>
    <mergeCell ref="R221:T221"/>
    <mergeCell ref="U221:Y221"/>
    <mergeCell ref="Z221:AB221"/>
    <mergeCell ref="AC221:AE221"/>
    <mergeCell ref="AF221:AJ221"/>
    <mergeCell ref="A217:C217"/>
    <mergeCell ref="D217:F217"/>
    <mergeCell ref="G217:I217"/>
    <mergeCell ref="J217:N217"/>
    <mergeCell ref="O217:Q217"/>
    <mergeCell ref="R217:T217"/>
    <mergeCell ref="U217:Y217"/>
    <mergeCell ref="Z217:AB217"/>
    <mergeCell ref="AC217:AE217"/>
    <mergeCell ref="AF217:AJ217"/>
    <mergeCell ref="A218:C218"/>
    <mergeCell ref="D218:F218"/>
    <mergeCell ref="G218:I218"/>
    <mergeCell ref="J218:N218"/>
    <mergeCell ref="O218:Q218"/>
    <mergeCell ref="R218:T218"/>
    <mergeCell ref="U218:Y218"/>
    <mergeCell ref="Z218:AB218"/>
    <mergeCell ref="AC218:AE218"/>
    <mergeCell ref="AF218:AJ218"/>
    <mergeCell ref="A212:AJ212"/>
    <mergeCell ref="A213:C214"/>
    <mergeCell ref="D213:N213"/>
    <mergeCell ref="O213:Y213"/>
    <mergeCell ref="Z213:AJ213"/>
    <mergeCell ref="D214:F214"/>
    <mergeCell ref="G214:I214"/>
    <mergeCell ref="J214:N214"/>
    <mergeCell ref="O214:Q214"/>
    <mergeCell ref="R214:T214"/>
    <mergeCell ref="U214:Y214"/>
    <mergeCell ref="Z214:AB214"/>
    <mergeCell ref="AC214:AE214"/>
    <mergeCell ref="AF214:AJ214"/>
    <mergeCell ref="A215:AJ215"/>
    <mergeCell ref="A216:C216"/>
    <mergeCell ref="D216:F216"/>
    <mergeCell ref="G216:I216"/>
    <mergeCell ref="J216:N216"/>
    <mergeCell ref="O216:Q216"/>
    <mergeCell ref="R216:T216"/>
    <mergeCell ref="U216:Y216"/>
    <mergeCell ref="Z216:AB216"/>
    <mergeCell ref="AC216:AE216"/>
    <mergeCell ref="AF216:AJ216"/>
    <mergeCell ref="A210:C210"/>
    <mergeCell ref="D210:F210"/>
    <mergeCell ref="G210:I210"/>
    <mergeCell ref="J210:N210"/>
    <mergeCell ref="O210:Q210"/>
    <mergeCell ref="R210:T210"/>
    <mergeCell ref="U210:Y210"/>
    <mergeCell ref="Z210:AB210"/>
    <mergeCell ref="AC210:AE210"/>
    <mergeCell ref="AF210:AJ210"/>
    <mergeCell ref="A211:C211"/>
    <mergeCell ref="D211:F211"/>
    <mergeCell ref="G211:I211"/>
    <mergeCell ref="J211:N211"/>
    <mergeCell ref="O211:Q211"/>
    <mergeCell ref="R211:T211"/>
    <mergeCell ref="U211:Y211"/>
    <mergeCell ref="Z211:AB211"/>
    <mergeCell ref="AC211:AE211"/>
    <mergeCell ref="AF211:AJ211"/>
    <mergeCell ref="A208:C208"/>
    <mergeCell ref="D208:F208"/>
    <mergeCell ref="G208:I208"/>
    <mergeCell ref="J208:N208"/>
    <mergeCell ref="O208:Q208"/>
    <mergeCell ref="R208:T208"/>
    <mergeCell ref="U208:Y208"/>
    <mergeCell ref="Z208:AB208"/>
    <mergeCell ref="AC208:AE208"/>
    <mergeCell ref="AF208:AJ208"/>
    <mergeCell ref="A209:C209"/>
    <mergeCell ref="D209:F209"/>
    <mergeCell ref="G209:I209"/>
    <mergeCell ref="J209:N209"/>
    <mergeCell ref="O209:Q209"/>
    <mergeCell ref="R209:T209"/>
    <mergeCell ref="U209:Y209"/>
    <mergeCell ref="Z209:AB209"/>
    <mergeCell ref="AC209:AE209"/>
    <mergeCell ref="AF209:AJ209"/>
    <mergeCell ref="A206:C206"/>
    <mergeCell ref="D206:F206"/>
    <mergeCell ref="G206:I206"/>
    <mergeCell ref="J206:N206"/>
    <mergeCell ref="O206:Q206"/>
    <mergeCell ref="R206:T206"/>
    <mergeCell ref="U206:Y206"/>
    <mergeCell ref="Z206:AB206"/>
    <mergeCell ref="AC206:AE206"/>
    <mergeCell ref="AF206:AJ206"/>
    <mergeCell ref="A207:C207"/>
    <mergeCell ref="D207:F207"/>
    <mergeCell ref="G207:I207"/>
    <mergeCell ref="J207:N207"/>
    <mergeCell ref="O207:Q207"/>
    <mergeCell ref="R207:T207"/>
    <mergeCell ref="U207:Y207"/>
    <mergeCell ref="Z207:AB207"/>
    <mergeCell ref="AC207:AE207"/>
    <mergeCell ref="AF207:AJ207"/>
    <mergeCell ref="B200:F200"/>
    <mergeCell ref="G200:Q200"/>
    <mergeCell ref="Z200:AH200"/>
    <mergeCell ref="G201:U201"/>
    <mergeCell ref="A203:AJ203"/>
    <mergeCell ref="A204:C205"/>
    <mergeCell ref="D204:N204"/>
    <mergeCell ref="O204:Y204"/>
    <mergeCell ref="D205:F205"/>
    <mergeCell ref="G205:I205"/>
    <mergeCell ref="J205:N205"/>
    <mergeCell ref="O205:Q205"/>
    <mergeCell ref="R205:T205"/>
    <mergeCell ref="U205:Y205"/>
    <mergeCell ref="Z205:AB205"/>
    <mergeCell ref="AC205:AE205"/>
    <mergeCell ref="AF205:AJ205"/>
    <mergeCell ref="A197:C197"/>
    <mergeCell ref="D197:F197"/>
    <mergeCell ref="G197:I197"/>
    <mergeCell ref="J197:N197"/>
    <mergeCell ref="O197:Q197"/>
    <mergeCell ref="R197:T197"/>
    <mergeCell ref="U197:Y197"/>
    <mergeCell ref="Z197:AB197"/>
    <mergeCell ref="AC197:AE197"/>
    <mergeCell ref="AF197:AJ197"/>
    <mergeCell ref="A198:AJ198"/>
    <mergeCell ref="A199:D199"/>
    <mergeCell ref="E199:J199"/>
    <mergeCell ref="K199:P199"/>
    <mergeCell ref="Q199:W199"/>
    <mergeCell ref="X199:AB199"/>
    <mergeCell ref="AC199:AJ199"/>
    <mergeCell ref="A194:AJ194"/>
    <mergeCell ref="A195:C195"/>
    <mergeCell ref="D195:F195"/>
    <mergeCell ref="G195:I195"/>
    <mergeCell ref="J195:N195"/>
    <mergeCell ref="O195:Q195"/>
    <mergeCell ref="R195:T195"/>
    <mergeCell ref="U195:Y195"/>
    <mergeCell ref="Z195:AB195"/>
    <mergeCell ref="AC195:AE195"/>
    <mergeCell ref="AF195:AJ195"/>
    <mergeCell ref="A196:C196"/>
    <mergeCell ref="D196:F196"/>
    <mergeCell ref="G196:I196"/>
    <mergeCell ref="J196:N196"/>
    <mergeCell ref="O196:Q196"/>
    <mergeCell ref="R196:T196"/>
    <mergeCell ref="U196:Y196"/>
    <mergeCell ref="Z196:AB196"/>
    <mergeCell ref="AC196:AE196"/>
    <mergeCell ref="AF196:AJ196"/>
    <mergeCell ref="A192:C192"/>
    <mergeCell ref="D192:F192"/>
    <mergeCell ref="G192:I192"/>
    <mergeCell ref="J192:N192"/>
    <mergeCell ref="O192:Q192"/>
    <mergeCell ref="R192:T192"/>
    <mergeCell ref="U192:Y192"/>
    <mergeCell ref="Z192:AB192"/>
    <mergeCell ref="AC192:AE192"/>
    <mergeCell ref="AF192:AJ192"/>
    <mergeCell ref="A193:C193"/>
    <mergeCell ref="D193:F193"/>
    <mergeCell ref="G193:I193"/>
    <mergeCell ref="J193:N193"/>
    <mergeCell ref="O193:Q193"/>
    <mergeCell ref="R193:T193"/>
    <mergeCell ref="U193:Y193"/>
    <mergeCell ref="Z193:AB193"/>
    <mergeCell ref="AC193:AE193"/>
    <mergeCell ref="AF193:AJ193"/>
    <mergeCell ref="A187:AJ187"/>
    <mergeCell ref="A188:C189"/>
    <mergeCell ref="D188:N188"/>
    <mergeCell ref="O188:Y188"/>
    <mergeCell ref="Z188:AJ188"/>
    <mergeCell ref="D189:F189"/>
    <mergeCell ref="G189:I189"/>
    <mergeCell ref="J189:N189"/>
    <mergeCell ref="O189:Q189"/>
    <mergeCell ref="R189:T189"/>
    <mergeCell ref="U189:Y189"/>
    <mergeCell ref="Z189:AB189"/>
    <mergeCell ref="AC189:AE189"/>
    <mergeCell ref="AF189:AJ189"/>
    <mergeCell ref="A190:AJ190"/>
    <mergeCell ref="A191:C191"/>
    <mergeCell ref="D191:F191"/>
    <mergeCell ref="G191:I191"/>
    <mergeCell ref="J191:N191"/>
    <mergeCell ref="O191:Q191"/>
    <mergeCell ref="R191:T191"/>
    <mergeCell ref="U191:Y191"/>
    <mergeCell ref="Z191:AB191"/>
    <mergeCell ref="AC191:AE191"/>
    <mergeCell ref="AF191:AJ191"/>
    <mergeCell ref="A185:C185"/>
    <mergeCell ref="D185:F185"/>
    <mergeCell ref="G185:I185"/>
    <mergeCell ref="J185:N185"/>
    <mergeCell ref="O185:Q185"/>
    <mergeCell ref="R185:T185"/>
    <mergeCell ref="U185:Y185"/>
    <mergeCell ref="Z185:AB185"/>
    <mergeCell ref="AC185:AE185"/>
    <mergeCell ref="AF185:AJ185"/>
    <mergeCell ref="A186:C186"/>
    <mergeCell ref="D186:F186"/>
    <mergeCell ref="G186:I186"/>
    <mergeCell ref="J186:N186"/>
    <mergeCell ref="O186:Q186"/>
    <mergeCell ref="R186:T186"/>
    <mergeCell ref="U186:Y186"/>
    <mergeCell ref="Z186:AB186"/>
    <mergeCell ref="AC186:AE186"/>
    <mergeCell ref="AF186:AJ186"/>
    <mergeCell ref="A183:C183"/>
    <mergeCell ref="D183:F183"/>
    <mergeCell ref="G183:I183"/>
    <mergeCell ref="J183:N183"/>
    <mergeCell ref="O183:Q183"/>
    <mergeCell ref="R183:T183"/>
    <mergeCell ref="U183:Y183"/>
    <mergeCell ref="Z183:AB183"/>
    <mergeCell ref="AC183:AE183"/>
    <mergeCell ref="AF183:AJ183"/>
    <mergeCell ref="A184:C184"/>
    <mergeCell ref="D184:F184"/>
    <mergeCell ref="G184:I184"/>
    <mergeCell ref="J184:N184"/>
    <mergeCell ref="O184:Q184"/>
    <mergeCell ref="R184:T184"/>
    <mergeCell ref="U184:Y184"/>
    <mergeCell ref="Z184:AB184"/>
    <mergeCell ref="AC184:AE184"/>
    <mergeCell ref="AF184:AJ184"/>
    <mergeCell ref="A181:C181"/>
    <mergeCell ref="D181:F181"/>
    <mergeCell ref="G181:I181"/>
    <mergeCell ref="J181:N181"/>
    <mergeCell ref="O181:Q181"/>
    <mergeCell ref="R181:T181"/>
    <mergeCell ref="U181:Y181"/>
    <mergeCell ref="Z181:AB181"/>
    <mergeCell ref="AC181:AE181"/>
    <mergeCell ref="AF181:AJ181"/>
    <mergeCell ref="A182:C182"/>
    <mergeCell ref="D182:F182"/>
    <mergeCell ref="G182:I182"/>
    <mergeCell ref="J182:N182"/>
    <mergeCell ref="O182:Q182"/>
    <mergeCell ref="R182:T182"/>
    <mergeCell ref="U182:Y182"/>
    <mergeCell ref="Z182:AB182"/>
    <mergeCell ref="AC182:AE182"/>
    <mergeCell ref="AF182:AJ182"/>
    <mergeCell ref="G29:P29"/>
    <mergeCell ref="A32:AJ32"/>
    <mergeCell ref="A33:C34"/>
    <mergeCell ref="D33:N33"/>
    <mergeCell ref="O33:Y33"/>
    <mergeCell ref="Z33:AJ33"/>
    <mergeCell ref="D34:F34"/>
    <mergeCell ref="G34:I34"/>
    <mergeCell ref="A179:C180"/>
    <mergeCell ref="D179:N179"/>
    <mergeCell ref="O179:Y179"/>
    <mergeCell ref="D180:F180"/>
    <mergeCell ref="G180:I180"/>
    <mergeCell ref="J180:N180"/>
    <mergeCell ref="O180:Q180"/>
    <mergeCell ref="R180:T180"/>
    <mergeCell ref="U180:Y180"/>
    <mergeCell ref="Z180:AB180"/>
    <mergeCell ref="AC180:AE180"/>
    <mergeCell ref="AF180:AJ180"/>
    <mergeCell ref="O167:U167"/>
    <mergeCell ref="V167:AB167"/>
    <mergeCell ref="Z174:AH174"/>
    <mergeCell ref="D151:H151"/>
    <mergeCell ref="I151:N151"/>
    <mergeCell ref="O151:U151"/>
    <mergeCell ref="V151:AB151"/>
    <mergeCell ref="AC151:AH151"/>
    <mergeCell ref="D165:H170"/>
    <mergeCell ref="O154:U154"/>
    <mergeCell ref="O159:U159"/>
    <mergeCell ref="V159:AB159"/>
    <mergeCell ref="AF34:AJ34"/>
    <mergeCell ref="A35:C35"/>
    <mergeCell ref="D35:F35"/>
    <mergeCell ref="G35:I35"/>
    <mergeCell ref="J35:N35"/>
    <mergeCell ref="O35:Q35"/>
    <mergeCell ref="R35:T35"/>
    <mergeCell ref="U35:Y35"/>
    <mergeCell ref="Z35:AB35"/>
    <mergeCell ref="AC35:AE35"/>
    <mergeCell ref="J34:N34"/>
    <mergeCell ref="O34:Q34"/>
    <mergeCell ref="R34:T34"/>
    <mergeCell ref="U34:Y34"/>
    <mergeCell ref="Z34:AB34"/>
    <mergeCell ref="AC34:AE34"/>
    <mergeCell ref="H175:Q175"/>
    <mergeCell ref="G174:Q174"/>
    <mergeCell ref="D152:H155"/>
    <mergeCell ref="I152:N152"/>
    <mergeCell ref="O152:U152"/>
    <mergeCell ref="V152:AB152"/>
    <mergeCell ref="AC152:AH152"/>
    <mergeCell ref="I153:N153"/>
    <mergeCell ref="O153:U153"/>
    <mergeCell ref="V153:AB153"/>
    <mergeCell ref="AC153:AH153"/>
    <mergeCell ref="V154:AB154"/>
    <mergeCell ref="AC154:AH154"/>
    <mergeCell ref="I155:N155"/>
    <mergeCell ref="O155:U155"/>
    <mergeCell ref="V155:AB155"/>
    <mergeCell ref="AF36:AJ36"/>
    <mergeCell ref="A37:C37"/>
    <mergeCell ref="D37:F37"/>
    <mergeCell ref="G37:I37"/>
    <mergeCell ref="J37:N37"/>
    <mergeCell ref="O37:Q37"/>
    <mergeCell ref="R37:T37"/>
    <mergeCell ref="U37:Y37"/>
    <mergeCell ref="Z37:AB37"/>
    <mergeCell ref="AC37:AE37"/>
    <mergeCell ref="AF35:AJ35"/>
    <mergeCell ref="A36:C36"/>
    <mergeCell ref="D36:F36"/>
    <mergeCell ref="G36:I36"/>
    <mergeCell ref="J36:N36"/>
    <mergeCell ref="O36:Q36"/>
    <mergeCell ref="R36:T36"/>
    <mergeCell ref="U36:Y36"/>
    <mergeCell ref="Z36:AB36"/>
    <mergeCell ref="AC36:AE36"/>
    <mergeCell ref="AF38:AJ38"/>
    <mergeCell ref="A39:C39"/>
    <mergeCell ref="D39:F39"/>
    <mergeCell ref="G39:I39"/>
    <mergeCell ref="J39:N39"/>
    <mergeCell ref="O39:Q39"/>
    <mergeCell ref="R39:T39"/>
    <mergeCell ref="U39:Y39"/>
    <mergeCell ref="Z39:AB39"/>
    <mergeCell ref="AC39:AE39"/>
    <mergeCell ref="AF37:AJ37"/>
    <mergeCell ref="A38:C38"/>
    <mergeCell ref="D38:F38"/>
    <mergeCell ref="G38:I38"/>
    <mergeCell ref="J38:N38"/>
    <mergeCell ref="O38:Q38"/>
    <mergeCell ref="R38:T38"/>
    <mergeCell ref="U38:Y38"/>
    <mergeCell ref="Z38:AB38"/>
    <mergeCell ref="AC38:AE38"/>
    <mergeCell ref="R43:T43"/>
    <mergeCell ref="U43:Y43"/>
    <mergeCell ref="Z43:AB43"/>
    <mergeCell ref="AC43:AE43"/>
    <mergeCell ref="AF43:AJ43"/>
    <mergeCell ref="A44:AJ44"/>
    <mergeCell ref="AF40:AJ40"/>
    <mergeCell ref="A41:AJ41"/>
    <mergeCell ref="A42:C43"/>
    <mergeCell ref="D42:N42"/>
    <mergeCell ref="O42:Y42"/>
    <mergeCell ref="Z42:AJ42"/>
    <mergeCell ref="D43:F43"/>
    <mergeCell ref="G43:I43"/>
    <mergeCell ref="J43:N43"/>
    <mergeCell ref="O43:Q43"/>
    <mergeCell ref="AF39:AJ39"/>
    <mergeCell ref="A40:C40"/>
    <mergeCell ref="D40:F40"/>
    <mergeCell ref="G40:I40"/>
    <mergeCell ref="J40:N40"/>
    <mergeCell ref="O40:Q40"/>
    <mergeCell ref="R40:T40"/>
    <mergeCell ref="U40:Y40"/>
    <mergeCell ref="Z40:AB40"/>
    <mergeCell ref="AC40:AE40"/>
    <mergeCell ref="U46:Y46"/>
    <mergeCell ref="Z46:AB46"/>
    <mergeCell ref="AC46:AE46"/>
    <mergeCell ref="AF46:AJ46"/>
    <mergeCell ref="A47:C47"/>
    <mergeCell ref="D47:F47"/>
    <mergeCell ref="G47:I47"/>
    <mergeCell ref="J47:N47"/>
    <mergeCell ref="O47:Q47"/>
    <mergeCell ref="R47:T47"/>
    <mergeCell ref="U45:Y45"/>
    <mergeCell ref="Z45:AB45"/>
    <mergeCell ref="AC45:AE45"/>
    <mergeCell ref="AF45:AJ45"/>
    <mergeCell ref="A46:C46"/>
    <mergeCell ref="D46:F46"/>
    <mergeCell ref="G46:I46"/>
    <mergeCell ref="J46:N46"/>
    <mergeCell ref="O46:Q46"/>
    <mergeCell ref="R46:T46"/>
    <mergeCell ref="A45:C45"/>
    <mergeCell ref="D45:F45"/>
    <mergeCell ref="G45:I45"/>
    <mergeCell ref="J45:N45"/>
    <mergeCell ref="O45:Q45"/>
    <mergeCell ref="R45:T45"/>
    <mergeCell ref="R49:T49"/>
    <mergeCell ref="U49:Y49"/>
    <mergeCell ref="Z49:AB49"/>
    <mergeCell ref="AC49:AE49"/>
    <mergeCell ref="AF49:AJ49"/>
    <mergeCell ref="A50:C50"/>
    <mergeCell ref="D50:F50"/>
    <mergeCell ref="G50:I50"/>
    <mergeCell ref="J50:N50"/>
    <mergeCell ref="O50:Q50"/>
    <mergeCell ref="U47:Y47"/>
    <mergeCell ref="Z47:AB47"/>
    <mergeCell ref="AC47:AE47"/>
    <mergeCell ref="AF47:AJ47"/>
    <mergeCell ref="A48:AJ48"/>
    <mergeCell ref="A49:C49"/>
    <mergeCell ref="D49:F49"/>
    <mergeCell ref="G49:I49"/>
    <mergeCell ref="J49:N49"/>
    <mergeCell ref="O49:Q49"/>
    <mergeCell ref="A53:D53"/>
    <mergeCell ref="E53:J53"/>
    <mergeCell ref="K53:P53"/>
    <mergeCell ref="Q53:W53"/>
    <mergeCell ref="X53:AB53"/>
    <mergeCell ref="AC53:AJ53"/>
    <mergeCell ref="R51:T51"/>
    <mergeCell ref="U51:Y51"/>
    <mergeCell ref="Z51:AB51"/>
    <mergeCell ref="AC51:AE51"/>
    <mergeCell ref="AF51:AJ51"/>
    <mergeCell ref="A52:AJ52"/>
    <mergeCell ref="R50:T50"/>
    <mergeCell ref="U50:Y50"/>
    <mergeCell ref="Z50:AB50"/>
    <mergeCell ref="AC50:AE50"/>
    <mergeCell ref="AF50:AJ50"/>
    <mergeCell ref="A51:C51"/>
    <mergeCell ref="D51:F51"/>
    <mergeCell ref="G51:I51"/>
    <mergeCell ref="J51:N51"/>
    <mergeCell ref="O51:Q51"/>
    <mergeCell ref="U59:Y59"/>
    <mergeCell ref="Z59:AB59"/>
    <mergeCell ref="AC59:AE59"/>
    <mergeCell ref="AF59:AJ59"/>
    <mergeCell ref="A60:C60"/>
    <mergeCell ref="D60:F60"/>
    <mergeCell ref="G60:I60"/>
    <mergeCell ref="J60:N60"/>
    <mergeCell ref="O60:Q60"/>
    <mergeCell ref="R60:T60"/>
    <mergeCell ref="A57:AJ57"/>
    <mergeCell ref="A58:C59"/>
    <mergeCell ref="D58:N58"/>
    <mergeCell ref="O58:Y58"/>
    <mergeCell ref="Z58:AJ58"/>
    <mergeCell ref="D59:F59"/>
    <mergeCell ref="G59:I59"/>
    <mergeCell ref="J59:N59"/>
    <mergeCell ref="O59:Q59"/>
    <mergeCell ref="R59:T59"/>
    <mergeCell ref="U61:Y61"/>
    <mergeCell ref="Z61:AB61"/>
    <mergeCell ref="AC61:AE61"/>
    <mergeCell ref="AF61:AJ61"/>
    <mergeCell ref="A62:C62"/>
    <mergeCell ref="D62:F62"/>
    <mergeCell ref="G62:I62"/>
    <mergeCell ref="J62:N62"/>
    <mergeCell ref="O62:Q62"/>
    <mergeCell ref="R62:T62"/>
    <mergeCell ref="U60:Y60"/>
    <mergeCell ref="Z60:AB60"/>
    <mergeCell ref="AC60:AE60"/>
    <mergeCell ref="AF60:AJ60"/>
    <mergeCell ref="A61:C61"/>
    <mergeCell ref="D61:F61"/>
    <mergeCell ref="G61:I61"/>
    <mergeCell ref="J61:N61"/>
    <mergeCell ref="O61:Q61"/>
    <mergeCell ref="R61:T61"/>
    <mergeCell ref="U63:Y63"/>
    <mergeCell ref="Z63:AB63"/>
    <mergeCell ref="AC63:AE63"/>
    <mergeCell ref="AF63:AJ63"/>
    <mergeCell ref="A64:C64"/>
    <mergeCell ref="D64:F64"/>
    <mergeCell ref="G64:I64"/>
    <mergeCell ref="J64:N64"/>
    <mergeCell ref="O64:Q64"/>
    <mergeCell ref="R64:T64"/>
    <mergeCell ref="U62:Y62"/>
    <mergeCell ref="Z62:AB62"/>
    <mergeCell ref="AC62:AE62"/>
    <mergeCell ref="AF62:AJ62"/>
    <mergeCell ref="A63:C63"/>
    <mergeCell ref="D63:F63"/>
    <mergeCell ref="G63:I63"/>
    <mergeCell ref="J63:N63"/>
    <mergeCell ref="O63:Q63"/>
    <mergeCell ref="R63:T63"/>
    <mergeCell ref="U65:Y65"/>
    <mergeCell ref="Z65:AB65"/>
    <mergeCell ref="AC65:AE65"/>
    <mergeCell ref="AF65:AJ65"/>
    <mergeCell ref="A66:AJ66"/>
    <mergeCell ref="A67:C68"/>
    <mergeCell ref="D67:N67"/>
    <mergeCell ref="O67:Y67"/>
    <mergeCell ref="Z67:AJ67"/>
    <mergeCell ref="D68:F68"/>
    <mergeCell ref="U64:Y64"/>
    <mergeCell ref="Z64:AB64"/>
    <mergeCell ref="AC64:AE64"/>
    <mergeCell ref="AF64:AJ64"/>
    <mergeCell ref="A65:C65"/>
    <mergeCell ref="D65:F65"/>
    <mergeCell ref="G65:I65"/>
    <mergeCell ref="J65:N65"/>
    <mergeCell ref="O65:Q65"/>
    <mergeCell ref="R65:T65"/>
    <mergeCell ref="Z70:AB70"/>
    <mergeCell ref="AC70:AE70"/>
    <mergeCell ref="AF70:AJ70"/>
    <mergeCell ref="A71:C71"/>
    <mergeCell ref="D71:F71"/>
    <mergeCell ref="G71:I71"/>
    <mergeCell ref="J71:N71"/>
    <mergeCell ref="O71:Q71"/>
    <mergeCell ref="R71:T71"/>
    <mergeCell ref="U71:Y71"/>
    <mergeCell ref="AC68:AE68"/>
    <mergeCell ref="AF68:AJ68"/>
    <mergeCell ref="A69:AJ69"/>
    <mergeCell ref="A70:C70"/>
    <mergeCell ref="D70:F70"/>
    <mergeCell ref="G70:I70"/>
    <mergeCell ref="J70:N70"/>
    <mergeCell ref="O70:Q70"/>
    <mergeCell ref="R70:T70"/>
    <mergeCell ref="U70:Y70"/>
    <mergeCell ref="G68:I68"/>
    <mergeCell ref="J68:N68"/>
    <mergeCell ref="O68:Q68"/>
    <mergeCell ref="R68:T68"/>
    <mergeCell ref="U68:Y68"/>
    <mergeCell ref="Z68:AB68"/>
    <mergeCell ref="Z72:AB72"/>
    <mergeCell ref="AC72:AE72"/>
    <mergeCell ref="AF72:AJ72"/>
    <mergeCell ref="A73:AJ73"/>
    <mergeCell ref="A74:C74"/>
    <mergeCell ref="D74:F74"/>
    <mergeCell ref="G74:I74"/>
    <mergeCell ref="J74:N74"/>
    <mergeCell ref="O74:Q74"/>
    <mergeCell ref="R74:T74"/>
    <mergeCell ref="Z71:AB71"/>
    <mergeCell ref="AC71:AE71"/>
    <mergeCell ref="AF71:AJ71"/>
    <mergeCell ref="A72:C72"/>
    <mergeCell ref="D72:F72"/>
    <mergeCell ref="G72:I72"/>
    <mergeCell ref="J72:N72"/>
    <mergeCell ref="O72:Q72"/>
    <mergeCell ref="R72:T72"/>
    <mergeCell ref="U72:Y72"/>
    <mergeCell ref="U75:Y75"/>
    <mergeCell ref="Z75:AB75"/>
    <mergeCell ref="AC75:AE75"/>
    <mergeCell ref="AF75:AJ75"/>
    <mergeCell ref="A76:C76"/>
    <mergeCell ref="D76:F76"/>
    <mergeCell ref="G76:I76"/>
    <mergeCell ref="J76:N76"/>
    <mergeCell ref="O76:Q76"/>
    <mergeCell ref="R76:T76"/>
    <mergeCell ref="U74:Y74"/>
    <mergeCell ref="Z74:AB74"/>
    <mergeCell ref="AC74:AE74"/>
    <mergeCell ref="AF74:AJ74"/>
    <mergeCell ref="A75:C75"/>
    <mergeCell ref="D75:F75"/>
    <mergeCell ref="G75:I75"/>
    <mergeCell ref="J75:N75"/>
    <mergeCell ref="O75:Q75"/>
    <mergeCell ref="R75:T75"/>
    <mergeCell ref="AC78:AJ78"/>
    <mergeCell ref="A82:AJ82"/>
    <mergeCell ref="A83:C84"/>
    <mergeCell ref="D83:N83"/>
    <mergeCell ref="O83:Y83"/>
    <mergeCell ref="Z83:AJ83"/>
    <mergeCell ref="D84:F84"/>
    <mergeCell ref="G84:I84"/>
    <mergeCell ref="J84:N84"/>
    <mergeCell ref="O84:Q84"/>
    <mergeCell ref="U76:Y76"/>
    <mergeCell ref="Z76:AB76"/>
    <mergeCell ref="AC76:AE76"/>
    <mergeCell ref="AF76:AJ76"/>
    <mergeCell ref="A77:AJ77"/>
    <mergeCell ref="A78:D78"/>
    <mergeCell ref="E78:J78"/>
    <mergeCell ref="K78:P78"/>
    <mergeCell ref="Q78:W78"/>
    <mergeCell ref="X78:AB78"/>
    <mergeCell ref="R85:T85"/>
    <mergeCell ref="U85:Y85"/>
    <mergeCell ref="Z85:AB85"/>
    <mergeCell ref="AC85:AE85"/>
    <mergeCell ref="AF85:AJ85"/>
    <mergeCell ref="A86:C86"/>
    <mergeCell ref="D86:F86"/>
    <mergeCell ref="G86:I86"/>
    <mergeCell ref="J86:N86"/>
    <mergeCell ref="O86:Q86"/>
    <mergeCell ref="R84:T84"/>
    <mergeCell ref="U84:Y84"/>
    <mergeCell ref="Z84:AB84"/>
    <mergeCell ref="AC84:AE84"/>
    <mergeCell ref="AF84:AJ84"/>
    <mergeCell ref="A85:C85"/>
    <mergeCell ref="D85:F85"/>
    <mergeCell ref="G85:I85"/>
    <mergeCell ref="J85:N85"/>
    <mergeCell ref="O85:Q85"/>
    <mergeCell ref="R87:T87"/>
    <mergeCell ref="U87:Y87"/>
    <mergeCell ref="Z87:AB87"/>
    <mergeCell ref="AC87:AE87"/>
    <mergeCell ref="AF87:AJ87"/>
    <mergeCell ref="A88:C88"/>
    <mergeCell ref="D88:F88"/>
    <mergeCell ref="G88:I88"/>
    <mergeCell ref="J88:N88"/>
    <mergeCell ref="O88:Q88"/>
    <mergeCell ref="R86:T86"/>
    <mergeCell ref="U86:Y86"/>
    <mergeCell ref="Z86:AB86"/>
    <mergeCell ref="AC86:AE86"/>
    <mergeCell ref="AF86:AJ86"/>
    <mergeCell ref="A87:C87"/>
    <mergeCell ref="D87:F87"/>
    <mergeCell ref="G87:I87"/>
    <mergeCell ref="J87:N87"/>
    <mergeCell ref="O87:Q87"/>
    <mergeCell ref="R89:T89"/>
    <mergeCell ref="U89:Y89"/>
    <mergeCell ref="Z89:AB89"/>
    <mergeCell ref="AC89:AE89"/>
    <mergeCell ref="AF89:AJ89"/>
    <mergeCell ref="A90:C91"/>
    <mergeCell ref="D90:S90"/>
    <mergeCell ref="T90:AJ90"/>
    <mergeCell ref="D91:H91"/>
    <mergeCell ref="I91:N91"/>
    <mergeCell ref="R88:T88"/>
    <mergeCell ref="U88:Y88"/>
    <mergeCell ref="Z88:AB88"/>
    <mergeCell ref="AC88:AE88"/>
    <mergeCell ref="AF88:AJ88"/>
    <mergeCell ref="A89:C89"/>
    <mergeCell ref="D89:F89"/>
    <mergeCell ref="G89:I89"/>
    <mergeCell ref="J89:N89"/>
    <mergeCell ref="O89:Q89"/>
    <mergeCell ref="AE92:AJ92"/>
    <mergeCell ref="A93:AJ93"/>
    <mergeCell ref="A94:C95"/>
    <mergeCell ref="D94:N94"/>
    <mergeCell ref="O94:Y94"/>
    <mergeCell ref="Z94:AJ94"/>
    <mergeCell ref="D95:F95"/>
    <mergeCell ref="G95:I95"/>
    <mergeCell ref="J95:N95"/>
    <mergeCell ref="O95:Q95"/>
    <mergeCell ref="O91:S91"/>
    <mergeCell ref="T91:Y91"/>
    <mergeCell ref="Z91:AD91"/>
    <mergeCell ref="AE91:AJ91"/>
    <mergeCell ref="A92:C92"/>
    <mergeCell ref="D92:H92"/>
    <mergeCell ref="I92:N92"/>
    <mergeCell ref="O92:S92"/>
    <mergeCell ref="T92:Y92"/>
    <mergeCell ref="Z92:AD92"/>
    <mergeCell ref="U97:Y97"/>
    <mergeCell ref="Z97:AB97"/>
    <mergeCell ref="AC97:AE97"/>
    <mergeCell ref="AF97:AJ97"/>
    <mergeCell ref="A98:C98"/>
    <mergeCell ref="D98:F98"/>
    <mergeCell ref="G98:I98"/>
    <mergeCell ref="J98:N98"/>
    <mergeCell ref="O98:Q98"/>
    <mergeCell ref="R98:T98"/>
    <mergeCell ref="A97:C97"/>
    <mergeCell ref="D97:F97"/>
    <mergeCell ref="G97:I97"/>
    <mergeCell ref="J97:N97"/>
    <mergeCell ref="O97:Q97"/>
    <mergeCell ref="R97:T97"/>
    <mergeCell ref="R95:T95"/>
    <mergeCell ref="U95:Y95"/>
    <mergeCell ref="Z95:AB95"/>
    <mergeCell ref="AC95:AE95"/>
    <mergeCell ref="AF95:AJ95"/>
    <mergeCell ref="A96:AJ96"/>
    <mergeCell ref="U99:Y99"/>
    <mergeCell ref="Z99:AB99"/>
    <mergeCell ref="AC99:AE99"/>
    <mergeCell ref="AF99:AJ99"/>
    <mergeCell ref="A100:AJ100"/>
    <mergeCell ref="A101:C101"/>
    <mergeCell ref="D101:F101"/>
    <mergeCell ref="G101:I101"/>
    <mergeCell ref="J101:N101"/>
    <mergeCell ref="O101:Q101"/>
    <mergeCell ref="U98:Y98"/>
    <mergeCell ref="Z98:AB98"/>
    <mergeCell ref="AC98:AE98"/>
    <mergeCell ref="AF98:AJ98"/>
    <mergeCell ref="A99:C99"/>
    <mergeCell ref="D99:F99"/>
    <mergeCell ref="G99:I99"/>
    <mergeCell ref="J99:N99"/>
    <mergeCell ref="O99:Q99"/>
    <mergeCell ref="R99:T99"/>
    <mergeCell ref="R103:T103"/>
    <mergeCell ref="U103:Y103"/>
    <mergeCell ref="Z103:AB103"/>
    <mergeCell ref="AC103:AE103"/>
    <mergeCell ref="AF103:AJ103"/>
    <mergeCell ref="A104:AJ104"/>
    <mergeCell ref="R102:T102"/>
    <mergeCell ref="U102:Y102"/>
    <mergeCell ref="Z102:AB102"/>
    <mergeCell ref="AC102:AE102"/>
    <mergeCell ref="AF102:AJ102"/>
    <mergeCell ref="A103:C103"/>
    <mergeCell ref="D103:F103"/>
    <mergeCell ref="G103:I103"/>
    <mergeCell ref="J103:N103"/>
    <mergeCell ref="O103:Q103"/>
    <mergeCell ref="R101:T101"/>
    <mergeCell ref="U101:Y101"/>
    <mergeCell ref="Z101:AB101"/>
    <mergeCell ref="AC101:AE101"/>
    <mergeCell ref="AF101:AJ101"/>
    <mergeCell ref="A102:C102"/>
    <mergeCell ref="D102:F102"/>
    <mergeCell ref="G102:I102"/>
    <mergeCell ref="J102:N102"/>
    <mergeCell ref="O102:Q102"/>
    <mergeCell ref="U106:Y106"/>
    <mergeCell ref="Z106:AB106"/>
    <mergeCell ref="AC106:AE106"/>
    <mergeCell ref="AF106:AJ106"/>
    <mergeCell ref="A107:C107"/>
    <mergeCell ref="D107:F107"/>
    <mergeCell ref="G107:I107"/>
    <mergeCell ref="J107:N107"/>
    <mergeCell ref="O107:Q107"/>
    <mergeCell ref="R107:T107"/>
    <mergeCell ref="U105:Y105"/>
    <mergeCell ref="Z105:AB105"/>
    <mergeCell ref="AC105:AE105"/>
    <mergeCell ref="AF105:AJ105"/>
    <mergeCell ref="A106:C106"/>
    <mergeCell ref="D106:F106"/>
    <mergeCell ref="G106:I106"/>
    <mergeCell ref="J106:N106"/>
    <mergeCell ref="O106:Q106"/>
    <mergeCell ref="R106:T106"/>
    <mergeCell ref="A105:C105"/>
    <mergeCell ref="D105:F105"/>
    <mergeCell ref="G105:I105"/>
    <mergeCell ref="J105:N105"/>
    <mergeCell ref="O105:Q105"/>
    <mergeCell ref="R105:T105"/>
    <mergeCell ref="AC109:AJ109"/>
    <mergeCell ref="A113:AJ113"/>
    <mergeCell ref="A114:C115"/>
    <mergeCell ref="D114:N114"/>
    <mergeCell ref="O114:Y114"/>
    <mergeCell ref="Z114:AJ114"/>
    <mergeCell ref="D115:F115"/>
    <mergeCell ref="G115:I115"/>
    <mergeCell ref="J115:N115"/>
    <mergeCell ref="O115:Q115"/>
    <mergeCell ref="U107:Y107"/>
    <mergeCell ref="Z107:AB107"/>
    <mergeCell ref="AC107:AE107"/>
    <mergeCell ref="AF107:AJ107"/>
    <mergeCell ref="A108:AJ108"/>
    <mergeCell ref="A109:D109"/>
    <mergeCell ref="E109:J109"/>
    <mergeCell ref="K109:P109"/>
    <mergeCell ref="Q109:W109"/>
    <mergeCell ref="X109:AB109"/>
    <mergeCell ref="R116:T116"/>
    <mergeCell ref="U116:Y116"/>
    <mergeCell ref="Z116:AB116"/>
    <mergeCell ref="AC116:AE116"/>
    <mergeCell ref="AF116:AJ116"/>
    <mergeCell ref="A117:C117"/>
    <mergeCell ref="D117:F117"/>
    <mergeCell ref="G117:I117"/>
    <mergeCell ref="J117:N117"/>
    <mergeCell ref="O117:Q117"/>
    <mergeCell ref="R115:T115"/>
    <mergeCell ref="U115:Y115"/>
    <mergeCell ref="Z115:AB115"/>
    <mergeCell ref="AC115:AE115"/>
    <mergeCell ref="AF115:AJ115"/>
    <mergeCell ref="A116:C116"/>
    <mergeCell ref="D116:F116"/>
    <mergeCell ref="G116:I116"/>
    <mergeCell ref="J116:N116"/>
    <mergeCell ref="O116:Q116"/>
    <mergeCell ref="R118:T118"/>
    <mergeCell ref="U118:Y118"/>
    <mergeCell ref="Z118:AB118"/>
    <mergeCell ref="AC118:AE118"/>
    <mergeCell ref="AF118:AJ118"/>
    <mergeCell ref="A119:C119"/>
    <mergeCell ref="D119:F119"/>
    <mergeCell ref="G119:I119"/>
    <mergeCell ref="J119:N119"/>
    <mergeCell ref="O119:Q119"/>
    <mergeCell ref="R117:T117"/>
    <mergeCell ref="U117:Y117"/>
    <mergeCell ref="Z117:AB117"/>
    <mergeCell ref="AC117:AE117"/>
    <mergeCell ref="AF117:AJ117"/>
    <mergeCell ref="A118:C118"/>
    <mergeCell ref="D118:F118"/>
    <mergeCell ref="G118:I118"/>
    <mergeCell ref="J118:N118"/>
    <mergeCell ref="O118:Q118"/>
    <mergeCell ref="R120:T120"/>
    <mergeCell ref="U120:Y120"/>
    <mergeCell ref="Z120:AB120"/>
    <mergeCell ref="AC120:AE120"/>
    <mergeCell ref="AF120:AJ120"/>
    <mergeCell ref="A121:C122"/>
    <mergeCell ref="D121:S121"/>
    <mergeCell ref="T121:AJ121"/>
    <mergeCell ref="D122:H122"/>
    <mergeCell ref="I122:N122"/>
    <mergeCell ref="R119:T119"/>
    <mergeCell ref="U119:Y119"/>
    <mergeCell ref="Z119:AB119"/>
    <mergeCell ref="AC119:AE119"/>
    <mergeCell ref="AF119:AJ119"/>
    <mergeCell ref="A120:C120"/>
    <mergeCell ref="D120:F120"/>
    <mergeCell ref="G120:I120"/>
    <mergeCell ref="J120:N120"/>
    <mergeCell ref="O120:Q120"/>
    <mergeCell ref="AE123:AJ123"/>
    <mergeCell ref="A124:AJ124"/>
    <mergeCell ref="A125:C126"/>
    <mergeCell ref="D125:N125"/>
    <mergeCell ref="O125:Y125"/>
    <mergeCell ref="Z125:AJ125"/>
    <mergeCell ref="D126:F126"/>
    <mergeCell ref="G126:I126"/>
    <mergeCell ref="J126:N126"/>
    <mergeCell ref="O126:Q126"/>
    <mergeCell ref="O122:S122"/>
    <mergeCell ref="T122:Y122"/>
    <mergeCell ref="Z122:AD122"/>
    <mergeCell ref="AE122:AJ122"/>
    <mergeCell ref="A123:C123"/>
    <mergeCell ref="D123:H123"/>
    <mergeCell ref="I123:N123"/>
    <mergeCell ref="O123:S123"/>
    <mergeCell ref="T123:Y123"/>
    <mergeCell ref="Z123:AD123"/>
    <mergeCell ref="U128:Y128"/>
    <mergeCell ref="Z128:AB128"/>
    <mergeCell ref="AC128:AE128"/>
    <mergeCell ref="AF128:AJ128"/>
    <mergeCell ref="A129:C129"/>
    <mergeCell ref="D129:F129"/>
    <mergeCell ref="G129:I129"/>
    <mergeCell ref="J129:N129"/>
    <mergeCell ref="O129:Q129"/>
    <mergeCell ref="R129:T129"/>
    <mergeCell ref="A128:C128"/>
    <mergeCell ref="D128:F128"/>
    <mergeCell ref="G128:I128"/>
    <mergeCell ref="J128:N128"/>
    <mergeCell ref="O128:Q128"/>
    <mergeCell ref="R128:T128"/>
    <mergeCell ref="R126:T126"/>
    <mergeCell ref="U126:Y126"/>
    <mergeCell ref="Z126:AB126"/>
    <mergeCell ref="AC126:AE126"/>
    <mergeCell ref="AF126:AJ126"/>
    <mergeCell ref="A127:AJ127"/>
    <mergeCell ref="U130:Y130"/>
    <mergeCell ref="Z130:AB130"/>
    <mergeCell ref="AC130:AE130"/>
    <mergeCell ref="AF130:AJ130"/>
    <mergeCell ref="A131:AJ131"/>
    <mergeCell ref="A132:C132"/>
    <mergeCell ref="D132:F132"/>
    <mergeCell ref="G132:I132"/>
    <mergeCell ref="J132:N132"/>
    <mergeCell ref="O132:Q132"/>
    <mergeCell ref="U129:Y129"/>
    <mergeCell ref="Z129:AB129"/>
    <mergeCell ref="AC129:AE129"/>
    <mergeCell ref="AF129:AJ129"/>
    <mergeCell ref="A130:C130"/>
    <mergeCell ref="D130:F130"/>
    <mergeCell ref="G130:I130"/>
    <mergeCell ref="J130:N130"/>
    <mergeCell ref="O130:Q130"/>
    <mergeCell ref="R130:T130"/>
    <mergeCell ref="R134:T134"/>
    <mergeCell ref="U134:Y134"/>
    <mergeCell ref="Z134:AB134"/>
    <mergeCell ref="AC134:AE134"/>
    <mergeCell ref="AF134:AJ134"/>
    <mergeCell ref="A135:AJ135"/>
    <mergeCell ref="R133:T133"/>
    <mergeCell ref="U133:Y133"/>
    <mergeCell ref="Z133:AB133"/>
    <mergeCell ref="AC133:AE133"/>
    <mergeCell ref="AF133:AJ133"/>
    <mergeCell ref="A134:C134"/>
    <mergeCell ref="D134:F134"/>
    <mergeCell ref="G134:I134"/>
    <mergeCell ref="J134:N134"/>
    <mergeCell ref="O134:Q134"/>
    <mergeCell ref="R132:T132"/>
    <mergeCell ref="U132:Y132"/>
    <mergeCell ref="Z132:AB132"/>
    <mergeCell ref="AC132:AE132"/>
    <mergeCell ref="AF132:AJ132"/>
    <mergeCell ref="A133:C133"/>
    <mergeCell ref="D133:F133"/>
    <mergeCell ref="G133:I133"/>
    <mergeCell ref="J133:N133"/>
    <mergeCell ref="O133:Q133"/>
    <mergeCell ref="U137:Y137"/>
    <mergeCell ref="Z137:AB137"/>
    <mergeCell ref="AC137:AE137"/>
    <mergeCell ref="AF137:AJ137"/>
    <mergeCell ref="A138:C138"/>
    <mergeCell ref="D138:F138"/>
    <mergeCell ref="G138:I138"/>
    <mergeCell ref="J138:N138"/>
    <mergeCell ref="O138:Q138"/>
    <mergeCell ref="R138:T138"/>
    <mergeCell ref="U136:Y136"/>
    <mergeCell ref="Z136:AB136"/>
    <mergeCell ref="AC136:AE136"/>
    <mergeCell ref="AF136:AJ136"/>
    <mergeCell ref="A137:C137"/>
    <mergeCell ref="D137:F137"/>
    <mergeCell ref="G137:I137"/>
    <mergeCell ref="J137:N137"/>
    <mergeCell ref="O137:Q137"/>
    <mergeCell ref="R137:T137"/>
    <mergeCell ref="A136:C136"/>
    <mergeCell ref="D136:F136"/>
    <mergeCell ref="G136:I136"/>
    <mergeCell ref="J136:N136"/>
    <mergeCell ref="O136:Q136"/>
    <mergeCell ref="R136:T136"/>
    <mergeCell ref="A148:I148"/>
    <mergeCell ref="J148:AJ148"/>
    <mergeCell ref="A147:F147"/>
    <mergeCell ref="G147:L147"/>
    <mergeCell ref="M147:R147"/>
    <mergeCell ref="S147:X147"/>
    <mergeCell ref="Y147:AD147"/>
    <mergeCell ref="AE147:AJ147"/>
    <mergeCell ref="AC140:AJ140"/>
    <mergeCell ref="A145:AD145"/>
    <mergeCell ref="AE145:AJ146"/>
    <mergeCell ref="A146:F146"/>
    <mergeCell ref="G146:L146"/>
    <mergeCell ref="M146:R146"/>
    <mergeCell ref="S146:X146"/>
    <mergeCell ref="Y146:AD146"/>
    <mergeCell ref="U138:Y138"/>
    <mergeCell ref="Z138:AB138"/>
    <mergeCell ref="AC138:AE138"/>
    <mergeCell ref="AF138:AJ138"/>
    <mergeCell ref="A139:AJ139"/>
    <mergeCell ref="A140:D140"/>
    <mergeCell ref="E140:J140"/>
    <mergeCell ref="K140:P140"/>
    <mergeCell ref="Q140:W140"/>
    <mergeCell ref="X140:AB140"/>
  </mergeCells>
  <phoneticPr fontId="31" type="noConversion"/>
  <pageMargins left="0.75" right="0.75" top="1" bottom="1" header="0.5" footer="0.5"/>
  <drawing r:id="rId1"/>
  <legacyDrawing r:id="rId2"/>
</worksheet>
</file>

<file path=xl/worksheets/sheet67.xml><?xml version="1.0" encoding="utf-8"?>
<worksheet xmlns="http://schemas.openxmlformats.org/spreadsheetml/2006/main" xmlns:r="http://schemas.openxmlformats.org/officeDocument/2006/relationships">
  <sheetPr>
    <tabColor rgb="FFC00000"/>
  </sheetPr>
  <dimension ref="A1:D26"/>
  <sheetViews>
    <sheetView workbookViewId="0"/>
  </sheetViews>
  <sheetFormatPr defaultRowHeight="14.25"/>
  <cols>
    <col min="1" max="1" width="23.125" customWidth="1"/>
    <col min="2" max="2" width="16.625" customWidth="1"/>
    <col min="3" max="3" width="15.375" customWidth="1"/>
    <col min="4" max="4" width="31.625" bestFit="1" customWidth="1"/>
  </cols>
  <sheetData>
    <row r="1" spans="1:4">
      <c r="A1" s="169" t="s">
        <v>51</v>
      </c>
      <c r="B1" s="169" t="s">
        <v>508</v>
      </c>
      <c r="C1" s="169"/>
      <c r="D1" s="218" t="s">
        <v>483</v>
      </c>
    </row>
    <row r="3" spans="1:4">
      <c r="A3" s="2298" t="s">
        <v>32</v>
      </c>
      <c r="B3" s="2298"/>
      <c r="C3" s="2298"/>
      <c r="D3" s="2298"/>
    </row>
    <row r="4" spans="1:4" ht="18.75">
      <c r="A4" s="159" t="s">
        <v>117</v>
      </c>
      <c r="B4" s="6" t="s">
        <v>69</v>
      </c>
      <c r="C4" s="158" t="s">
        <v>484</v>
      </c>
      <c r="D4" s="158" t="s">
        <v>485</v>
      </c>
    </row>
    <row r="5" spans="1:4">
      <c r="A5" s="6" t="s">
        <v>486</v>
      </c>
      <c r="B5" s="6" t="s">
        <v>72</v>
      </c>
      <c r="C5" s="6" t="s">
        <v>72</v>
      </c>
      <c r="D5" s="6" t="s">
        <v>72</v>
      </c>
    </row>
    <row r="6" spans="1:4">
      <c r="A6" s="158" t="s">
        <v>487</v>
      </c>
      <c r="B6" s="6" t="s">
        <v>72</v>
      </c>
      <c r="C6" s="6" t="s">
        <v>72</v>
      </c>
      <c r="D6" s="158" t="s">
        <v>488</v>
      </c>
    </row>
    <row r="7" spans="1:4">
      <c r="A7" s="6" t="s">
        <v>104</v>
      </c>
      <c r="B7" s="158" t="s">
        <v>488</v>
      </c>
      <c r="C7" s="6" t="s">
        <v>84</v>
      </c>
      <c r="D7" s="6" t="s">
        <v>84</v>
      </c>
    </row>
    <row r="8" spans="1:4">
      <c r="A8" s="158" t="s">
        <v>489</v>
      </c>
      <c r="B8" s="6" t="s">
        <v>72</v>
      </c>
      <c r="C8" s="6" t="s">
        <v>72</v>
      </c>
      <c r="D8" s="6" t="s">
        <v>72</v>
      </c>
    </row>
    <row r="9" spans="1:4">
      <c r="A9" s="158" t="s">
        <v>490</v>
      </c>
      <c r="B9" s="6" t="s">
        <v>72</v>
      </c>
      <c r="C9" s="6" t="s">
        <v>84</v>
      </c>
      <c r="D9" s="6" t="s">
        <v>84</v>
      </c>
    </row>
    <row r="10" spans="1:4">
      <c r="A10" s="158" t="s">
        <v>491</v>
      </c>
      <c r="B10" s="6" t="s">
        <v>72</v>
      </c>
      <c r="C10" s="6" t="s">
        <v>72</v>
      </c>
      <c r="D10" s="158" t="s">
        <v>488</v>
      </c>
    </row>
    <row r="11" spans="1:4">
      <c r="A11" s="158" t="s">
        <v>492</v>
      </c>
      <c r="B11" s="6" t="s">
        <v>72</v>
      </c>
      <c r="C11" s="6" t="s">
        <v>72</v>
      </c>
      <c r="D11" s="6" t="s">
        <v>84</v>
      </c>
    </row>
    <row r="12" spans="1:4">
      <c r="A12" s="6" t="s">
        <v>493</v>
      </c>
      <c r="B12" s="6" t="s">
        <v>72</v>
      </c>
      <c r="C12" s="6" t="s">
        <v>72</v>
      </c>
      <c r="D12" s="6" t="s">
        <v>84</v>
      </c>
    </row>
    <row r="13" spans="1:4">
      <c r="A13" s="6" t="s">
        <v>494</v>
      </c>
      <c r="B13" s="6" t="s">
        <v>72</v>
      </c>
      <c r="C13" s="6" t="s">
        <v>72</v>
      </c>
      <c r="D13" s="6" t="s">
        <v>84</v>
      </c>
    </row>
    <row r="14" spans="1:4">
      <c r="A14" s="158" t="s">
        <v>495</v>
      </c>
      <c r="B14" s="6" t="s">
        <v>72</v>
      </c>
      <c r="C14" s="6" t="s">
        <v>84</v>
      </c>
      <c r="D14" s="6" t="s">
        <v>84</v>
      </c>
    </row>
    <row r="15" spans="1:4">
      <c r="A15" s="6" t="s">
        <v>496</v>
      </c>
      <c r="B15" s="6" t="s">
        <v>72</v>
      </c>
      <c r="C15" s="6" t="s">
        <v>72</v>
      </c>
      <c r="D15" s="6" t="s">
        <v>84</v>
      </c>
    </row>
    <row r="16" spans="1:4">
      <c r="A16" s="6" t="s">
        <v>497</v>
      </c>
      <c r="B16" s="6" t="s">
        <v>72</v>
      </c>
      <c r="C16" s="6" t="s">
        <v>72</v>
      </c>
      <c r="D16" s="158" t="s">
        <v>488</v>
      </c>
    </row>
    <row r="17" spans="1:4">
      <c r="A17" s="6" t="s">
        <v>498</v>
      </c>
      <c r="B17" s="6" t="s">
        <v>72</v>
      </c>
      <c r="C17" s="6" t="s">
        <v>72</v>
      </c>
      <c r="D17" s="6" t="s">
        <v>84</v>
      </c>
    </row>
    <row r="18" spans="1:4">
      <c r="A18" s="6" t="s">
        <v>36</v>
      </c>
      <c r="B18" s="6" t="s">
        <v>72</v>
      </c>
      <c r="C18" s="6" t="s">
        <v>72</v>
      </c>
      <c r="D18" s="6" t="s">
        <v>72</v>
      </c>
    </row>
    <row r="19" spans="1:4">
      <c r="A19" s="6" t="s">
        <v>499</v>
      </c>
      <c r="B19" s="6" t="s">
        <v>72</v>
      </c>
      <c r="C19" s="6" t="s">
        <v>72</v>
      </c>
      <c r="D19" s="6" t="s">
        <v>72</v>
      </c>
    </row>
    <row r="20" spans="1:4">
      <c r="A20" s="158" t="s">
        <v>500</v>
      </c>
      <c r="B20" s="6" t="s">
        <v>72</v>
      </c>
      <c r="C20" s="6" t="s">
        <v>72</v>
      </c>
      <c r="D20" s="6" t="s">
        <v>84</v>
      </c>
    </row>
    <row r="21" spans="1:4">
      <c r="A21" s="6" t="s">
        <v>501</v>
      </c>
      <c r="B21" s="158" t="s">
        <v>488</v>
      </c>
      <c r="C21" s="6" t="s">
        <v>84</v>
      </c>
      <c r="D21" s="6" t="s">
        <v>84</v>
      </c>
    </row>
    <row r="22" spans="1:4">
      <c r="A22" s="158" t="s">
        <v>502</v>
      </c>
      <c r="B22" s="6" t="s">
        <v>72</v>
      </c>
      <c r="C22" s="6" t="s">
        <v>84</v>
      </c>
      <c r="D22" s="6" t="s">
        <v>84</v>
      </c>
    </row>
    <row r="23" spans="1:4">
      <c r="A23" s="158" t="s">
        <v>503</v>
      </c>
      <c r="B23" s="158" t="s">
        <v>488</v>
      </c>
      <c r="C23" s="6" t="s">
        <v>84</v>
      </c>
      <c r="D23" s="6" t="s">
        <v>84</v>
      </c>
    </row>
    <row r="24" spans="1:4">
      <c r="A24" s="158" t="s">
        <v>504</v>
      </c>
      <c r="B24" s="6" t="s">
        <v>72</v>
      </c>
      <c r="D24" s="6" t="s">
        <v>84</v>
      </c>
    </row>
    <row r="25" spans="1:4">
      <c r="A25" s="6" t="s">
        <v>505</v>
      </c>
      <c r="B25" s="6" t="s">
        <v>84</v>
      </c>
      <c r="C25" s="6" t="s">
        <v>72</v>
      </c>
      <c r="D25" s="158" t="s">
        <v>506</v>
      </c>
    </row>
    <row r="26" spans="1:4">
      <c r="A26" s="164" t="s">
        <v>507</v>
      </c>
    </row>
  </sheetData>
  <mergeCells count="1">
    <mergeCell ref="A3:D3"/>
  </mergeCells>
  <phoneticPr fontId="31" type="noConversion"/>
  <pageMargins left="0.75" right="0.75" top="1" bottom="1" header="0.5" footer="0.5"/>
  <drawing r:id="rId1"/>
</worksheet>
</file>

<file path=xl/worksheets/sheet68.xml><?xml version="1.0" encoding="utf-8"?>
<worksheet xmlns="http://schemas.openxmlformats.org/spreadsheetml/2006/main" xmlns:r="http://schemas.openxmlformats.org/officeDocument/2006/relationships">
  <dimension ref="A1:AG62"/>
  <sheetViews>
    <sheetView topLeftCell="E36" zoomScale="120" zoomScaleNormal="120" workbookViewId="0"/>
  </sheetViews>
  <sheetFormatPr defaultRowHeight="14.25" outlineLevelRow="1"/>
  <cols>
    <col min="1" max="1" width="17.375" customWidth="1"/>
    <col min="2" max="2" width="16.375" customWidth="1"/>
    <col min="3" max="3" width="7" customWidth="1"/>
    <col min="4" max="4" width="18.75" customWidth="1"/>
    <col min="5" max="5" width="19" customWidth="1"/>
    <col min="6" max="7" width="9" customWidth="1"/>
    <col min="8" max="8" width="10" customWidth="1"/>
    <col min="9" max="9" width="9" customWidth="1"/>
    <col min="10" max="10" width="13.625" customWidth="1"/>
    <col min="11" max="11" width="12.625" customWidth="1"/>
    <col min="12" max="12" width="9.25" customWidth="1"/>
    <col min="13" max="13" width="10.625" customWidth="1"/>
    <col min="14" max="14" width="11.375" customWidth="1"/>
    <col min="15" max="15" width="10.125" customWidth="1"/>
    <col min="16" max="16" width="16.625" customWidth="1"/>
    <col min="19" max="19" width="8.125" customWidth="1"/>
    <col min="20" max="20" width="9" customWidth="1"/>
    <col min="21" max="21" width="5.875" customWidth="1"/>
    <col min="22" max="24" width="9" customWidth="1"/>
    <col min="25" max="25" width="19.125" customWidth="1"/>
    <col min="26" max="26" width="18.5" customWidth="1"/>
    <col min="27" max="27" width="18.125" customWidth="1"/>
    <col min="28" max="28" width="17.625" customWidth="1"/>
    <col min="29" max="29" width="6.75" customWidth="1"/>
  </cols>
  <sheetData>
    <row r="1" spans="1:11">
      <c r="A1" s="1261" t="s">
        <v>51</v>
      </c>
      <c r="B1" s="1262" t="s">
        <v>3141</v>
      </c>
      <c r="E1" s="702" t="s">
        <v>3142</v>
      </c>
    </row>
    <row r="3" spans="1:11">
      <c r="A3" s="2298" t="s">
        <v>82</v>
      </c>
      <c r="B3" s="2298"/>
      <c r="C3" s="2298"/>
      <c r="D3" s="2"/>
    </row>
    <row r="4" spans="1:11" ht="18.75">
      <c r="A4" s="699" t="s">
        <v>1920</v>
      </c>
      <c r="B4" s="6" t="s">
        <v>69</v>
      </c>
      <c r="C4" s="6" t="s">
        <v>70</v>
      </c>
      <c r="D4" s="698" t="s">
        <v>3143</v>
      </c>
    </row>
    <row r="5" spans="1:11">
      <c r="A5" s="6" t="s">
        <v>35</v>
      </c>
      <c r="B5" s="6" t="s">
        <v>509</v>
      </c>
      <c r="C5" s="6" t="s">
        <v>509</v>
      </c>
      <c r="D5" s="61" t="s">
        <v>3144</v>
      </c>
    </row>
    <row r="6" spans="1:11">
      <c r="A6" s="698" t="s">
        <v>3145</v>
      </c>
      <c r="B6" s="6" t="s">
        <v>509</v>
      </c>
      <c r="C6" s="6" t="s">
        <v>84</v>
      </c>
      <c r="D6" s="837" t="s">
        <v>3144</v>
      </c>
      <c r="E6" s="1263"/>
      <c r="F6" s="4"/>
    </row>
    <row r="7" spans="1:11">
      <c r="A7" s="6" t="s">
        <v>104</v>
      </c>
      <c r="B7" s="6" t="s">
        <v>509</v>
      </c>
      <c r="C7" s="6" t="s">
        <v>84</v>
      </c>
      <c r="D7" s="61" t="s">
        <v>2307</v>
      </c>
    </row>
    <row r="8" spans="1:11">
      <c r="A8" s="6" t="s">
        <v>510</v>
      </c>
      <c r="B8" s="6" t="s">
        <v>509</v>
      </c>
      <c r="C8" s="6" t="s">
        <v>509</v>
      </c>
      <c r="D8" s="61" t="s">
        <v>2307</v>
      </c>
    </row>
    <row r="9" spans="1:11">
      <c r="A9" s="698" t="s">
        <v>3146</v>
      </c>
      <c r="B9" s="6" t="s">
        <v>509</v>
      </c>
      <c r="C9" s="6" t="s">
        <v>84</v>
      </c>
      <c r="D9" s="837" t="s">
        <v>3147</v>
      </c>
      <c r="E9" s="1264" t="s">
        <v>3148</v>
      </c>
    </row>
    <row r="10" spans="1:11">
      <c r="A10" s="6" t="s">
        <v>511</v>
      </c>
      <c r="B10" s="6" t="s">
        <v>509</v>
      </c>
      <c r="C10" s="6" t="s">
        <v>509</v>
      </c>
      <c r="D10" s="1265" t="s">
        <v>3149</v>
      </c>
    </row>
    <row r="11" spans="1:11">
      <c r="A11" s="6" t="s">
        <v>512</v>
      </c>
      <c r="B11" s="6" t="s">
        <v>84</v>
      </c>
      <c r="C11" s="6" t="s">
        <v>509</v>
      </c>
      <c r="D11" s="61" t="s">
        <v>2307</v>
      </c>
    </row>
    <row r="12" spans="1:11">
      <c r="A12" t="s">
        <v>73</v>
      </c>
    </row>
    <row r="14" spans="1:11" ht="15" thickBot="1">
      <c r="A14" s="220" t="s">
        <v>3150</v>
      </c>
      <c r="E14" s="713" t="s">
        <v>3151</v>
      </c>
      <c r="I14" t="s">
        <v>3152</v>
      </c>
    </row>
    <row r="15" spans="1:11" ht="19.5" customHeight="1" outlineLevel="1" thickBot="1">
      <c r="A15" s="1266" t="s">
        <v>513</v>
      </c>
      <c r="B15" s="1267" t="s">
        <v>514</v>
      </c>
      <c r="E15" s="2" t="s">
        <v>3153</v>
      </c>
      <c r="F15" s="2" t="s">
        <v>514</v>
      </c>
      <c r="G15" s="2"/>
      <c r="I15" s="2" t="s">
        <v>3153</v>
      </c>
      <c r="J15" s="2" t="s">
        <v>514</v>
      </c>
      <c r="K15" s="28"/>
    </row>
    <row r="16" spans="1:11" ht="15" outlineLevel="1" thickBot="1">
      <c r="A16" s="1268" t="s">
        <v>515</v>
      </c>
      <c r="B16" s="1269" t="s">
        <v>516</v>
      </c>
      <c r="E16" s="2" t="s">
        <v>3154</v>
      </c>
      <c r="F16" s="2" t="s">
        <v>3155</v>
      </c>
      <c r="G16" s="2"/>
      <c r="I16" s="2" t="s">
        <v>3154</v>
      </c>
      <c r="J16" s="2" t="s">
        <v>3155</v>
      </c>
      <c r="K16" s="28"/>
    </row>
    <row r="17" spans="1:11" ht="15" outlineLevel="1" thickBot="1">
      <c r="A17" s="1268" t="s">
        <v>517</v>
      </c>
      <c r="B17" s="1269" t="s">
        <v>518</v>
      </c>
      <c r="E17" s="2" t="s">
        <v>3156</v>
      </c>
      <c r="F17" s="2" t="s">
        <v>3157</v>
      </c>
      <c r="G17" s="2"/>
      <c r="I17" s="2" t="s">
        <v>3156</v>
      </c>
      <c r="J17" s="2" t="s">
        <v>3157</v>
      </c>
      <c r="K17" s="28"/>
    </row>
    <row r="18" spans="1:11" ht="15" outlineLevel="1" thickBot="1">
      <c r="A18" s="1268" t="s">
        <v>519</v>
      </c>
      <c r="B18" s="1269" t="s">
        <v>520</v>
      </c>
      <c r="E18" s="2" t="s">
        <v>3158</v>
      </c>
      <c r="F18" s="2" t="s">
        <v>3159</v>
      </c>
      <c r="G18" s="2"/>
      <c r="I18" s="2" t="s">
        <v>3158</v>
      </c>
      <c r="J18" s="2" t="s">
        <v>3159</v>
      </c>
      <c r="K18" s="28"/>
    </row>
    <row r="19" spans="1:11" ht="15" outlineLevel="1" thickBot="1">
      <c r="A19" s="1268" t="s">
        <v>521</v>
      </c>
      <c r="B19" s="1269" t="s">
        <v>522</v>
      </c>
      <c r="E19" s="2" t="s">
        <v>3160</v>
      </c>
      <c r="F19" s="2" t="s">
        <v>3161</v>
      </c>
      <c r="G19" s="2"/>
      <c r="I19" s="2" t="s">
        <v>3160</v>
      </c>
      <c r="J19" s="2" t="s">
        <v>3161</v>
      </c>
      <c r="K19" s="28"/>
    </row>
    <row r="20" spans="1:11" ht="19.5" customHeight="1" outlineLevel="1" thickBot="1">
      <c r="A20" s="1268" t="s">
        <v>523</v>
      </c>
      <c r="B20" s="1269" t="s">
        <v>524</v>
      </c>
      <c r="E20" s="2" t="s">
        <v>3162</v>
      </c>
      <c r="F20" s="2" t="s">
        <v>3163</v>
      </c>
      <c r="G20" s="2"/>
      <c r="I20" s="2" t="s">
        <v>3162</v>
      </c>
      <c r="J20" s="1385" t="s">
        <v>3163</v>
      </c>
      <c r="K20" s="28"/>
    </row>
    <row r="21" spans="1:11" ht="19.5" customHeight="1" outlineLevel="1" thickBot="1">
      <c r="A21" s="1268" t="s">
        <v>525</v>
      </c>
      <c r="B21" s="1269" t="s">
        <v>526</v>
      </c>
      <c r="E21" s="2" t="s">
        <v>3164</v>
      </c>
      <c r="F21" s="2" t="s">
        <v>3165</v>
      </c>
      <c r="G21" s="2"/>
      <c r="I21" s="2" t="s">
        <v>3164</v>
      </c>
      <c r="J21" s="1385" t="s">
        <v>3165</v>
      </c>
      <c r="K21" s="28"/>
    </row>
    <row r="22" spans="1:11" ht="19.5" customHeight="1" outlineLevel="1" thickBot="1">
      <c r="A22" s="1268" t="s">
        <v>527</v>
      </c>
      <c r="B22" s="1269" t="s">
        <v>528</v>
      </c>
      <c r="E22" s="2" t="s">
        <v>3166</v>
      </c>
      <c r="F22" s="2" t="s">
        <v>3167</v>
      </c>
      <c r="G22" s="2"/>
      <c r="I22" s="2" t="s">
        <v>3166</v>
      </c>
      <c r="J22" s="1385" t="s">
        <v>3167</v>
      </c>
      <c r="K22" s="28"/>
    </row>
    <row r="23" spans="1:11" ht="19.5" customHeight="1" outlineLevel="1" thickBot="1">
      <c r="A23" s="1268" t="s">
        <v>529</v>
      </c>
      <c r="B23" s="1269" t="s">
        <v>530</v>
      </c>
      <c r="E23" s="2" t="s">
        <v>3168</v>
      </c>
      <c r="F23" s="2" t="s">
        <v>3169</v>
      </c>
      <c r="G23" s="2"/>
      <c r="I23" s="2" t="s">
        <v>3168</v>
      </c>
      <c r="J23" s="1385" t="s">
        <v>3169</v>
      </c>
      <c r="K23" s="28"/>
    </row>
    <row r="24" spans="1:11" ht="19.5" customHeight="1" outlineLevel="1" thickBot="1">
      <c r="A24" s="1268" t="s">
        <v>531</v>
      </c>
      <c r="B24" s="1269" t="s">
        <v>532</v>
      </c>
      <c r="E24" s="2" t="s">
        <v>3170</v>
      </c>
      <c r="F24" s="2" t="s">
        <v>3169</v>
      </c>
      <c r="G24" s="2"/>
      <c r="I24" s="2" t="s">
        <v>3170</v>
      </c>
      <c r="J24" s="1385" t="s">
        <v>3169</v>
      </c>
      <c r="K24" s="28"/>
    </row>
    <row r="25" spans="1:11" ht="19.5" customHeight="1" outlineLevel="1" thickBot="1">
      <c r="A25" s="1268" t="s">
        <v>533</v>
      </c>
      <c r="B25" s="1269" t="s">
        <v>534</v>
      </c>
      <c r="E25" s="2" t="s">
        <v>3171</v>
      </c>
      <c r="F25" s="2" t="s">
        <v>3172</v>
      </c>
      <c r="G25" s="2"/>
      <c r="I25" s="2" t="s">
        <v>3171</v>
      </c>
      <c r="J25" s="1385" t="s">
        <v>3172</v>
      </c>
      <c r="K25" s="28"/>
    </row>
    <row r="26" spans="1:11" ht="19.5" customHeight="1" outlineLevel="1" thickBot="1">
      <c r="A26" s="1268" t="s">
        <v>535</v>
      </c>
      <c r="B26" s="1269" t="s">
        <v>536</v>
      </c>
      <c r="E26" s="2" t="s">
        <v>3173</v>
      </c>
      <c r="F26" s="2" t="s">
        <v>3174</v>
      </c>
      <c r="G26" s="2"/>
      <c r="I26" s="2" t="s">
        <v>3173</v>
      </c>
      <c r="J26" s="1385" t="s">
        <v>3174</v>
      </c>
      <c r="K26" s="28"/>
    </row>
    <row r="27" spans="1:11" ht="15" outlineLevel="1" thickBot="1">
      <c r="A27" s="1268" t="s">
        <v>537</v>
      </c>
      <c r="B27" s="1269" t="s">
        <v>538</v>
      </c>
      <c r="E27" s="2" t="s">
        <v>3175</v>
      </c>
      <c r="F27" s="2" t="s">
        <v>3176</v>
      </c>
      <c r="G27" s="2"/>
      <c r="I27" s="2" t="s">
        <v>3175</v>
      </c>
      <c r="J27" s="2" t="s">
        <v>3176</v>
      </c>
      <c r="K27" s="28"/>
    </row>
    <row r="28" spans="1:11" ht="19.5" customHeight="1" outlineLevel="1" thickBot="1">
      <c r="A28" s="1268" t="s">
        <v>3177</v>
      </c>
      <c r="B28" s="1270" t="s">
        <v>3177</v>
      </c>
      <c r="E28" s="2" t="s">
        <v>3178</v>
      </c>
      <c r="F28" s="2" t="s">
        <v>3179</v>
      </c>
      <c r="G28" s="2"/>
      <c r="I28" s="2" t="s">
        <v>3178</v>
      </c>
      <c r="J28" s="1385" t="s">
        <v>3179</v>
      </c>
      <c r="K28" s="28"/>
    </row>
    <row r="29" spans="1:11" ht="19.5" customHeight="1" outlineLevel="1" thickBot="1">
      <c r="A29" s="1268" t="s">
        <v>539</v>
      </c>
      <c r="B29" s="1269" t="s">
        <v>540</v>
      </c>
      <c r="E29" s="2" t="s">
        <v>3180</v>
      </c>
      <c r="F29" s="2" t="s">
        <v>3179</v>
      </c>
      <c r="G29" s="2"/>
      <c r="I29" s="2" t="s">
        <v>3180</v>
      </c>
      <c r="J29" s="1385" t="s">
        <v>3179</v>
      </c>
      <c r="K29" s="28"/>
    </row>
    <row r="30" spans="1:11" ht="19.5" customHeight="1" outlineLevel="1" thickBot="1">
      <c r="A30" s="1268" t="s">
        <v>541</v>
      </c>
      <c r="B30" s="1269" t="s">
        <v>542</v>
      </c>
      <c r="E30" s="2" t="s">
        <v>3181</v>
      </c>
      <c r="F30" s="2" t="s">
        <v>3182</v>
      </c>
      <c r="G30" s="2"/>
      <c r="I30" s="2" t="s">
        <v>3181</v>
      </c>
      <c r="J30" s="1385" t="s">
        <v>3182</v>
      </c>
      <c r="K30" s="28"/>
    </row>
    <row r="31" spans="1:11" ht="19.5" customHeight="1" outlineLevel="1" thickBot="1">
      <c r="A31" s="1268" t="s">
        <v>543</v>
      </c>
      <c r="B31" s="1269" t="s">
        <v>544</v>
      </c>
      <c r="E31" s="2" t="s">
        <v>3183</v>
      </c>
      <c r="F31" s="2" t="s">
        <v>3184</v>
      </c>
      <c r="G31" s="2"/>
      <c r="I31" s="2" t="s">
        <v>3183</v>
      </c>
      <c r="J31" s="1385" t="s">
        <v>3184</v>
      </c>
      <c r="K31" s="28"/>
    </row>
    <row r="32" spans="1:11" ht="19.5" customHeight="1" outlineLevel="1" thickBot="1">
      <c r="A32" s="1268" t="s">
        <v>545</v>
      </c>
      <c r="B32" s="1269" t="s">
        <v>546</v>
      </c>
      <c r="E32" s="2" t="s">
        <v>3185</v>
      </c>
      <c r="F32" s="2" t="s">
        <v>3186</v>
      </c>
      <c r="G32" s="2"/>
      <c r="I32" s="2" t="s">
        <v>3185</v>
      </c>
      <c r="J32" s="1385" t="s">
        <v>3186</v>
      </c>
      <c r="K32" s="28"/>
    </row>
    <row r="33" spans="1:33" ht="15.75" outlineLevel="1" thickBot="1">
      <c r="A33" s="1268" t="s">
        <v>547</v>
      </c>
      <c r="B33" s="1269" t="s">
        <v>548</v>
      </c>
      <c r="K33" t="s">
        <v>3187</v>
      </c>
    </row>
    <row r="35" spans="1:33">
      <c r="E35" s="221"/>
      <c r="F35" s="3791" t="s">
        <v>3188</v>
      </c>
      <c r="G35" s="3791"/>
      <c r="H35" s="3791"/>
    </row>
    <row r="36" spans="1:33" ht="15" thickBot="1">
      <c r="A36" s="220" t="s">
        <v>3189</v>
      </c>
      <c r="B36" s="222"/>
      <c r="C36" s="222"/>
      <c r="D36" s="222"/>
      <c r="E36" s="222"/>
      <c r="F36" s="3792" t="s">
        <v>3190</v>
      </c>
      <c r="G36" s="3792"/>
      <c r="H36" s="3792"/>
      <c r="J36" s="3788" t="s">
        <v>3191</v>
      </c>
      <c r="K36" s="3789"/>
      <c r="L36" s="3789"/>
      <c r="M36" s="3789"/>
      <c r="N36" s="3790"/>
      <c r="O36" s="702" t="s">
        <v>2315</v>
      </c>
      <c r="X36" s="702" t="s">
        <v>2314</v>
      </c>
    </row>
    <row r="37" spans="1:33" ht="14.25" customHeight="1" outlineLevel="1">
      <c r="A37" s="2735" t="s">
        <v>3192</v>
      </c>
      <c r="B37" s="2735" t="s">
        <v>3193</v>
      </c>
      <c r="C37" s="2749" t="s">
        <v>3194</v>
      </c>
      <c r="D37" s="3027"/>
      <c r="E37" s="2493" t="s">
        <v>3195</v>
      </c>
      <c r="F37" s="3772"/>
      <c r="G37" s="3772"/>
      <c r="H37" s="2732"/>
      <c r="I37" s="2493" t="s">
        <v>3196</v>
      </c>
      <c r="J37" s="2732"/>
      <c r="L37" s="3771" t="s">
        <v>1472</v>
      </c>
      <c r="M37" s="3771" t="s">
        <v>3193</v>
      </c>
      <c r="N37" s="3025" t="s">
        <v>549</v>
      </c>
      <c r="O37" s="3027"/>
      <c r="P37" s="3030" t="s">
        <v>3195</v>
      </c>
      <c r="Q37" s="3772"/>
      <c r="R37" s="3772"/>
      <c r="S37" s="2732"/>
      <c r="T37" s="3030" t="s">
        <v>3197</v>
      </c>
      <c r="U37" s="2732"/>
      <c r="X37" s="3771" t="s">
        <v>1472</v>
      </c>
      <c r="Y37" s="3771" t="s">
        <v>3193</v>
      </c>
      <c r="Z37" s="3025" t="s">
        <v>549</v>
      </c>
      <c r="AA37" s="3027"/>
      <c r="AB37" s="3030" t="s">
        <v>3195</v>
      </c>
      <c r="AC37" s="3772"/>
      <c r="AD37" s="3772"/>
      <c r="AE37" s="2732"/>
      <c r="AF37" s="3030" t="s">
        <v>3197</v>
      </c>
      <c r="AG37" s="2732"/>
    </row>
    <row r="38" spans="1:33" ht="14.25" customHeight="1" outlineLevel="1">
      <c r="A38" s="2570"/>
      <c r="B38" s="2570"/>
      <c r="C38" s="3785"/>
      <c r="D38" s="3786"/>
      <c r="E38" s="223">
        <v>0.05</v>
      </c>
      <c r="F38" s="223">
        <v>0.2</v>
      </c>
      <c r="G38" s="223">
        <v>1</v>
      </c>
      <c r="H38" s="223">
        <v>1.2</v>
      </c>
      <c r="I38" s="731" t="s">
        <v>550</v>
      </c>
      <c r="J38" s="207" t="s">
        <v>551</v>
      </c>
      <c r="L38" s="2570"/>
      <c r="M38" s="2570"/>
      <c r="N38" s="3785"/>
      <c r="O38" s="3786"/>
      <c r="P38" s="223">
        <v>0.05</v>
      </c>
      <c r="Q38" s="223">
        <v>0.2</v>
      </c>
      <c r="R38" s="223">
        <v>1</v>
      </c>
      <c r="S38" s="223">
        <v>1.2</v>
      </c>
      <c r="T38" s="731" t="s">
        <v>550</v>
      </c>
      <c r="U38" s="207" t="s">
        <v>551</v>
      </c>
      <c r="X38" s="2570"/>
      <c r="Y38" s="2570"/>
      <c r="Z38" s="3785"/>
      <c r="AA38" s="3786"/>
      <c r="AB38" s="223">
        <v>0.05</v>
      </c>
      <c r="AC38" s="223">
        <v>0.2</v>
      </c>
      <c r="AD38" s="223">
        <v>1</v>
      </c>
      <c r="AE38" s="223">
        <v>1.2</v>
      </c>
      <c r="AF38" s="731" t="s">
        <v>550</v>
      </c>
      <c r="AG38" s="207" t="s">
        <v>551</v>
      </c>
    </row>
    <row r="39" spans="1:33" ht="28.5" customHeight="1" outlineLevel="1">
      <c r="A39" s="2399" t="s">
        <v>3198</v>
      </c>
      <c r="B39" s="785" t="s">
        <v>3199</v>
      </c>
      <c r="C39" s="3773" t="s">
        <v>3200</v>
      </c>
      <c r="D39" s="3774"/>
      <c r="E39" s="1271">
        <v>-4.5999999999999999E-2</v>
      </c>
      <c r="F39" s="1271">
        <v>-0.02</v>
      </c>
      <c r="G39" s="1271">
        <v>0.22</v>
      </c>
      <c r="H39" s="1271">
        <v>0.25</v>
      </c>
      <c r="I39" s="2395">
        <v>10</v>
      </c>
      <c r="J39" s="2395">
        <v>0.8</v>
      </c>
      <c r="L39" s="2399" t="s">
        <v>3201</v>
      </c>
      <c r="M39" s="785" t="s">
        <v>3199</v>
      </c>
      <c r="N39" s="3773" t="s">
        <v>3200</v>
      </c>
      <c r="O39" s="3774"/>
      <c r="P39" s="1271">
        <v>-4.5999999999999999E-2</v>
      </c>
      <c r="Q39" s="1271">
        <v>-0.02</v>
      </c>
      <c r="R39" s="1271">
        <v>0.22</v>
      </c>
      <c r="S39" s="1271">
        <v>0.25</v>
      </c>
      <c r="T39" s="2395">
        <v>10</v>
      </c>
      <c r="U39" s="2395">
        <v>0.8</v>
      </c>
      <c r="X39" s="2399" t="s">
        <v>3201</v>
      </c>
      <c r="Y39" s="785" t="s">
        <v>3199</v>
      </c>
      <c r="Z39" s="3773" t="s">
        <v>3200</v>
      </c>
      <c r="AA39" s="3774"/>
      <c r="AB39" s="1271">
        <v>-4.5999999999999999E-2</v>
      </c>
      <c r="AC39" s="1271">
        <v>-0.02</v>
      </c>
      <c r="AD39" s="1271">
        <v>0.22</v>
      </c>
      <c r="AE39" s="1271">
        <v>0.25</v>
      </c>
      <c r="AF39" s="2395">
        <v>10</v>
      </c>
      <c r="AG39" s="2395">
        <v>0.8</v>
      </c>
    </row>
    <row r="40" spans="1:33" outlineLevel="1">
      <c r="A40" s="3787"/>
      <c r="B40" s="785" t="s">
        <v>3202</v>
      </c>
      <c r="C40" s="3775"/>
      <c r="D40" s="3776"/>
      <c r="E40" s="1272">
        <v>-0.11</v>
      </c>
      <c r="F40" s="785">
        <v>-4.7E-2</v>
      </c>
      <c r="G40" s="785">
        <v>-1E-3</v>
      </c>
      <c r="H40" s="785">
        <v>-1E-3</v>
      </c>
      <c r="I40" s="2816"/>
      <c r="J40" s="2816"/>
      <c r="L40" s="3787"/>
      <c r="M40" s="785" t="s">
        <v>3202</v>
      </c>
      <c r="N40" s="3775"/>
      <c r="O40" s="3776"/>
      <c r="P40" s="1272">
        <v>-0.11</v>
      </c>
      <c r="Q40" s="785">
        <v>-4.7E-2</v>
      </c>
      <c r="R40" s="785">
        <v>-1E-3</v>
      </c>
      <c r="S40" s="785">
        <v>-1E-3</v>
      </c>
      <c r="T40" s="2816"/>
      <c r="U40" s="2816"/>
      <c r="X40" s="3787"/>
      <c r="Y40" s="785" t="s">
        <v>3202</v>
      </c>
      <c r="Z40" s="3775"/>
      <c r="AA40" s="3776"/>
      <c r="AB40" s="1272">
        <v>-0.11</v>
      </c>
      <c r="AC40" s="785">
        <v>-4.7E-2</v>
      </c>
      <c r="AD40" s="785">
        <v>-1E-3</v>
      </c>
      <c r="AE40" s="785">
        <v>-1E-3</v>
      </c>
      <c r="AF40" s="2816"/>
      <c r="AG40" s="2816"/>
    </row>
    <row r="41" spans="1:33" ht="28.5" outlineLevel="1">
      <c r="A41" s="3787"/>
      <c r="B41" s="785" t="s">
        <v>3203</v>
      </c>
      <c r="C41" s="3777"/>
      <c r="D41" s="3778"/>
      <c r="E41" s="997">
        <f>ABS(E39-E40)</f>
        <v>6.4000000000000001E-2</v>
      </c>
      <c r="F41" s="997">
        <f>(F39-F40)</f>
        <v>2.7E-2</v>
      </c>
      <c r="G41" s="997">
        <f>(G39-G40)</f>
        <v>0.221</v>
      </c>
      <c r="H41" s="997">
        <f>(H39-H40)</f>
        <v>0.251</v>
      </c>
      <c r="I41" s="2816"/>
      <c r="J41" s="2816"/>
      <c r="L41" s="3787"/>
      <c r="M41" s="785" t="s">
        <v>3203</v>
      </c>
      <c r="N41" s="3777"/>
      <c r="O41" s="3778"/>
      <c r="P41" s="997">
        <f>(P39-P40)</f>
        <v>6.4000000000000001E-2</v>
      </c>
      <c r="Q41" s="997">
        <f>(Q39-Q40)</f>
        <v>2.7E-2</v>
      </c>
      <c r="R41" s="997">
        <f>(R39-R40)</f>
        <v>0.221</v>
      </c>
      <c r="S41" s="997">
        <f>(S39-S40)</f>
        <v>0.251</v>
      </c>
      <c r="T41" s="2816"/>
      <c r="U41" s="2816"/>
      <c r="X41" s="3787"/>
      <c r="Y41" s="785" t="s">
        <v>3203</v>
      </c>
      <c r="Z41" s="3777"/>
      <c r="AA41" s="3778"/>
      <c r="AB41" s="997">
        <f>(AB39-AB40)</f>
        <v>6.4000000000000001E-2</v>
      </c>
      <c r="AC41" s="997">
        <f>(AC39-AC40)</f>
        <v>2.7E-2</v>
      </c>
      <c r="AD41" s="997">
        <f>(AD39-AD40)</f>
        <v>0.221</v>
      </c>
      <c r="AE41" s="997">
        <f>(AE39-AE40)</f>
        <v>0.251</v>
      </c>
      <c r="AF41" s="2816"/>
      <c r="AG41" s="2816"/>
    </row>
    <row r="42" spans="1:33" ht="28.5" outlineLevel="1">
      <c r="A42" s="3787"/>
      <c r="B42" s="785" t="s">
        <v>3199</v>
      </c>
      <c r="C42" s="3773" t="s">
        <v>552</v>
      </c>
      <c r="D42" s="3774"/>
      <c r="E42" s="1273">
        <v>3.57</v>
      </c>
      <c r="F42" s="814">
        <v>1.42</v>
      </c>
      <c r="G42" s="814">
        <v>0.03</v>
      </c>
      <c r="H42" s="814">
        <v>0.05</v>
      </c>
      <c r="I42" s="2816"/>
      <c r="J42" s="2816"/>
      <c r="L42" s="3787"/>
      <c r="M42" s="785" t="s">
        <v>3199</v>
      </c>
      <c r="N42" s="3773" t="s">
        <v>552</v>
      </c>
      <c r="O42" s="3774"/>
      <c r="P42" s="1273">
        <v>3.57</v>
      </c>
      <c r="Q42" s="814">
        <v>1.42</v>
      </c>
      <c r="R42" s="814">
        <v>0.03</v>
      </c>
      <c r="S42" s="814">
        <v>0.05</v>
      </c>
      <c r="T42" s="2816"/>
      <c r="U42" s="2816"/>
      <c r="X42" s="3787"/>
      <c r="Y42" s="785" t="s">
        <v>3199</v>
      </c>
      <c r="Z42" s="3773" t="s">
        <v>552</v>
      </c>
      <c r="AA42" s="3774"/>
      <c r="AB42" s="1273">
        <v>3.57</v>
      </c>
      <c r="AC42" s="814">
        <v>1.42</v>
      </c>
      <c r="AD42" s="814">
        <v>0.03</v>
      </c>
      <c r="AE42" s="814">
        <v>0.05</v>
      </c>
      <c r="AF42" s="2816"/>
      <c r="AG42" s="2816"/>
    </row>
    <row r="43" spans="1:33" outlineLevel="1">
      <c r="A43" s="3787"/>
      <c r="B43" s="785" t="s">
        <v>3202</v>
      </c>
      <c r="C43" s="3775"/>
      <c r="D43" s="3776"/>
      <c r="E43" s="1274">
        <v>5</v>
      </c>
      <c r="F43" s="1016">
        <v>1.7</v>
      </c>
      <c r="G43" s="1016">
        <v>0.3</v>
      </c>
      <c r="H43" s="1016">
        <v>0.3</v>
      </c>
      <c r="I43" s="2816"/>
      <c r="J43" s="2816"/>
      <c r="L43" s="3787"/>
      <c r="M43" s="785" t="s">
        <v>3202</v>
      </c>
      <c r="N43" s="3775"/>
      <c r="O43" s="3776"/>
      <c r="P43" s="1274">
        <v>5</v>
      </c>
      <c r="Q43" s="1016">
        <v>1.7</v>
      </c>
      <c r="R43" s="1016">
        <v>0.3</v>
      </c>
      <c r="S43" s="1016">
        <v>0.3</v>
      </c>
      <c r="T43" s="2816"/>
      <c r="U43" s="2816"/>
      <c r="X43" s="3787"/>
      <c r="Y43" s="785" t="s">
        <v>3202</v>
      </c>
      <c r="Z43" s="3775"/>
      <c r="AA43" s="3776"/>
      <c r="AB43" s="1274">
        <v>5</v>
      </c>
      <c r="AC43" s="1016">
        <v>1.7</v>
      </c>
      <c r="AD43" s="1016">
        <v>0.3</v>
      </c>
      <c r="AE43" s="1016">
        <v>0.3</v>
      </c>
      <c r="AF43" s="2816"/>
      <c r="AG43" s="2816"/>
    </row>
    <row r="44" spans="1:33" ht="28.5" outlineLevel="1">
      <c r="A44" s="3787"/>
      <c r="B44" s="785" t="s">
        <v>3203</v>
      </c>
      <c r="C44" s="3777"/>
      <c r="D44" s="3778"/>
      <c r="E44" s="1274">
        <f>ABS(E42-E43)</f>
        <v>1.4300000000000002</v>
      </c>
      <c r="F44" s="1274">
        <f>(F42-F43)</f>
        <v>-0.28000000000000003</v>
      </c>
      <c r="G44" s="1274">
        <f>(G42-G43)</f>
        <v>-0.27</v>
      </c>
      <c r="H44" s="1274">
        <f>(H42-H43)</f>
        <v>-0.25</v>
      </c>
      <c r="I44" s="2396"/>
      <c r="J44" s="2816"/>
      <c r="L44" s="3787"/>
      <c r="M44" s="785" t="s">
        <v>3203</v>
      </c>
      <c r="N44" s="3777"/>
      <c r="O44" s="3778"/>
      <c r="P44" s="1274">
        <f>(P42-P43)</f>
        <v>-1.4300000000000002</v>
      </c>
      <c r="Q44" s="1274">
        <f>(Q42-Q43)</f>
        <v>-0.28000000000000003</v>
      </c>
      <c r="R44" s="1274">
        <f>(R42-R43)</f>
        <v>-0.27</v>
      </c>
      <c r="S44" s="1274">
        <f>(S42-S43)</f>
        <v>-0.25</v>
      </c>
      <c r="T44" s="2396"/>
      <c r="U44" s="2816"/>
      <c r="X44" s="3787"/>
      <c r="Y44" s="785" t="s">
        <v>3203</v>
      </c>
      <c r="Z44" s="3777"/>
      <c r="AA44" s="3778"/>
      <c r="AB44" s="1274">
        <f>(AB42-AB43)</f>
        <v>-1.4300000000000002</v>
      </c>
      <c r="AC44" s="1274">
        <f>(AC42-AC43)</f>
        <v>-0.28000000000000003</v>
      </c>
      <c r="AD44" s="1274">
        <f>(AD42-AD43)</f>
        <v>-0.27</v>
      </c>
      <c r="AE44" s="1274">
        <f>(AE42-AE43)</f>
        <v>-0.25</v>
      </c>
      <c r="AF44" s="2396"/>
      <c r="AG44" s="2816"/>
    </row>
    <row r="45" spans="1:33" ht="28.5" outlineLevel="1">
      <c r="A45" s="3787"/>
      <c r="B45" s="731" t="s">
        <v>3199</v>
      </c>
      <c r="C45" s="3779" t="s">
        <v>3200</v>
      </c>
      <c r="D45" s="3780"/>
      <c r="E45" s="1275">
        <v>2.8000000000000001E-2</v>
      </c>
      <c r="F45" s="731">
        <v>3.1E-2</v>
      </c>
      <c r="G45" s="1018">
        <v>4.5999999999999999E-2</v>
      </c>
      <c r="H45" s="731" t="s">
        <v>2075</v>
      </c>
      <c r="I45" s="2395">
        <v>2.5</v>
      </c>
      <c r="J45" s="2816"/>
      <c r="L45" s="3787"/>
      <c r="M45" s="731" t="s">
        <v>3199</v>
      </c>
      <c r="N45" s="3779" t="s">
        <v>3200</v>
      </c>
      <c r="O45" s="3780"/>
      <c r="P45" s="1275">
        <v>2.8000000000000001E-2</v>
      </c>
      <c r="Q45" s="731">
        <v>3.1E-2</v>
      </c>
      <c r="R45" s="1018">
        <v>4.5999999999999999E-2</v>
      </c>
      <c r="S45" s="731" t="s">
        <v>2075</v>
      </c>
      <c r="T45" s="2395">
        <v>2.5</v>
      </c>
      <c r="U45" s="2816"/>
      <c r="X45" s="3787"/>
      <c r="Y45" s="731" t="s">
        <v>3199</v>
      </c>
      <c r="Z45" s="3779" t="s">
        <v>3200</v>
      </c>
      <c r="AA45" s="3780"/>
      <c r="AB45" s="1275">
        <v>2.8000000000000001E-2</v>
      </c>
      <c r="AC45" s="731">
        <v>3.1E-2</v>
      </c>
      <c r="AD45" s="1018">
        <v>4.5999999999999999E-2</v>
      </c>
      <c r="AE45" s="731" t="s">
        <v>2075</v>
      </c>
      <c r="AF45" s="2395">
        <v>2.5</v>
      </c>
      <c r="AG45" s="2816"/>
    </row>
    <row r="46" spans="1:33" outlineLevel="1">
      <c r="A46" s="3787"/>
      <c r="B46" s="731" t="s">
        <v>3202</v>
      </c>
      <c r="C46" s="3781"/>
      <c r="D46" s="3782"/>
      <c r="E46" s="731">
        <v>-5.0000000000000001E-3</v>
      </c>
      <c r="F46" s="731">
        <v>5.0000000000000001E-3</v>
      </c>
      <c r="G46" s="731">
        <v>2.9000000000000001E-2</v>
      </c>
      <c r="H46" s="731" t="s">
        <v>2075</v>
      </c>
      <c r="I46" s="2816"/>
      <c r="J46" s="2816"/>
      <c r="L46" s="3787"/>
      <c r="M46" s="731" t="s">
        <v>3202</v>
      </c>
      <c r="N46" s="3781"/>
      <c r="O46" s="3782"/>
      <c r="P46" s="731">
        <v>-5.0000000000000001E-3</v>
      </c>
      <c r="Q46" s="731">
        <v>5.0000000000000001E-3</v>
      </c>
      <c r="R46" s="731">
        <v>2.9000000000000001E-2</v>
      </c>
      <c r="S46" s="731" t="s">
        <v>2075</v>
      </c>
      <c r="T46" s="2816"/>
      <c r="U46" s="2816"/>
      <c r="X46" s="3787"/>
      <c r="Y46" s="731" t="s">
        <v>3202</v>
      </c>
      <c r="Z46" s="3781"/>
      <c r="AA46" s="3782"/>
      <c r="AB46" s="731">
        <v>-5.0000000000000001E-3</v>
      </c>
      <c r="AC46" s="731">
        <v>5.0000000000000001E-3</v>
      </c>
      <c r="AD46" s="731">
        <v>2.9000000000000001E-2</v>
      </c>
      <c r="AE46" s="731" t="s">
        <v>2075</v>
      </c>
      <c r="AF46" s="2816"/>
      <c r="AG46" s="2816"/>
    </row>
    <row r="47" spans="1:33" ht="28.5" outlineLevel="1">
      <c r="A47" s="3787"/>
      <c r="B47" s="731" t="s">
        <v>3203</v>
      </c>
      <c r="C47" s="3783"/>
      <c r="D47" s="3784"/>
      <c r="E47" s="1018">
        <f>(E45-E46)</f>
        <v>3.3000000000000002E-2</v>
      </c>
      <c r="F47" s="1018">
        <f>(F45-F46)</f>
        <v>2.5999999999999999E-2</v>
      </c>
      <c r="G47" s="1018">
        <f>(G45-G46)</f>
        <v>1.6999999999999998E-2</v>
      </c>
      <c r="H47" s="731" t="s">
        <v>2075</v>
      </c>
      <c r="I47" s="2816"/>
      <c r="J47" s="2816"/>
      <c r="L47" s="3787"/>
      <c r="M47" s="731" t="s">
        <v>3203</v>
      </c>
      <c r="N47" s="3783"/>
      <c r="O47" s="3784"/>
      <c r="P47" s="1018">
        <f>(P45-P46)</f>
        <v>3.3000000000000002E-2</v>
      </c>
      <c r="Q47" s="1018">
        <f>(Q45-Q46)</f>
        <v>2.5999999999999999E-2</v>
      </c>
      <c r="R47" s="1018">
        <f>(R45-R46)</f>
        <v>1.6999999999999998E-2</v>
      </c>
      <c r="S47" s="731" t="s">
        <v>2075</v>
      </c>
      <c r="T47" s="2816"/>
      <c r="U47" s="2816"/>
      <c r="X47" s="3787"/>
      <c r="Y47" s="731" t="s">
        <v>3203</v>
      </c>
      <c r="Z47" s="3783"/>
      <c r="AA47" s="3784"/>
      <c r="AB47" s="1018">
        <f>(AB45-AB46)</f>
        <v>3.3000000000000002E-2</v>
      </c>
      <c r="AC47" s="1018">
        <f>(AC45-AC46)</f>
        <v>2.5999999999999999E-2</v>
      </c>
      <c r="AD47" s="1018">
        <f>(AD45-AD46)</f>
        <v>1.6999999999999998E-2</v>
      </c>
      <c r="AE47" s="731" t="s">
        <v>2075</v>
      </c>
      <c r="AF47" s="2816"/>
      <c r="AG47" s="2816"/>
    </row>
    <row r="48" spans="1:33" ht="28.5" outlineLevel="1">
      <c r="A48" s="3787"/>
      <c r="B48" s="731" t="s">
        <v>3199</v>
      </c>
      <c r="C48" s="3779" t="s">
        <v>552</v>
      </c>
      <c r="D48" s="3780"/>
      <c r="E48" s="1016">
        <v>2.89</v>
      </c>
      <c r="F48" s="1016">
        <v>1.74</v>
      </c>
      <c r="G48" s="1016">
        <v>0.45</v>
      </c>
      <c r="H48" s="731" t="s">
        <v>2075</v>
      </c>
      <c r="I48" s="2816"/>
      <c r="J48" s="2816"/>
      <c r="L48" s="3787"/>
      <c r="M48" s="731" t="s">
        <v>3199</v>
      </c>
      <c r="N48" s="3779" t="s">
        <v>552</v>
      </c>
      <c r="O48" s="3780"/>
      <c r="P48" s="1016">
        <v>2.89</v>
      </c>
      <c r="Q48" s="1016">
        <v>1.74</v>
      </c>
      <c r="R48" s="1016">
        <v>0.45</v>
      </c>
      <c r="S48" s="731" t="s">
        <v>2075</v>
      </c>
      <c r="T48" s="2816"/>
      <c r="U48" s="2816"/>
      <c r="X48" s="3787"/>
      <c r="Y48" s="731" t="s">
        <v>3199</v>
      </c>
      <c r="Z48" s="3779" t="s">
        <v>552</v>
      </c>
      <c r="AA48" s="3780"/>
      <c r="AB48" s="1016">
        <v>2.89</v>
      </c>
      <c r="AC48" s="1016">
        <v>1.74</v>
      </c>
      <c r="AD48" s="1016">
        <v>0.45</v>
      </c>
      <c r="AE48" s="731" t="s">
        <v>2075</v>
      </c>
      <c r="AF48" s="2816"/>
      <c r="AG48" s="2816"/>
    </row>
    <row r="49" spans="1:33" outlineLevel="1">
      <c r="A49" s="3787"/>
      <c r="B49" s="731" t="s">
        <v>3202</v>
      </c>
      <c r="C49" s="3781"/>
      <c r="D49" s="3782"/>
      <c r="E49" s="1016">
        <v>3.6</v>
      </c>
      <c r="F49" s="1016">
        <v>1.8</v>
      </c>
      <c r="G49" s="1016">
        <v>0.5</v>
      </c>
      <c r="H49" s="731" t="s">
        <v>2075</v>
      </c>
      <c r="I49" s="2816"/>
      <c r="J49" s="2816"/>
      <c r="L49" s="3787"/>
      <c r="M49" s="731" t="s">
        <v>3202</v>
      </c>
      <c r="N49" s="3781"/>
      <c r="O49" s="3782"/>
      <c r="P49" s="1016">
        <v>3.6</v>
      </c>
      <c r="Q49" s="1016">
        <v>1.8</v>
      </c>
      <c r="R49" s="1016">
        <v>0.5</v>
      </c>
      <c r="S49" s="731" t="s">
        <v>2075</v>
      </c>
      <c r="T49" s="2816"/>
      <c r="U49" s="2816"/>
      <c r="X49" s="3787"/>
      <c r="Y49" s="731" t="s">
        <v>3202</v>
      </c>
      <c r="Z49" s="3781"/>
      <c r="AA49" s="3782"/>
      <c r="AB49" s="1016">
        <v>3.6</v>
      </c>
      <c r="AC49" s="1016">
        <v>1.8</v>
      </c>
      <c r="AD49" s="1016">
        <v>0.5</v>
      </c>
      <c r="AE49" s="731" t="s">
        <v>2075</v>
      </c>
      <c r="AF49" s="2816"/>
      <c r="AG49" s="2816"/>
    </row>
    <row r="50" spans="1:33" ht="28.5" outlineLevel="1">
      <c r="A50" s="2400"/>
      <c r="B50" s="731" t="s">
        <v>3203</v>
      </c>
      <c r="C50" s="3783"/>
      <c r="D50" s="3784"/>
      <c r="E50" s="1016">
        <f>(E48-E49)</f>
        <v>-0.71</v>
      </c>
      <c r="F50" s="1016">
        <f>(F48-F49)</f>
        <v>-6.0000000000000053E-2</v>
      </c>
      <c r="G50" s="1016">
        <f>(G48-G49)</f>
        <v>-4.9999999999999989E-2</v>
      </c>
      <c r="H50" s="731" t="s">
        <v>2075</v>
      </c>
      <c r="I50" s="2396"/>
      <c r="J50" s="2816"/>
      <c r="L50" s="2400"/>
      <c r="M50" s="731" t="s">
        <v>3203</v>
      </c>
      <c r="N50" s="3783"/>
      <c r="O50" s="3784"/>
      <c r="P50" s="1016">
        <f>(P48-P49)</f>
        <v>-0.71</v>
      </c>
      <c r="Q50" s="1016">
        <f>(Q48-Q49)</f>
        <v>-6.0000000000000053E-2</v>
      </c>
      <c r="R50" s="1016">
        <f>(R48-R49)</f>
        <v>-4.9999999999999989E-2</v>
      </c>
      <c r="S50" s="731" t="s">
        <v>2075</v>
      </c>
      <c r="T50" s="2396"/>
      <c r="U50" s="2816"/>
      <c r="X50" s="2400"/>
      <c r="Y50" s="731" t="s">
        <v>3203</v>
      </c>
      <c r="Z50" s="3783"/>
      <c r="AA50" s="3784"/>
      <c r="AB50" s="1016">
        <f>(AB48-AB49)</f>
        <v>-0.71</v>
      </c>
      <c r="AC50" s="1016">
        <f>(AC48-AC49)</f>
        <v>-6.0000000000000053E-2</v>
      </c>
      <c r="AD50" s="1016">
        <f>(AD48-AD49)</f>
        <v>-4.9999999999999989E-2</v>
      </c>
      <c r="AE50" s="731" t="s">
        <v>2075</v>
      </c>
      <c r="AF50" s="2396"/>
      <c r="AG50" s="2816"/>
    </row>
    <row r="51" spans="1:33" ht="28.5" customHeight="1" outlineLevel="1">
      <c r="A51" s="2735" t="s">
        <v>3204</v>
      </c>
      <c r="B51" s="731" t="s">
        <v>3199</v>
      </c>
      <c r="C51" s="3779" t="s">
        <v>3200</v>
      </c>
      <c r="D51" s="3780"/>
      <c r="E51" s="1276">
        <v>-0.17599999999999999</v>
      </c>
      <c r="F51" s="1276">
        <v>-0.108</v>
      </c>
      <c r="G51" s="1276">
        <v>-1.7000000000000001E-2</v>
      </c>
      <c r="H51" s="1276">
        <v>-1.4999999999999999E-2</v>
      </c>
      <c r="I51" s="2735">
        <v>10</v>
      </c>
      <c r="J51" s="2816"/>
      <c r="L51" s="3771" t="s">
        <v>3205</v>
      </c>
      <c r="M51" s="731" t="s">
        <v>3199</v>
      </c>
      <c r="N51" s="3779" t="s">
        <v>3200</v>
      </c>
      <c r="O51" s="3780"/>
      <c r="P51" s="1276">
        <v>-0.17599999999999999</v>
      </c>
      <c r="Q51" s="1276">
        <v>-0.108</v>
      </c>
      <c r="R51" s="1276">
        <v>-1.7000000000000001E-2</v>
      </c>
      <c r="S51" s="1276">
        <v>-1.4999999999999999E-2</v>
      </c>
      <c r="T51" s="2735">
        <v>10</v>
      </c>
      <c r="U51" s="2816"/>
      <c r="X51" s="3771" t="s">
        <v>3205</v>
      </c>
      <c r="Y51" s="731" t="s">
        <v>3199</v>
      </c>
      <c r="Z51" s="3779" t="s">
        <v>3200</v>
      </c>
      <c r="AA51" s="3780"/>
      <c r="AB51" s="1276">
        <v>-0.17599999999999999</v>
      </c>
      <c r="AC51" s="1276">
        <v>-0.108</v>
      </c>
      <c r="AD51" s="1276">
        <v>-1.7000000000000001E-2</v>
      </c>
      <c r="AE51" s="1276">
        <v>-1.4999999999999999E-2</v>
      </c>
      <c r="AF51" s="2735">
        <v>10</v>
      </c>
      <c r="AG51" s="2816"/>
    </row>
    <row r="52" spans="1:33" outlineLevel="1">
      <c r="A52" s="2736"/>
      <c r="B52" s="731" t="s">
        <v>3202</v>
      </c>
      <c r="C52" s="3781"/>
      <c r="D52" s="3782"/>
      <c r="E52" s="731">
        <v>-0.26800000000000002</v>
      </c>
      <c r="F52" s="731">
        <v>-0.10100000000000001</v>
      </c>
      <c r="G52" s="731">
        <v>-1.7000000000000001E-2</v>
      </c>
      <c r="H52" s="731">
        <v>-1.2999999999999999E-2</v>
      </c>
      <c r="I52" s="2431"/>
      <c r="J52" s="2535"/>
      <c r="L52" s="2736"/>
      <c r="M52" s="731" t="s">
        <v>3202</v>
      </c>
      <c r="N52" s="3781"/>
      <c r="O52" s="3782"/>
      <c r="P52" s="731">
        <v>-0.26800000000000002</v>
      </c>
      <c r="Q52" s="731">
        <v>-0.10100000000000001</v>
      </c>
      <c r="R52" s="731">
        <v>-1.7000000000000001E-2</v>
      </c>
      <c r="S52" s="731">
        <v>-1.2999999999999999E-2</v>
      </c>
      <c r="T52" s="2431"/>
      <c r="U52" s="2535"/>
      <c r="X52" s="2736"/>
      <c r="Y52" s="731" t="s">
        <v>3202</v>
      </c>
      <c r="Z52" s="3781"/>
      <c r="AA52" s="3782"/>
      <c r="AB52" s="731">
        <v>-0.26800000000000002</v>
      </c>
      <c r="AC52" s="731">
        <v>-0.10100000000000001</v>
      </c>
      <c r="AD52" s="731">
        <v>-1.7000000000000001E-2</v>
      </c>
      <c r="AE52" s="731">
        <v>-1.2999999999999999E-2</v>
      </c>
      <c r="AF52" s="2431"/>
      <c r="AG52" s="2535"/>
    </row>
    <row r="53" spans="1:33" ht="28.5" outlineLevel="1">
      <c r="A53" s="2736"/>
      <c r="B53" s="731" t="s">
        <v>3203</v>
      </c>
      <c r="C53" s="3783"/>
      <c r="D53" s="3784"/>
      <c r="E53" s="1277">
        <f>(E51-E52)</f>
        <v>9.2000000000000026E-2</v>
      </c>
      <c r="F53" s="1277">
        <f>(F51-F52)</f>
        <v>-6.9999999999999923E-3</v>
      </c>
      <c r="G53" s="1277">
        <f>(G51-G52)</f>
        <v>0</v>
      </c>
      <c r="H53" s="1277">
        <f>(H51-H52)</f>
        <v>-2E-3</v>
      </c>
      <c r="I53" s="2736"/>
      <c r="J53" s="2816"/>
      <c r="L53" s="2736"/>
      <c r="M53" s="731" t="s">
        <v>3203</v>
      </c>
      <c r="N53" s="3783"/>
      <c r="O53" s="3784"/>
      <c r="P53" s="1277">
        <f>(P51-P52)</f>
        <v>9.2000000000000026E-2</v>
      </c>
      <c r="Q53" s="1277">
        <f>(Q51-Q52)</f>
        <v>-6.9999999999999923E-3</v>
      </c>
      <c r="R53" s="1277">
        <f>(R51-R52)</f>
        <v>0</v>
      </c>
      <c r="S53" s="1277">
        <f>(S51-S52)</f>
        <v>-2E-3</v>
      </c>
      <c r="T53" s="2736"/>
      <c r="U53" s="2816"/>
      <c r="X53" s="2736"/>
      <c r="Y53" s="731" t="s">
        <v>3203</v>
      </c>
      <c r="Z53" s="3783"/>
      <c r="AA53" s="3784"/>
      <c r="AB53" s="1277">
        <f>(AB51-AB52)</f>
        <v>9.2000000000000026E-2</v>
      </c>
      <c r="AC53" s="1277">
        <f>(AC51-AC52)</f>
        <v>-6.9999999999999923E-3</v>
      </c>
      <c r="AD53" s="1277">
        <f>(AD51-AD52)</f>
        <v>0</v>
      </c>
      <c r="AE53" s="1277">
        <f>(AE51-AE52)</f>
        <v>-2E-3</v>
      </c>
      <c r="AF53" s="2736"/>
      <c r="AG53" s="2816"/>
    </row>
    <row r="54" spans="1:33" ht="28.5" outlineLevel="1">
      <c r="A54" s="2736"/>
      <c r="B54" s="731" t="s">
        <v>3199</v>
      </c>
      <c r="C54" s="3779" t="s">
        <v>552</v>
      </c>
      <c r="D54" s="3780"/>
      <c r="E54" s="1016">
        <v>5.59</v>
      </c>
      <c r="F54" s="1016">
        <v>1.42</v>
      </c>
      <c r="G54" s="1016">
        <v>0</v>
      </c>
      <c r="H54" s="1016">
        <v>0</v>
      </c>
      <c r="I54" s="2736"/>
      <c r="J54" s="2816"/>
      <c r="L54" s="2736"/>
      <c r="M54" s="731" t="s">
        <v>3199</v>
      </c>
      <c r="N54" s="3779" t="s">
        <v>552</v>
      </c>
      <c r="O54" s="3780"/>
      <c r="P54" s="1016">
        <v>5.59</v>
      </c>
      <c r="Q54" s="1016">
        <v>1.42</v>
      </c>
      <c r="R54" s="1016">
        <v>0</v>
      </c>
      <c r="S54" s="1016">
        <v>0</v>
      </c>
      <c r="T54" s="2736"/>
      <c r="U54" s="2816"/>
      <c r="X54" s="2736"/>
      <c r="Y54" s="731" t="s">
        <v>3199</v>
      </c>
      <c r="Z54" s="3779" t="s">
        <v>552</v>
      </c>
      <c r="AA54" s="3780"/>
      <c r="AB54" s="1016">
        <v>5.59</v>
      </c>
      <c r="AC54" s="1016">
        <v>1.42</v>
      </c>
      <c r="AD54" s="1016">
        <v>0</v>
      </c>
      <c r="AE54" s="1016">
        <v>0</v>
      </c>
      <c r="AF54" s="2736"/>
      <c r="AG54" s="2816"/>
    </row>
    <row r="55" spans="1:33" outlineLevel="1">
      <c r="A55" s="2736"/>
      <c r="B55" s="731" t="s">
        <v>3202</v>
      </c>
      <c r="C55" s="3781"/>
      <c r="D55" s="3782"/>
      <c r="E55" s="1016">
        <v>8.4</v>
      </c>
      <c r="F55" s="1016">
        <v>1.7</v>
      </c>
      <c r="G55" s="1016">
        <v>0.4</v>
      </c>
      <c r="H55" s="1016">
        <v>0.5</v>
      </c>
      <c r="I55" s="2736"/>
      <c r="J55" s="2816"/>
      <c r="L55" s="2736"/>
      <c r="M55" s="731" t="s">
        <v>3202</v>
      </c>
      <c r="N55" s="3781"/>
      <c r="O55" s="3782"/>
      <c r="P55" s="1016">
        <v>8.4</v>
      </c>
      <c r="Q55" s="1016">
        <v>1.7</v>
      </c>
      <c r="R55" s="1016">
        <v>0.4</v>
      </c>
      <c r="S55" s="1016">
        <v>0.5</v>
      </c>
      <c r="T55" s="2736"/>
      <c r="U55" s="2816"/>
      <c r="X55" s="2736"/>
      <c r="Y55" s="731" t="s">
        <v>3202</v>
      </c>
      <c r="Z55" s="3781"/>
      <c r="AA55" s="3782"/>
      <c r="AB55" s="1016">
        <v>8.4</v>
      </c>
      <c r="AC55" s="1016">
        <v>1.7</v>
      </c>
      <c r="AD55" s="1016">
        <v>0.4</v>
      </c>
      <c r="AE55" s="1016">
        <v>0.5</v>
      </c>
      <c r="AF55" s="2736"/>
      <c r="AG55" s="2816"/>
    </row>
    <row r="56" spans="1:33" ht="28.5" outlineLevel="1">
      <c r="A56" s="2736"/>
      <c r="B56" s="731" t="s">
        <v>3203</v>
      </c>
      <c r="C56" s="3783"/>
      <c r="D56" s="3784"/>
      <c r="E56" s="1016">
        <f>(E54-E55)</f>
        <v>-2.8100000000000005</v>
      </c>
      <c r="F56" s="731">
        <f>F54-F55</f>
        <v>-0.28000000000000003</v>
      </c>
      <c r="G56" s="1016">
        <f>(G54-G55)</f>
        <v>-0.4</v>
      </c>
      <c r="H56" s="1016">
        <f>(H54-H55)</f>
        <v>-0.5</v>
      </c>
      <c r="I56" s="2737"/>
      <c r="J56" s="2816"/>
      <c r="L56" s="2736"/>
      <c r="M56" s="731" t="s">
        <v>3203</v>
      </c>
      <c r="N56" s="3783"/>
      <c r="O56" s="3784"/>
      <c r="P56" s="1016">
        <f>(P54-P55)</f>
        <v>-2.8100000000000005</v>
      </c>
      <c r="Q56" s="731">
        <f>Q54-Q55</f>
        <v>-0.28000000000000003</v>
      </c>
      <c r="R56" s="1016">
        <f>(R54-R55)</f>
        <v>-0.4</v>
      </c>
      <c r="S56" s="1016">
        <f>(S54-S55)</f>
        <v>-0.5</v>
      </c>
      <c r="T56" s="2737"/>
      <c r="U56" s="2816"/>
      <c r="X56" s="2736"/>
      <c r="Y56" s="731" t="s">
        <v>3203</v>
      </c>
      <c r="Z56" s="3783"/>
      <c r="AA56" s="3784"/>
      <c r="AB56" s="1016">
        <f>(AB54-AB55)</f>
        <v>-2.8100000000000005</v>
      </c>
      <c r="AC56" s="731">
        <f>AC54-AC55</f>
        <v>-0.28000000000000003</v>
      </c>
      <c r="AD56" s="1016">
        <f>(AD54-AD55)</f>
        <v>-0.4</v>
      </c>
      <c r="AE56" s="1016">
        <f>(AE54-AE55)</f>
        <v>-0.5</v>
      </c>
      <c r="AF56" s="2737"/>
      <c r="AG56" s="2816"/>
    </row>
    <row r="57" spans="1:33" ht="28.5" outlineLevel="1">
      <c r="A57" s="2736"/>
      <c r="B57" s="731" t="s">
        <v>3199</v>
      </c>
      <c r="C57" s="3779" t="s">
        <v>3200</v>
      </c>
      <c r="D57" s="3780"/>
      <c r="E57" s="1018">
        <v>1.0999999999999999E-2</v>
      </c>
      <c r="F57" s="1018">
        <v>0.02</v>
      </c>
      <c r="G57" s="1018">
        <v>4.5999999999999999E-2</v>
      </c>
      <c r="H57" s="731" t="s">
        <v>2075</v>
      </c>
      <c r="I57" s="2735">
        <v>2.5</v>
      </c>
      <c r="J57" s="2816"/>
      <c r="L57" s="2736"/>
      <c r="M57" s="731" t="s">
        <v>3199</v>
      </c>
      <c r="N57" s="3779" t="s">
        <v>3200</v>
      </c>
      <c r="O57" s="3780"/>
      <c r="P57" s="1018">
        <v>1.0999999999999999E-2</v>
      </c>
      <c r="Q57" s="1018">
        <v>0.02</v>
      </c>
      <c r="R57" s="1018">
        <v>4.5999999999999999E-2</v>
      </c>
      <c r="S57" s="731" t="s">
        <v>2075</v>
      </c>
      <c r="T57" s="2735">
        <v>2.5</v>
      </c>
      <c r="U57" s="2816"/>
      <c r="X57" s="2736"/>
      <c r="Y57" s="731" t="s">
        <v>3199</v>
      </c>
      <c r="Z57" s="3779" t="s">
        <v>3200</v>
      </c>
      <c r="AA57" s="3780"/>
      <c r="AB57" s="1018">
        <v>1.0999999999999999E-2</v>
      </c>
      <c r="AC57" s="1018">
        <v>0.02</v>
      </c>
      <c r="AD57" s="1018">
        <v>4.5999999999999999E-2</v>
      </c>
      <c r="AE57" s="731" t="s">
        <v>2075</v>
      </c>
      <c r="AF57" s="2735">
        <v>2.5</v>
      </c>
      <c r="AG57" s="2816"/>
    </row>
    <row r="58" spans="1:33" outlineLevel="1">
      <c r="A58" s="2736"/>
      <c r="B58" s="731" t="s">
        <v>3202</v>
      </c>
      <c r="C58" s="3781"/>
      <c r="D58" s="3782"/>
      <c r="E58" s="1018">
        <v>-0.03</v>
      </c>
      <c r="F58" s="731">
        <v>6.0000000000000001E-3</v>
      </c>
      <c r="G58" s="1018">
        <v>4.4999999999999998E-2</v>
      </c>
      <c r="H58" s="731" t="s">
        <v>2075</v>
      </c>
      <c r="I58" s="2736"/>
      <c r="J58" s="2816"/>
      <c r="L58" s="2736"/>
      <c r="M58" s="731" t="s">
        <v>3202</v>
      </c>
      <c r="N58" s="3781"/>
      <c r="O58" s="3782"/>
      <c r="P58" s="1018">
        <v>-0.03</v>
      </c>
      <c r="Q58" s="731">
        <v>6.0000000000000001E-3</v>
      </c>
      <c r="R58" s="1018">
        <v>4.4999999999999998E-2</v>
      </c>
      <c r="S58" s="731" t="s">
        <v>2075</v>
      </c>
      <c r="T58" s="2736"/>
      <c r="U58" s="2816"/>
      <c r="X58" s="2736"/>
      <c r="Y58" s="731" t="s">
        <v>3202</v>
      </c>
      <c r="Z58" s="3781"/>
      <c r="AA58" s="3782"/>
      <c r="AB58" s="1018">
        <v>-0.03</v>
      </c>
      <c r="AC58" s="731">
        <v>6.0000000000000001E-3</v>
      </c>
      <c r="AD58" s="1018">
        <v>4.4999999999999998E-2</v>
      </c>
      <c r="AE58" s="731" t="s">
        <v>2075</v>
      </c>
      <c r="AF58" s="2736"/>
      <c r="AG58" s="2816"/>
    </row>
    <row r="59" spans="1:33" ht="28.5" outlineLevel="1">
      <c r="A59" s="2736"/>
      <c r="B59" s="731" t="s">
        <v>3203</v>
      </c>
      <c r="C59" s="3783"/>
      <c r="D59" s="3784"/>
      <c r="E59" s="1018">
        <f>(E57-E58)</f>
        <v>4.0999999999999995E-2</v>
      </c>
      <c r="F59" s="1018">
        <f>(F57-F58)</f>
        <v>1.4E-2</v>
      </c>
      <c r="G59" s="1018">
        <f>(G57-G58)</f>
        <v>1.0000000000000009E-3</v>
      </c>
      <c r="H59" s="731" t="s">
        <v>2075</v>
      </c>
      <c r="I59" s="2736"/>
      <c r="J59" s="2816"/>
      <c r="L59" s="2736"/>
      <c r="M59" s="731" t="s">
        <v>3203</v>
      </c>
      <c r="N59" s="3783"/>
      <c r="O59" s="3784"/>
      <c r="P59" s="1018">
        <f>(P57-P58)</f>
        <v>4.0999999999999995E-2</v>
      </c>
      <c r="Q59" s="1018">
        <f>(Q57-Q58)</f>
        <v>1.4E-2</v>
      </c>
      <c r="R59" s="1018">
        <f>(R57-R58)</f>
        <v>1.0000000000000009E-3</v>
      </c>
      <c r="S59" s="731" t="s">
        <v>2075</v>
      </c>
      <c r="T59" s="2736"/>
      <c r="U59" s="2816"/>
      <c r="X59" s="2736"/>
      <c r="Y59" s="731" t="s">
        <v>3203</v>
      </c>
      <c r="Z59" s="3783"/>
      <c r="AA59" s="3784"/>
      <c r="AB59" s="1018">
        <f>(AB57-AB58)</f>
        <v>4.0999999999999995E-2</v>
      </c>
      <c r="AC59" s="1018">
        <f>(AC57-AC58)</f>
        <v>1.4E-2</v>
      </c>
      <c r="AD59" s="1018">
        <f>(AD57-AD58)</f>
        <v>1.0000000000000009E-3</v>
      </c>
      <c r="AE59" s="731" t="s">
        <v>2075</v>
      </c>
      <c r="AF59" s="2736"/>
      <c r="AG59" s="2816"/>
    </row>
    <row r="60" spans="1:33" ht="28.5" outlineLevel="1">
      <c r="A60" s="2736"/>
      <c r="B60" s="731" t="s">
        <v>3199</v>
      </c>
      <c r="C60" s="3779" t="s">
        <v>552</v>
      </c>
      <c r="D60" s="3780"/>
      <c r="E60" s="1274">
        <v>3.8</v>
      </c>
      <c r="F60" s="1274">
        <v>2.31</v>
      </c>
      <c r="G60" s="1274">
        <v>0.42</v>
      </c>
      <c r="H60" s="731" t="s">
        <v>2075</v>
      </c>
      <c r="I60" s="2736"/>
      <c r="J60" s="2816"/>
      <c r="L60" s="2736"/>
      <c r="M60" s="731" t="s">
        <v>3199</v>
      </c>
      <c r="N60" s="3779" t="s">
        <v>552</v>
      </c>
      <c r="O60" s="3780"/>
      <c r="P60" s="1274">
        <v>3.8</v>
      </c>
      <c r="Q60" s="1274">
        <v>2.31</v>
      </c>
      <c r="R60" s="1274">
        <v>0.42</v>
      </c>
      <c r="S60" s="731" t="s">
        <v>2075</v>
      </c>
      <c r="T60" s="2736"/>
      <c r="U60" s="2816"/>
      <c r="X60" s="2736"/>
      <c r="Y60" s="731" t="s">
        <v>3199</v>
      </c>
      <c r="Z60" s="3779" t="s">
        <v>552</v>
      </c>
      <c r="AA60" s="3780"/>
      <c r="AB60" s="1274">
        <v>3.8</v>
      </c>
      <c r="AC60" s="1274">
        <v>2.31</v>
      </c>
      <c r="AD60" s="1274">
        <v>0.42</v>
      </c>
      <c r="AE60" s="731" t="s">
        <v>2075</v>
      </c>
      <c r="AF60" s="2736"/>
      <c r="AG60" s="2816"/>
    </row>
    <row r="61" spans="1:33" outlineLevel="1">
      <c r="A61" s="2736"/>
      <c r="B61" s="731" t="s">
        <v>3202</v>
      </c>
      <c r="C61" s="3781"/>
      <c r="D61" s="3782"/>
      <c r="E61" s="1016">
        <v>6.4</v>
      </c>
      <c r="F61" s="1016">
        <v>3.4</v>
      </c>
      <c r="G61" s="1016">
        <v>1.7</v>
      </c>
      <c r="H61" s="731" t="s">
        <v>2075</v>
      </c>
      <c r="I61" s="2736"/>
      <c r="J61" s="2816"/>
      <c r="L61" s="2736"/>
      <c r="M61" s="731" t="s">
        <v>3202</v>
      </c>
      <c r="N61" s="3781"/>
      <c r="O61" s="3782"/>
      <c r="P61" s="1016">
        <v>6.4</v>
      </c>
      <c r="Q61" s="1016">
        <v>3.4</v>
      </c>
      <c r="R61" s="1016">
        <v>1.7</v>
      </c>
      <c r="S61" s="731" t="s">
        <v>2075</v>
      </c>
      <c r="T61" s="2736"/>
      <c r="U61" s="2816"/>
      <c r="X61" s="2736"/>
      <c r="Y61" s="731" t="s">
        <v>3202</v>
      </c>
      <c r="Z61" s="3781"/>
      <c r="AA61" s="3782"/>
      <c r="AB61" s="1016">
        <v>6.4</v>
      </c>
      <c r="AC61" s="1016">
        <v>3.4</v>
      </c>
      <c r="AD61" s="1016">
        <v>1.7</v>
      </c>
      <c r="AE61" s="731" t="s">
        <v>2075</v>
      </c>
      <c r="AF61" s="2736"/>
      <c r="AG61" s="2816"/>
    </row>
    <row r="62" spans="1:33" ht="28.5" outlineLevel="1">
      <c r="A62" s="2737"/>
      <c r="B62" s="731" t="s">
        <v>3203</v>
      </c>
      <c r="C62" s="3783"/>
      <c r="D62" s="3784"/>
      <c r="E62" s="1016">
        <f>(E60-E61)</f>
        <v>-2.6000000000000005</v>
      </c>
      <c r="F62" s="1016">
        <f>(F60-F61)</f>
        <v>-1.0899999999999999</v>
      </c>
      <c r="G62" s="1016">
        <f>(G60-G61)</f>
        <v>-1.28</v>
      </c>
      <c r="H62" s="731" t="s">
        <v>2075</v>
      </c>
      <c r="I62" s="2737"/>
      <c r="J62" s="2396"/>
      <c r="L62" s="2737"/>
      <c r="M62" s="731" t="s">
        <v>3203</v>
      </c>
      <c r="N62" s="3783"/>
      <c r="O62" s="3784"/>
      <c r="P62" s="1016">
        <f>(P60-P61)</f>
        <v>-2.6000000000000005</v>
      </c>
      <c r="Q62" s="1016">
        <f>(Q60-Q61)</f>
        <v>-1.0899999999999999</v>
      </c>
      <c r="R62" s="1016">
        <f>(R60-R61)</f>
        <v>-1.28</v>
      </c>
      <c r="S62" s="731" t="s">
        <v>2075</v>
      </c>
      <c r="T62" s="2737"/>
      <c r="U62" s="2396"/>
      <c r="X62" s="2737"/>
      <c r="Y62" s="731" t="s">
        <v>3203</v>
      </c>
      <c r="Z62" s="3783"/>
      <c r="AA62" s="3784"/>
      <c r="AB62" s="1016">
        <f>(AB60-AB61)</f>
        <v>-2.6000000000000005</v>
      </c>
      <c r="AC62" s="1016">
        <f>(AC60-AC61)</f>
        <v>-1.0899999999999999</v>
      </c>
      <c r="AD62" s="1016">
        <f>(AD60-AD61)</f>
        <v>-1.28</v>
      </c>
      <c r="AE62" s="731" t="s">
        <v>2075</v>
      </c>
      <c r="AF62" s="2737"/>
      <c r="AG62" s="2396"/>
    </row>
  </sheetData>
  <mergeCells count="64">
    <mergeCell ref="A3:C3"/>
    <mergeCell ref="F35:H35"/>
    <mergeCell ref="F36:H36"/>
    <mergeCell ref="A37:A38"/>
    <mergeCell ref="B37:B38"/>
    <mergeCell ref="C37:D38"/>
    <mergeCell ref="E37:H37"/>
    <mergeCell ref="A51:A62"/>
    <mergeCell ref="C51:D53"/>
    <mergeCell ref="C54:D56"/>
    <mergeCell ref="C57:D59"/>
    <mergeCell ref="J39:J62"/>
    <mergeCell ref="C42:D44"/>
    <mergeCell ref="C45:D47"/>
    <mergeCell ref="I45:I50"/>
    <mergeCell ref="A39:A50"/>
    <mergeCell ref="I57:I62"/>
    <mergeCell ref="C60:D62"/>
    <mergeCell ref="C48:D50"/>
    <mergeCell ref="C39:D41"/>
    <mergeCell ref="I51:I56"/>
    <mergeCell ref="I39:I44"/>
    <mergeCell ref="I37:J37"/>
    <mergeCell ref="J36:N36"/>
    <mergeCell ref="L37:L38"/>
    <mergeCell ref="M37:M38"/>
    <mergeCell ref="N37:O38"/>
    <mergeCell ref="L39:L50"/>
    <mergeCell ref="N39:O41"/>
    <mergeCell ref="T39:T44"/>
    <mergeCell ref="U39:U62"/>
    <mergeCell ref="N60:O62"/>
    <mergeCell ref="L51:L62"/>
    <mergeCell ref="N51:O53"/>
    <mergeCell ref="T51:T56"/>
    <mergeCell ref="N54:O56"/>
    <mergeCell ref="N42:O44"/>
    <mergeCell ref="N57:O59"/>
    <mergeCell ref="T57:T62"/>
    <mergeCell ref="P37:S37"/>
    <mergeCell ref="T37:U37"/>
    <mergeCell ref="Z42:AA44"/>
    <mergeCell ref="N45:O47"/>
    <mergeCell ref="T45:T50"/>
    <mergeCell ref="Z45:AA47"/>
    <mergeCell ref="X37:X38"/>
    <mergeCell ref="Y37:Y38"/>
    <mergeCell ref="Z37:AA38"/>
    <mergeCell ref="X39:X50"/>
    <mergeCell ref="N48:O50"/>
    <mergeCell ref="X51:X62"/>
    <mergeCell ref="AB37:AE37"/>
    <mergeCell ref="AF37:AG37"/>
    <mergeCell ref="Z39:AA41"/>
    <mergeCell ref="AF39:AF44"/>
    <mergeCell ref="AG39:AG62"/>
    <mergeCell ref="Z57:AA59"/>
    <mergeCell ref="AF57:AF62"/>
    <mergeCell ref="Z60:AA62"/>
    <mergeCell ref="Z51:AA53"/>
    <mergeCell ref="AF51:AF56"/>
    <mergeCell ref="Z54:AA56"/>
    <mergeCell ref="AF45:AF50"/>
    <mergeCell ref="Z48:AA50"/>
  </mergeCells>
  <phoneticPr fontId="31" type="noConversion"/>
  <pageMargins left="0.75" right="0.75" top="1" bottom="1" header="0.5" footer="0.5"/>
  <drawing r:id="rId1"/>
  <legacyDrawing r:id="rId2"/>
</worksheet>
</file>

<file path=xl/worksheets/sheet69.xml><?xml version="1.0" encoding="utf-8"?>
<worksheet xmlns="http://schemas.openxmlformats.org/spreadsheetml/2006/main" xmlns:r="http://schemas.openxmlformats.org/officeDocument/2006/relationships">
  <dimension ref="A1:Z35"/>
  <sheetViews>
    <sheetView topLeftCell="A16" workbookViewId="0"/>
  </sheetViews>
  <sheetFormatPr defaultRowHeight="14.25" outlineLevelRow="1"/>
  <cols>
    <col min="1" max="1" width="15.5" customWidth="1"/>
    <col min="4" max="4" width="17.25" bestFit="1" customWidth="1"/>
  </cols>
  <sheetData>
    <row r="1" spans="1:26">
      <c r="B1" s="224" t="s">
        <v>3206</v>
      </c>
      <c r="F1" s="702" t="s">
        <v>3207</v>
      </c>
    </row>
    <row r="2" spans="1:26">
      <c r="A2" s="2298" t="s">
        <v>32</v>
      </c>
      <c r="B2" s="2298"/>
      <c r="C2" s="2298"/>
      <c r="D2" s="2"/>
    </row>
    <row r="3" spans="1:26" ht="18.75">
      <c r="A3" s="699" t="s">
        <v>1920</v>
      </c>
      <c r="B3" s="699"/>
      <c r="C3" s="6" t="s">
        <v>69</v>
      </c>
      <c r="D3" s="6" t="s">
        <v>70</v>
      </c>
      <c r="E3" s="700" t="s">
        <v>3208</v>
      </c>
    </row>
    <row r="4" spans="1:26">
      <c r="A4" s="698" t="s">
        <v>3209</v>
      </c>
      <c r="B4" s="698"/>
      <c r="C4" s="6"/>
      <c r="D4" s="6"/>
      <c r="E4" s="700" t="s">
        <v>3210</v>
      </c>
    </row>
    <row r="5" spans="1:26">
      <c r="A5" s="698" t="s">
        <v>3211</v>
      </c>
      <c r="C5" s="6"/>
      <c r="D5" s="6"/>
      <c r="E5" s="700" t="s">
        <v>3210</v>
      </c>
    </row>
    <row r="6" spans="1:26">
      <c r="A6" s="698" t="s">
        <v>2165</v>
      </c>
      <c r="B6" s="698" t="s">
        <v>3212</v>
      </c>
      <c r="C6" s="6"/>
      <c r="D6" s="6"/>
      <c r="E6" s="700" t="s">
        <v>1925</v>
      </c>
    </row>
    <row r="7" spans="1:26">
      <c r="A7" s="698"/>
      <c r="B7" s="698" t="s">
        <v>3213</v>
      </c>
      <c r="C7" s="6"/>
      <c r="D7" s="6"/>
      <c r="E7" s="700"/>
    </row>
    <row r="8" spans="1:26">
      <c r="A8" s="698" t="s">
        <v>3216</v>
      </c>
      <c r="B8" s="698"/>
      <c r="C8" s="6"/>
      <c r="D8" s="6"/>
      <c r="E8" s="700" t="s">
        <v>3210</v>
      </c>
    </row>
    <row r="9" spans="1:26">
      <c r="A9" s="6"/>
      <c r="B9" s="6"/>
      <c r="C9" s="6"/>
      <c r="D9" s="6"/>
      <c r="E9" s="2"/>
    </row>
    <row r="10" spans="1:26">
      <c r="A10" s="6"/>
      <c r="B10" s="6"/>
      <c r="C10" s="6"/>
      <c r="D10" s="6"/>
      <c r="E10" s="2"/>
    </row>
    <row r="11" spans="1:26">
      <c r="A11" s="6"/>
      <c r="B11" s="6"/>
      <c r="C11" s="6"/>
      <c r="D11" s="6"/>
      <c r="E11" s="2"/>
    </row>
    <row r="12" spans="1:26">
      <c r="A12" t="s">
        <v>73</v>
      </c>
    </row>
    <row r="14" spans="1:26">
      <c r="A14" s="818" t="s">
        <v>3214</v>
      </c>
      <c r="B14" s="702" t="s">
        <v>3217</v>
      </c>
      <c r="L14" s="1367"/>
      <c r="P14" s="1367" t="s">
        <v>3488</v>
      </c>
      <c r="R14" t="s">
        <v>3218</v>
      </c>
      <c r="U14" s="28"/>
      <c r="V14" s="1367" t="s">
        <v>3487</v>
      </c>
    </row>
    <row r="15" spans="1:26" ht="42" customHeight="1" outlineLevel="1">
      <c r="A15" s="3799" t="s">
        <v>3219</v>
      </c>
      <c r="B15" s="2783"/>
      <c r="C15" s="954" t="s">
        <v>3220</v>
      </c>
      <c r="D15" s="1279" t="s">
        <v>3221</v>
      </c>
      <c r="E15" s="1280" t="s">
        <v>3222</v>
      </c>
      <c r="F15" s="1280" t="s">
        <v>3223</v>
      </c>
      <c r="G15" s="1278" t="s">
        <v>3224</v>
      </c>
      <c r="H15" s="1281" t="s">
        <v>3225</v>
      </c>
      <c r="I15" s="1282" t="s">
        <v>3226</v>
      </c>
      <c r="J15" s="1282" t="s">
        <v>3227</v>
      </c>
      <c r="K15" s="1283" t="s">
        <v>3228</v>
      </c>
      <c r="O15" s="702"/>
      <c r="P15" s="2234" t="s">
        <v>604</v>
      </c>
      <c r="Q15" s="2234" t="s">
        <v>141</v>
      </c>
      <c r="R15" s="2234" t="s">
        <v>3230</v>
      </c>
      <c r="S15" s="2" t="s">
        <v>3231</v>
      </c>
      <c r="T15" s="2"/>
      <c r="V15" s="2234" t="s">
        <v>604</v>
      </c>
      <c r="W15" s="2234" t="s">
        <v>141</v>
      </c>
      <c r="X15" s="2234" t="s">
        <v>3230</v>
      </c>
      <c r="Y15" s="2" t="s">
        <v>3231</v>
      </c>
      <c r="Z15" s="2234" t="s">
        <v>3233</v>
      </c>
    </row>
    <row r="16" spans="1:26" outlineLevel="1">
      <c r="A16" s="3800">
        <v>300</v>
      </c>
      <c r="B16" s="3802" t="s">
        <v>3234</v>
      </c>
      <c r="C16" s="1284">
        <v>0.5</v>
      </c>
      <c r="D16" s="1285">
        <v>0.51400000000000001</v>
      </c>
      <c r="E16" s="1286">
        <v>0.3</v>
      </c>
      <c r="F16" s="1285">
        <v>0.315</v>
      </c>
      <c r="G16" s="1287">
        <v>30</v>
      </c>
      <c r="H16" s="1288">
        <f>((F16/0.01)/D16)*C16</f>
        <v>30.6420233463035</v>
      </c>
      <c r="I16" s="3804">
        <v>-0.87</v>
      </c>
      <c r="J16" s="1289" t="e">
        <f>100*(H16-G16)/$A$2</f>
        <v>#VALUE!</v>
      </c>
      <c r="K16" s="2234"/>
      <c r="P16" s="2234"/>
      <c r="Q16" s="2234"/>
      <c r="R16" s="2234"/>
      <c r="S16" s="2" t="s">
        <v>3235</v>
      </c>
      <c r="T16" s="2"/>
      <c r="U16" s="28"/>
      <c r="V16" s="2234"/>
      <c r="W16" s="2234"/>
      <c r="X16" s="2234"/>
      <c r="Y16" s="2" t="s">
        <v>3235</v>
      </c>
      <c r="Z16" s="2234"/>
    </row>
    <row r="17" spans="1:26" ht="28.5" customHeight="1" outlineLevel="1">
      <c r="A17" s="3801"/>
      <c r="B17" s="3803"/>
      <c r="C17" s="1284">
        <v>1</v>
      </c>
      <c r="D17" s="1285">
        <v>1.0149999999999999</v>
      </c>
      <c r="E17" s="1286">
        <v>0.6</v>
      </c>
      <c r="F17" s="1285">
        <v>0.61399999999999999</v>
      </c>
      <c r="G17" s="1290">
        <v>60</v>
      </c>
      <c r="H17" s="1288">
        <f>((F17/0.01)/D17)*C17</f>
        <v>60.492610837438427</v>
      </c>
      <c r="I17" s="3805"/>
      <c r="J17" s="1289" t="e">
        <f t="shared" ref="J17:J24" si="0">100*(H17-G17)/$A$2</f>
        <v>#VALUE!</v>
      </c>
      <c r="K17" s="2234"/>
      <c r="P17" s="2234" t="s">
        <v>3236</v>
      </c>
      <c r="Q17" s="2">
        <v>30</v>
      </c>
      <c r="R17" s="2">
        <v>30.6</v>
      </c>
      <c r="S17" s="2234">
        <v>-0.87</v>
      </c>
      <c r="T17" s="2"/>
      <c r="U17" s="28"/>
      <c r="V17" s="2234" t="s">
        <v>3236</v>
      </c>
      <c r="W17" s="2">
        <v>30</v>
      </c>
      <c r="X17" s="2">
        <v>30.6</v>
      </c>
      <c r="Y17" s="2234">
        <v>-0.87</v>
      </c>
      <c r="Z17" s="2234">
        <v>1.1999999999999999E-3</v>
      </c>
    </row>
    <row r="18" spans="1:26" ht="29.25" customHeight="1" outlineLevel="1">
      <c r="A18" s="3807" t="s">
        <v>3237</v>
      </c>
      <c r="B18" s="3794"/>
      <c r="C18" s="1284">
        <v>2.5</v>
      </c>
      <c r="D18" s="1285">
        <v>2.5030000000000001</v>
      </c>
      <c r="E18" s="1286">
        <v>1.5</v>
      </c>
      <c r="F18" s="1285">
        <v>1.5</v>
      </c>
      <c r="G18" s="1291">
        <v>150</v>
      </c>
      <c r="H18" s="1288">
        <f>((F18/0.01)/D18)*C18</f>
        <v>149.82021574111064</v>
      </c>
      <c r="I18" s="3805"/>
      <c r="J18" s="1289" t="e">
        <f t="shared" si="0"/>
        <v>#VALUE!</v>
      </c>
      <c r="K18" s="2234"/>
      <c r="P18" s="2234"/>
      <c r="Q18" s="2">
        <v>60</v>
      </c>
      <c r="R18" s="2">
        <v>60.5</v>
      </c>
      <c r="S18" s="2234"/>
      <c r="T18" s="2"/>
      <c r="U18" s="28"/>
      <c r="V18" s="2234"/>
      <c r="W18" s="2">
        <v>60</v>
      </c>
      <c r="X18" s="2">
        <v>60.5</v>
      </c>
      <c r="Y18" s="2234"/>
      <c r="Z18" s="2234"/>
    </row>
    <row r="19" spans="1:26" outlineLevel="1">
      <c r="A19" s="3807"/>
      <c r="B19" s="3794"/>
      <c r="C19" s="1284">
        <v>4</v>
      </c>
      <c r="D19" s="1285">
        <v>4.0209999999999999</v>
      </c>
      <c r="E19" s="1286">
        <v>2.4</v>
      </c>
      <c r="F19" s="1285">
        <v>2.4</v>
      </c>
      <c r="G19" s="1291">
        <v>240</v>
      </c>
      <c r="H19" s="1288">
        <f>((F19/0.01)/D19)*C19</f>
        <v>238.74658045262373</v>
      </c>
      <c r="I19" s="3805"/>
      <c r="J19" s="1289" t="e">
        <f t="shared" si="0"/>
        <v>#VALUE!</v>
      </c>
      <c r="K19" s="2234"/>
      <c r="P19" s="2234"/>
      <c r="Q19" s="2">
        <v>150</v>
      </c>
      <c r="R19" s="2">
        <v>149.80000000000001</v>
      </c>
      <c r="S19" s="2234"/>
      <c r="T19" s="2"/>
      <c r="U19" s="28"/>
      <c r="V19" s="2234"/>
      <c r="W19" s="2">
        <v>150</v>
      </c>
      <c r="X19" s="2">
        <v>149.80000000000001</v>
      </c>
      <c r="Y19" s="2234"/>
      <c r="Z19" s="2234"/>
    </row>
    <row r="20" spans="1:26" outlineLevel="1">
      <c r="A20" s="3808"/>
      <c r="B20" s="3795"/>
      <c r="C20" s="1284">
        <v>5</v>
      </c>
      <c r="D20" s="1285">
        <v>5.0090000000000003</v>
      </c>
      <c r="E20" s="1286">
        <v>3</v>
      </c>
      <c r="F20" s="1285">
        <v>3.0110000000000001</v>
      </c>
      <c r="G20" s="1291">
        <v>300</v>
      </c>
      <c r="H20" s="1288">
        <f>((F20/0.01)/D20)*C20</f>
        <v>300.55899381113994</v>
      </c>
      <c r="I20" s="3805"/>
      <c r="J20" s="1289" t="e">
        <f t="shared" si="0"/>
        <v>#VALUE!</v>
      </c>
      <c r="K20" s="2234"/>
      <c r="P20" s="2234"/>
      <c r="Q20" s="2">
        <v>240</v>
      </c>
      <c r="R20" s="2">
        <v>238.7</v>
      </c>
      <c r="S20" s="2234"/>
      <c r="T20" s="2"/>
      <c r="U20" s="28"/>
      <c r="V20" s="2234"/>
      <c r="W20" s="2">
        <v>240</v>
      </c>
      <c r="X20" s="2">
        <v>238.7</v>
      </c>
      <c r="Y20" s="2234"/>
      <c r="Z20" s="2234"/>
    </row>
    <row r="21" spans="1:26" ht="14.25" customHeight="1" outlineLevel="1">
      <c r="A21" s="3800">
        <v>3000</v>
      </c>
      <c r="B21" s="3809" t="s">
        <v>3234</v>
      </c>
      <c r="C21" s="1286">
        <v>0.5</v>
      </c>
      <c r="D21" s="1285">
        <v>0.505</v>
      </c>
      <c r="E21" s="1292">
        <v>0.3</v>
      </c>
      <c r="F21" s="1290">
        <v>0.30199999999999999</v>
      </c>
      <c r="G21" s="1291">
        <v>300</v>
      </c>
      <c r="H21" s="1288">
        <f>((F21/0.001)/D21)*C21</f>
        <v>299.00990099009903</v>
      </c>
      <c r="I21" s="3805"/>
      <c r="J21" s="1289" t="e">
        <f t="shared" si="0"/>
        <v>#VALUE!</v>
      </c>
      <c r="K21" s="2234"/>
      <c r="P21" s="2234"/>
      <c r="Q21" s="2">
        <v>300</v>
      </c>
      <c r="R21" s="2">
        <v>300.60000000000002</v>
      </c>
      <c r="S21" s="2234"/>
      <c r="T21" s="2"/>
      <c r="U21" s="28"/>
      <c r="V21" s="2234"/>
      <c r="W21" s="2">
        <v>300</v>
      </c>
      <c r="X21" s="2">
        <v>300.60000000000002</v>
      </c>
      <c r="Y21" s="2234"/>
      <c r="Z21" s="2234"/>
    </row>
    <row r="22" spans="1:26" ht="14.25" customHeight="1" outlineLevel="1">
      <c r="A22" s="3801"/>
      <c r="B22" s="3810"/>
      <c r="C22" s="1286">
        <v>1</v>
      </c>
      <c r="D22" s="1285">
        <v>1.004</v>
      </c>
      <c r="E22" s="1292">
        <v>0.6</v>
      </c>
      <c r="F22" s="1290">
        <v>0.60199999999999998</v>
      </c>
      <c r="G22" s="1291">
        <v>600</v>
      </c>
      <c r="H22" s="1288">
        <f>((F22/0.001)/D22)*C22</f>
        <v>599.60159362549803</v>
      </c>
      <c r="I22" s="3805"/>
      <c r="J22" s="1289" t="e">
        <f t="shared" si="0"/>
        <v>#VALUE!</v>
      </c>
      <c r="K22" s="2234"/>
      <c r="P22" s="2234" t="s">
        <v>3238</v>
      </c>
      <c r="Q22" s="2">
        <v>300</v>
      </c>
      <c r="R22" s="2">
        <v>299</v>
      </c>
      <c r="S22" s="2234"/>
      <c r="T22" s="2"/>
      <c r="U22" s="28"/>
      <c r="V22" s="2234" t="s">
        <v>3238</v>
      </c>
      <c r="W22" s="2">
        <v>300</v>
      </c>
      <c r="X22" s="2">
        <v>299</v>
      </c>
      <c r="Y22" s="2234"/>
      <c r="Z22" s="2234"/>
    </row>
    <row r="23" spans="1:26" ht="14.25" customHeight="1" outlineLevel="1">
      <c r="A23" s="3807" t="s">
        <v>3239</v>
      </c>
      <c r="B23" s="3811"/>
      <c r="C23" s="1286">
        <v>2.5</v>
      </c>
      <c r="D23" s="1285">
        <v>2.5009999999999999</v>
      </c>
      <c r="E23" s="1292">
        <v>1.5</v>
      </c>
      <c r="F23" s="1285">
        <v>1.5009999999999999</v>
      </c>
      <c r="G23" s="1290">
        <v>1500</v>
      </c>
      <c r="H23" s="1288">
        <f>((F23/0.001)/D23)*C23</f>
        <v>1500.3998400639741</v>
      </c>
      <c r="I23" s="3805"/>
      <c r="J23" s="1289" t="e">
        <f t="shared" si="0"/>
        <v>#VALUE!</v>
      </c>
      <c r="K23" s="2234"/>
      <c r="P23" s="2234"/>
      <c r="Q23" s="2">
        <v>600</v>
      </c>
      <c r="R23" s="2">
        <v>599.6</v>
      </c>
      <c r="S23" s="2234"/>
      <c r="T23" s="2"/>
      <c r="U23" s="28"/>
      <c r="V23" s="2234"/>
      <c r="W23" s="2">
        <v>600</v>
      </c>
      <c r="X23" s="2">
        <v>599.6</v>
      </c>
      <c r="Y23" s="2234"/>
      <c r="Z23" s="2234"/>
    </row>
    <row r="24" spans="1:26" ht="14.25" customHeight="1" outlineLevel="1">
      <c r="A24" s="3807"/>
      <c r="B24" s="3794"/>
      <c r="C24" s="1286">
        <v>4</v>
      </c>
      <c r="D24" s="1285">
        <v>4.0060000000000002</v>
      </c>
      <c r="E24" s="1292">
        <v>2.4</v>
      </c>
      <c r="F24" s="1290">
        <v>2.4009999999999998</v>
      </c>
      <c r="G24" s="1290">
        <v>2400</v>
      </c>
      <c r="H24" s="1288">
        <f>((F24/0.001)/D24)*C24</f>
        <v>2397.4038941587614</v>
      </c>
      <c r="I24" s="3805"/>
      <c r="J24" s="1289" t="e">
        <f t="shared" si="0"/>
        <v>#VALUE!</v>
      </c>
      <c r="K24" s="2234"/>
      <c r="P24" s="2234"/>
      <c r="Q24" s="2">
        <v>1500</v>
      </c>
      <c r="R24" s="2">
        <v>1500.4</v>
      </c>
      <c r="S24" s="2234"/>
      <c r="T24" s="2"/>
      <c r="U24" s="28"/>
      <c r="V24" s="2234"/>
      <c r="W24" s="2">
        <v>1500</v>
      </c>
      <c r="X24" s="2">
        <v>1500.4</v>
      </c>
      <c r="Y24" s="2234"/>
      <c r="Z24" s="2234"/>
    </row>
    <row r="25" spans="1:26" ht="14.25" customHeight="1" outlineLevel="1">
      <c r="A25" s="3808"/>
      <c r="B25" s="3795"/>
      <c r="C25" s="1286">
        <v>5</v>
      </c>
      <c r="D25" s="1285">
        <v>5.0119999999999996</v>
      </c>
      <c r="E25" s="1292">
        <v>3</v>
      </c>
      <c r="F25" s="1290">
        <v>2.9870000000000001</v>
      </c>
      <c r="G25" s="1290">
        <v>3000</v>
      </c>
      <c r="H25" s="1288">
        <f>((F25/0.001)/D25)*C25</f>
        <v>2979.8483639265764</v>
      </c>
      <c r="I25" s="3806"/>
      <c r="J25" s="1289" t="e">
        <f>100*(H25-G25)/$A$8</f>
        <v>#VALUE!</v>
      </c>
      <c r="K25" s="2234"/>
      <c r="P25" s="2234"/>
      <c r="Q25" s="2">
        <v>2400</v>
      </c>
      <c r="R25" s="2">
        <v>2397.4</v>
      </c>
      <c r="S25" s="2234"/>
      <c r="T25" s="2"/>
      <c r="U25" s="28"/>
      <c r="V25" s="2234"/>
      <c r="W25" s="2">
        <v>2400</v>
      </c>
      <c r="X25" s="2">
        <v>2397.4</v>
      </c>
      <c r="Y25" s="2234"/>
      <c r="Z25" s="2234"/>
    </row>
    <row r="26" spans="1:26" ht="15.75" customHeight="1">
      <c r="P26" s="2234"/>
      <c r="Q26" s="2">
        <v>3000</v>
      </c>
      <c r="R26" s="2">
        <v>2979.8</v>
      </c>
      <c r="S26" s="2234"/>
      <c r="T26" s="2"/>
      <c r="U26" s="28"/>
      <c r="V26" s="2234"/>
      <c r="W26" s="2">
        <v>3000</v>
      </c>
      <c r="X26" s="2">
        <v>2979.8</v>
      </c>
      <c r="Y26" s="2234"/>
      <c r="Z26" s="2234"/>
    </row>
    <row r="27" spans="1:26">
      <c r="A27" s="702" t="s">
        <v>3240</v>
      </c>
      <c r="M27" s="702" t="s">
        <v>3229</v>
      </c>
      <c r="R27" s="702"/>
      <c r="T27" s="702" t="s">
        <v>3232</v>
      </c>
    </row>
    <row r="28" spans="1:26" ht="42" customHeight="1">
      <c r="A28" s="3812" t="s">
        <v>3241</v>
      </c>
      <c r="B28" s="3812"/>
      <c r="C28" s="1294" t="s">
        <v>3242</v>
      </c>
      <c r="D28" s="1295" t="s">
        <v>3243</v>
      </c>
      <c r="E28" s="1154" t="s">
        <v>3226</v>
      </c>
      <c r="F28" s="1154" t="s">
        <v>3227</v>
      </c>
      <c r="G28" s="1293" t="s">
        <v>3244</v>
      </c>
      <c r="H28" s="1283" t="s">
        <v>3228</v>
      </c>
      <c r="M28" s="2234" t="s">
        <v>604</v>
      </c>
      <c r="N28" s="2234" t="s">
        <v>141</v>
      </c>
      <c r="O28" s="2234" t="s">
        <v>3230</v>
      </c>
      <c r="P28" s="1385" t="s">
        <v>3231</v>
      </c>
      <c r="T28" s="2234" t="s">
        <v>604</v>
      </c>
      <c r="U28" s="2234" t="s">
        <v>141</v>
      </c>
      <c r="V28" s="2234" t="s">
        <v>3230</v>
      </c>
      <c r="W28" s="2" t="s">
        <v>3231</v>
      </c>
      <c r="X28" s="2234" t="s">
        <v>3233</v>
      </c>
    </row>
    <row r="29" spans="1:26">
      <c r="A29" s="3813">
        <v>2000</v>
      </c>
      <c r="B29" s="3793" t="s">
        <v>3234</v>
      </c>
      <c r="C29" s="1296">
        <v>200</v>
      </c>
      <c r="D29" s="1296">
        <v>204</v>
      </c>
      <c r="E29" s="3796">
        <v>-0.9</v>
      </c>
      <c r="F29" s="1289">
        <f t="shared" ref="F29:F34" si="1">100*(D29-C29)/$A$29</f>
        <v>0.2</v>
      </c>
      <c r="G29" s="1297">
        <f t="shared" ref="G29:G34" si="2">ABS(F29)</f>
        <v>0.2</v>
      </c>
      <c r="H29" s="2234"/>
      <c r="M29" s="2234"/>
      <c r="N29" s="2234"/>
      <c r="O29" s="2234"/>
      <c r="P29" s="2" t="s">
        <v>3245</v>
      </c>
      <c r="T29" s="2234"/>
      <c r="U29" s="2234"/>
      <c r="V29" s="2234"/>
      <c r="W29" s="2" t="s">
        <v>3235</v>
      </c>
      <c r="X29" s="2234"/>
    </row>
    <row r="30" spans="1:26">
      <c r="A30" s="3807"/>
      <c r="B30" s="3794"/>
      <c r="C30" s="1296">
        <v>400</v>
      </c>
      <c r="D30" s="1296">
        <v>402</v>
      </c>
      <c r="E30" s="3797"/>
      <c r="F30" s="1289">
        <f t="shared" si="1"/>
        <v>0.1</v>
      </c>
      <c r="G30" s="1297">
        <f t="shared" si="2"/>
        <v>0.1</v>
      </c>
      <c r="H30" s="2234"/>
      <c r="M30" s="2234" t="s">
        <v>3246</v>
      </c>
      <c r="N30" s="2">
        <v>200</v>
      </c>
      <c r="O30" s="2">
        <v>204</v>
      </c>
      <c r="P30" s="2234">
        <v>-0.9</v>
      </c>
      <c r="T30" s="2234" t="s">
        <v>3246</v>
      </c>
      <c r="U30" s="2">
        <v>200</v>
      </c>
      <c r="V30" s="2">
        <v>204</v>
      </c>
      <c r="W30" s="2234">
        <v>-0.9</v>
      </c>
      <c r="X30" s="2234">
        <v>2.2000000000000001E-3</v>
      </c>
    </row>
    <row r="31" spans="1:26">
      <c r="A31" s="3807"/>
      <c r="B31" s="3794"/>
      <c r="C31" s="1296">
        <v>800</v>
      </c>
      <c r="D31" s="1296">
        <v>804</v>
      </c>
      <c r="E31" s="3797"/>
      <c r="F31" s="1289">
        <f t="shared" si="1"/>
        <v>0.2</v>
      </c>
      <c r="G31" s="1297">
        <f t="shared" si="2"/>
        <v>0.2</v>
      </c>
      <c r="H31" s="2234"/>
      <c r="M31" s="2234"/>
      <c r="N31" s="2">
        <v>400</v>
      </c>
      <c r="O31" s="2">
        <v>402</v>
      </c>
      <c r="P31" s="2234"/>
      <c r="T31" s="2234"/>
      <c r="U31" s="2">
        <v>400</v>
      </c>
      <c r="V31" s="2">
        <v>402</v>
      </c>
      <c r="W31" s="2234"/>
      <c r="X31" s="2234"/>
    </row>
    <row r="32" spans="1:26">
      <c r="A32" s="3807"/>
      <c r="B32" s="3794"/>
      <c r="C32" s="1296">
        <v>1000</v>
      </c>
      <c r="D32" s="1296">
        <v>1003</v>
      </c>
      <c r="E32" s="3797"/>
      <c r="F32" s="1289">
        <f t="shared" si="1"/>
        <v>0.15</v>
      </c>
      <c r="G32" s="1297">
        <f t="shared" si="2"/>
        <v>0.15</v>
      </c>
      <c r="H32" s="2234"/>
      <c r="M32" s="2234"/>
      <c r="N32" s="2">
        <v>800</v>
      </c>
      <c r="O32" s="2">
        <v>804</v>
      </c>
      <c r="P32" s="2234"/>
      <c r="T32" s="2234"/>
      <c r="U32" s="2">
        <v>800</v>
      </c>
      <c r="V32" s="2">
        <v>804</v>
      </c>
      <c r="W32" s="2234"/>
      <c r="X32" s="2234"/>
    </row>
    <row r="33" spans="1:24">
      <c r="A33" s="3807"/>
      <c r="B33" s="3794"/>
      <c r="C33" s="1296">
        <v>1600</v>
      </c>
      <c r="D33" s="1296">
        <v>1609</v>
      </c>
      <c r="E33" s="3797"/>
      <c r="F33" s="1289">
        <f t="shared" si="1"/>
        <v>0.45</v>
      </c>
      <c r="G33" s="1297">
        <f t="shared" si="2"/>
        <v>0.45</v>
      </c>
      <c r="H33" s="2234"/>
      <c r="M33" s="2234"/>
      <c r="N33" s="2">
        <v>1000</v>
      </c>
      <c r="O33" s="2">
        <v>1003</v>
      </c>
      <c r="P33" s="2234"/>
      <c r="T33" s="2234"/>
      <c r="U33" s="2">
        <v>1000</v>
      </c>
      <c r="V33" s="2">
        <v>1003</v>
      </c>
      <c r="W33" s="2234"/>
      <c r="X33" s="2234"/>
    </row>
    <row r="34" spans="1:24">
      <c r="A34" s="3808"/>
      <c r="B34" s="3795"/>
      <c r="C34" s="1296">
        <v>2000</v>
      </c>
      <c r="D34" s="1296">
        <v>1982</v>
      </c>
      <c r="E34" s="3798"/>
      <c r="F34" s="1289">
        <f t="shared" si="1"/>
        <v>-0.9</v>
      </c>
      <c r="G34" s="1297">
        <f t="shared" si="2"/>
        <v>0.9</v>
      </c>
      <c r="H34" s="2234"/>
      <c r="M34" s="2234"/>
      <c r="N34" s="2">
        <v>1600</v>
      </c>
      <c r="O34" s="2">
        <v>1609</v>
      </c>
      <c r="P34" s="2234"/>
      <c r="T34" s="2234"/>
      <c r="U34" s="2">
        <v>1600</v>
      </c>
      <c r="V34" s="2">
        <v>1609</v>
      </c>
      <c r="W34" s="2234"/>
      <c r="X34" s="2234"/>
    </row>
    <row r="35" spans="1:24">
      <c r="M35" s="2234"/>
      <c r="N35" s="2">
        <v>2000</v>
      </c>
      <c r="O35" s="2">
        <v>1982</v>
      </c>
      <c r="P35" s="2234"/>
      <c r="T35" s="2234"/>
      <c r="U35" s="2">
        <v>2000</v>
      </c>
      <c r="V35" s="2">
        <v>1982</v>
      </c>
      <c r="W35" s="2234"/>
      <c r="X35" s="2234"/>
    </row>
  </sheetData>
  <mergeCells count="43">
    <mergeCell ref="M28:M29"/>
    <mergeCell ref="H29:H34"/>
    <mergeCell ref="M30:M35"/>
    <mergeCell ref="A2:C2"/>
    <mergeCell ref="A15:B15"/>
    <mergeCell ref="A16:A17"/>
    <mergeCell ref="B16:B17"/>
    <mergeCell ref="I16:I25"/>
    <mergeCell ref="A18:B18"/>
    <mergeCell ref="A19:B20"/>
    <mergeCell ref="A21:A22"/>
    <mergeCell ref="B21:B22"/>
    <mergeCell ref="A24:B25"/>
    <mergeCell ref="A23:B23"/>
    <mergeCell ref="A28:B28"/>
    <mergeCell ref="A29:A34"/>
    <mergeCell ref="B29:B34"/>
    <mergeCell ref="E29:E34"/>
    <mergeCell ref="Z15:Z16"/>
    <mergeCell ref="K16:K25"/>
    <mergeCell ref="P17:P21"/>
    <mergeCell ref="S17:S26"/>
    <mergeCell ref="V17:V21"/>
    <mergeCell ref="Y17:Y26"/>
    <mergeCell ref="Z17:Z26"/>
    <mergeCell ref="P22:P26"/>
    <mergeCell ref="V22:V26"/>
    <mergeCell ref="P15:P16"/>
    <mergeCell ref="Q15:Q16"/>
    <mergeCell ref="R15:R16"/>
    <mergeCell ref="V15:V16"/>
    <mergeCell ref="W15:W16"/>
    <mergeCell ref="X15:X16"/>
    <mergeCell ref="P30:P35"/>
    <mergeCell ref="T30:T35"/>
    <mergeCell ref="W30:W35"/>
    <mergeCell ref="X30:X35"/>
    <mergeCell ref="X28:X29"/>
    <mergeCell ref="N28:N29"/>
    <mergeCell ref="O28:O29"/>
    <mergeCell ref="T28:T29"/>
    <mergeCell ref="U28:U29"/>
    <mergeCell ref="V28:V29"/>
  </mergeCells>
  <phoneticPr fontId="31" type="noConversion"/>
  <pageMargins left="0.75" right="0.75" top="1" bottom="1" header="0.5" footer="0.5"/>
  <drawing r:id="rId1"/>
  <legacyDrawing r:id="rId2"/>
</worksheet>
</file>

<file path=xl/worksheets/sheet70.xml><?xml version="1.0" encoding="utf-8"?>
<worksheet xmlns="http://schemas.openxmlformats.org/spreadsheetml/2006/main" xmlns:r="http://schemas.openxmlformats.org/officeDocument/2006/relationships">
  <dimension ref="A1:H42"/>
  <sheetViews>
    <sheetView topLeftCell="A28" workbookViewId="0"/>
  </sheetViews>
  <sheetFormatPr defaultRowHeight="14.25"/>
  <cols>
    <col min="3" max="3" width="32.5" customWidth="1"/>
    <col min="4" max="4" width="21.75" customWidth="1"/>
    <col min="5" max="5" width="20" customWidth="1"/>
    <col min="6" max="6" width="18.875" customWidth="1"/>
    <col min="7" max="7" width="15.75" customWidth="1"/>
  </cols>
  <sheetData>
    <row r="1" spans="1:8">
      <c r="A1" s="454" t="s">
        <v>995</v>
      </c>
      <c r="B1" s="483" t="s">
        <v>1064</v>
      </c>
      <c r="C1" s="436" t="s">
        <v>1775</v>
      </c>
      <c r="D1" s="456"/>
      <c r="E1" s="456"/>
      <c r="F1" s="8"/>
      <c r="G1" s="315"/>
      <c r="H1" s="315"/>
    </row>
    <row r="2" spans="1:8">
      <c r="A2" s="13"/>
      <c r="B2" s="459" t="s">
        <v>1067</v>
      </c>
      <c r="C2" s="13"/>
      <c r="D2" s="13" t="s">
        <v>1001</v>
      </c>
      <c r="E2" s="13"/>
      <c r="F2" s="13"/>
      <c r="G2" s="13"/>
      <c r="H2" s="13"/>
    </row>
    <row r="3" spans="1:8" ht="15.75">
      <c r="A3" s="13"/>
      <c r="B3" s="347" t="s">
        <v>1002</v>
      </c>
      <c r="C3" s="347" t="s">
        <v>1003</v>
      </c>
      <c r="D3" s="347" t="s">
        <v>1088</v>
      </c>
      <c r="E3" s="347" t="s">
        <v>1005</v>
      </c>
      <c r="F3" s="448" t="s">
        <v>1006</v>
      </c>
      <c r="G3" s="451"/>
      <c r="H3" s="417"/>
    </row>
    <row r="4" spans="1:8" ht="15">
      <c r="A4" s="13"/>
      <c r="B4" s="349">
        <v>0.99447300000000005</v>
      </c>
      <c r="C4" s="349">
        <v>0.99545300000000003</v>
      </c>
      <c r="D4" s="349">
        <v>0.99447300000000005</v>
      </c>
      <c r="E4" s="349">
        <v>0.99545300000000003</v>
      </c>
      <c r="F4" s="349">
        <v>0.99447300000000005</v>
      </c>
      <c r="G4" s="320"/>
      <c r="H4" s="29"/>
    </row>
    <row r="5" spans="1:8" ht="15">
      <c r="A5" s="13"/>
      <c r="B5" s="349">
        <v>0.99545300000000003</v>
      </c>
      <c r="C5" s="349">
        <v>0.99447300000000005</v>
      </c>
      <c r="D5" s="349">
        <v>0.99545300000000003</v>
      </c>
      <c r="E5" s="349">
        <v>0.99447300000000005</v>
      </c>
      <c r="F5" s="349">
        <v>0.99545300000000003</v>
      </c>
      <c r="G5" s="451"/>
      <c r="H5" s="417"/>
    </row>
    <row r="6" spans="1:8" ht="18.75">
      <c r="A6" s="13"/>
      <c r="B6" s="660" t="s">
        <v>1777</v>
      </c>
      <c r="C6" s="485">
        <f>STDEV(C4:K4)</f>
        <v>5.6580326380582216E-4</v>
      </c>
      <c r="D6" s="14"/>
      <c r="E6" s="14"/>
      <c r="F6" s="39"/>
      <c r="G6" s="9"/>
      <c r="H6" s="9"/>
    </row>
    <row r="7" spans="1:8">
      <c r="A7" s="13"/>
      <c r="B7" s="463"/>
      <c r="C7" s="463"/>
      <c r="D7" s="463"/>
      <c r="E7" s="463"/>
      <c r="F7" s="463"/>
      <c r="G7" s="463"/>
      <c r="H7" s="463"/>
    </row>
    <row r="8" spans="1:8">
      <c r="A8" s="486" t="s">
        <v>1007</v>
      </c>
      <c r="B8" s="153" t="s">
        <v>1008</v>
      </c>
    </row>
    <row r="9" spans="1:8">
      <c r="A9" s="486"/>
      <c r="B9" s="467" t="s">
        <v>1049</v>
      </c>
      <c r="C9" s="467" t="s">
        <v>1010</v>
      </c>
      <c r="D9" s="467" t="s">
        <v>1050</v>
      </c>
      <c r="E9" s="467" t="s">
        <v>1051</v>
      </c>
      <c r="F9" s="467" t="s">
        <v>1052</v>
      </c>
      <c r="G9" s="467" t="s">
        <v>1014</v>
      </c>
    </row>
    <row r="10" spans="1:8" ht="14.25" customHeight="1">
      <c r="A10" s="486"/>
      <c r="B10" s="7">
        <v>1</v>
      </c>
      <c r="C10" s="488" t="s">
        <v>1130</v>
      </c>
      <c r="D10" s="490">
        <v>1E-4</v>
      </c>
      <c r="E10" s="491" t="s">
        <v>1056</v>
      </c>
      <c r="F10" s="491">
        <v>3</v>
      </c>
      <c r="G10" s="492">
        <f>(D10/F10)</f>
        <v>3.3333333333333335E-5</v>
      </c>
    </row>
    <row r="11" spans="1:8" ht="34.5" customHeight="1">
      <c r="A11" s="486"/>
      <c r="B11" s="7">
        <v>2</v>
      </c>
      <c r="C11" s="488" t="s">
        <v>1131</v>
      </c>
      <c r="D11" s="490">
        <v>1E-3</v>
      </c>
      <c r="E11" s="491" t="s">
        <v>1056</v>
      </c>
      <c r="F11" s="491">
        <v>3</v>
      </c>
      <c r="G11" s="492">
        <f>(D11/F11)</f>
        <v>3.3333333333333332E-4</v>
      </c>
    </row>
    <row r="12" spans="1:8" ht="26.25" customHeight="1">
      <c r="A12" s="486"/>
      <c r="B12" s="7">
        <v>4</v>
      </c>
      <c r="C12" s="489" t="s">
        <v>1133</v>
      </c>
      <c r="D12" s="493">
        <v>1.9999999999999999E-6</v>
      </c>
      <c r="E12" s="491" t="s">
        <v>1054</v>
      </c>
      <c r="F12" s="491"/>
      <c r="G12" s="492">
        <f>(D12/SQRT(3))</f>
        <v>1.1547005383792516E-6</v>
      </c>
    </row>
    <row r="13" spans="1:8" ht="30" customHeight="1">
      <c r="A13" s="486"/>
      <c r="B13" s="7">
        <v>5</v>
      </c>
      <c r="C13" s="489" t="s">
        <v>1134</v>
      </c>
      <c r="D13" s="490">
        <v>2.9999999999999997E-4</v>
      </c>
      <c r="E13" s="491" t="s">
        <v>1054</v>
      </c>
      <c r="F13" s="491"/>
      <c r="G13" s="492">
        <f>(D13/SQRT(3))</f>
        <v>1.7320508075688773E-4</v>
      </c>
    </row>
    <row r="14" spans="1:8" ht="18.75">
      <c r="A14" s="486"/>
      <c r="B14" s="467" t="s">
        <v>1058</v>
      </c>
      <c r="C14" s="1969"/>
      <c r="D14" s="1970"/>
      <c r="E14" s="1970"/>
      <c r="F14" s="1970"/>
      <c r="G14" s="1832"/>
    </row>
    <row r="15" spans="1:8">
      <c r="A15" s="13"/>
      <c r="B15" s="453" t="s">
        <v>1059</v>
      </c>
    </row>
    <row r="16" spans="1:8" ht="18.75">
      <c r="A16" s="13"/>
      <c r="B16" s="471" t="s">
        <v>1060</v>
      </c>
      <c r="C16" s="470"/>
    </row>
    <row r="17" spans="1:8">
      <c r="B17" s="153" t="s">
        <v>1772</v>
      </c>
      <c r="C17" s="28"/>
    </row>
    <row r="18" spans="1:8" ht="15.75">
      <c r="B18" s="472" t="s">
        <v>1062</v>
      </c>
      <c r="C18" s="392"/>
      <c r="D18" s="391"/>
      <c r="E18" s="392"/>
      <c r="F18" s="391"/>
      <c r="G18" s="393"/>
      <c r="H18" s="390"/>
    </row>
    <row r="19" spans="1:8">
      <c r="B19" t="s">
        <v>1136</v>
      </c>
    </row>
    <row r="20" spans="1:8">
      <c r="C20" t="s">
        <v>1773</v>
      </c>
    </row>
    <row r="21" spans="1:8">
      <c r="A21" s="454" t="s">
        <v>995</v>
      </c>
      <c r="B21" s="483" t="s">
        <v>996</v>
      </c>
      <c r="C21" s="436" t="s">
        <v>1774</v>
      </c>
      <c r="D21" s="456"/>
      <c r="E21" s="456"/>
      <c r="F21" s="8"/>
      <c r="G21" s="315"/>
      <c r="H21" s="315"/>
    </row>
    <row r="22" spans="1:8">
      <c r="A22" s="13"/>
      <c r="B22" s="459" t="s">
        <v>1000</v>
      </c>
      <c r="C22" s="13"/>
      <c r="D22" s="13" t="s">
        <v>1001</v>
      </c>
      <c r="E22" s="13"/>
      <c r="F22" s="13"/>
      <c r="G22" s="13"/>
      <c r="H22" s="13"/>
    </row>
    <row r="23" spans="1:8" ht="15.75">
      <c r="A23" s="13"/>
      <c r="B23" s="347" t="s">
        <v>1002</v>
      </c>
      <c r="C23" s="347" t="s">
        <v>1003</v>
      </c>
      <c r="D23" s="347" t="s">
        <v>1004</v>
      </c>
      <c r="E23" s="347" t="s">
        <v>1005</v>
      </c>
      <c r="F23" s="448" t="s">
        <v>1006</v>
      </c>
      <c r="G23" s="451"/>
      <c r="H23" s="417"/>
    </row>
    <row r="24" spans="1:8" ht="15">
      <c r="A24" s="13"/>
      <c r="B24" s="349">
        <v>0.99447300000000005</v>
      </c>
      <c r="C24" s="349">
        <v>0.99545300000000003</v>
      </c>
      <c r="D24" s="349">
        <v>0.99447300000000005</v>
      </c>
      <c r="E24" s="349">
        <v>0.99545300000000003</v>
      </c>
      <c r="F24" s="349">
        <v>0.99447300000000005</v>
      </c>
      <c r="G24" s="320"/>
      <c r="H24" s="29"/>
    </row>
    <row r="25" spans="1:8" ht="15">
      <c r="A25" s="13"/>
      <c r="B25" s="349">
        <v>0.99545300000000003</v>
      </c>
      <c r="C25" s="349">
        <v>0.99447300000000005</v>
      </c>
      <c r="D25" s="349">
        <v>0.99545300000000003</v>
      </c>
      <c r="E25" s="349">
        <v>0.99447300000000005</v>
      </c>
      <c r="F25" s="349">
        <v>0.99545300000000003</v>
      </c>
      <c r="G25" s="451"/>
      <c r="H25" s="417"/>
    </row>
    <row r="26" spans="1:8" ht="18.75">
      <c r="A26" s="13"/>
      <c r="B26" s="394" t="s">
        <v>1776</v>
      </c>
      <c r="C26" s="485">
        <f>STDEV(C24:K24)</f>
        <v>5.6580326380582216E-4</v>
      </c>
      <c r="D26" s="14"/>
      <c r="E26" s="14"/>
      <c r="F26" s="39"/>
      <c r="G26" s="9"/>
      <c r="H26" s="9"/>
    </row>
    <row r="27" spans="1:8">
      <c r="A27" s="13"/>
      <c r="B27" s="463"/>
      <c r="C27" s="463"/>
      <c r="D27" s="463"/>
      <c r="E27" s="463"/>
      <c r="F27" s="463"/>
      <c r="G27" s="463"/>
      <c r="H27" s="463"/>
    </row>
    <row r="28" spans="1:8">
      <c r="A28" s="486" t="s">
        <v>1007</v>
      </c>
      <c r="B28" s="153" t="s">
        <v>1008</v>
      </c>
    </row>
    <row r="29" spans="1:8">
      <c r="A29" s="486"/>
      <c r="B29" s="467" t="s">
        <v>1009</v>
      </c>
      <c r="C29" s="467" t="s">
        <v>1010</v>
      </c>
      <c r="D29" s="467" t="s">
        <v>1011</v>
      </c>
      <c r="E29" s="467" t="s">
        <v>1012</v>
      </c>
      <c r="F29" s="467" t="s">
        <v>1013</v>
      </c>
      <c r="G29" s="467" t="s">
        <v>1014</v>
      </c>
    </row>
    <row r="30" spans="1:8">
      <c r="A30" s="486"/>
      <c r="B30" s="7">
        <v>1</v>
      </c>
      <c r="C30" s="488" t="s">
        <v>1130</v>
      </c>
      <c r="D30" s="490">
        <v>1E-4</v>
      </c>
      <c r="E30" s="491" t="s">
        <v>1017</v>
      </c>
      <c r="F30" s="491">
        <v>3</v>
      </c>
      <c r="G30" s="492">
        <f>(D30/F30)</f>
        <v>3.3333333333333335E-5</v>
      </c>
    </row>
    <row r="31" spans="1:8" ht="25.5">
      <c r="A31" s="486"/>
      <c r="B31" s="7">
        <v>2</v>
      </c>
      <c r="C31" s="488" t="s">
        <v>1131</v>
      </c>
      <c r="D31" s="490">
        <v>1E-3</v>
      </c>
      <c r="E31" s="491" t="s">
        <v>1017</v>
      </c>
      <c r="F31" s="491">
        <v>3</v>
      </c>
      <c r="G31" s="492">
        <f>(D31/F31)</f>
        <v>3.3333333333333332E-4</v>
      </c>
    </row>
    <row r="32" spans="1:8" ht="25.5">
      <c r="A32" s="486"/>
      <c r="B32" s="7">
        <v>3</v>
      </c>
      <c r="C32" s="488" t="s">
        <v>1132</v>
      </c>
      <c r="D32" s="490">
        <v>1E-3</v>
      </c>
      <c r="E32" s="491" t="s">
        <v>1017</v>
      </c>
      <c r="F32" s="491">
        <v>3</v>
      </c>
      <c r="G32" s="492">
        <f>(D32/F32)</f>
        <v>3.3333333333333332E-4</v>
      </c>
    </row>
    <row r="33" spans="1:8" ht="25.5">
      <c r="A33" s="486"/>
      <c r="B33" s="7">
        <v>4</v>
      </c>
      <c r="C33" s="489" t="s">
        <v>1133</v>
      </c>
      <c r="D33" s="493">
        <v>1.9999999999999999E-6</v>
      </c>
      <c r="E33" s="491" t="s">
        <v>1015</v>
      </c>
      <c r="F33" s="491"/>
      <c r="G33" s="492">
        <f>(D33/SQRT(3))</f>
        <v>1.1547005383792516E-6</v>
      </c>
    </row>
    <row r="34" spans="1:8" ht="25.5">
      <c r="A34" s="486"/>
      <c r="B34" s="7">
        <v>5</v>
      </c>
      <c r="C34" s="489" t="s">
        <v>1134</v>
      </c>
      <c r="D34" s="490">
        <v>2.9999999999999997E-4</v>
      </c>
      <c r="E34" s="491" t="s">
        <v>1015</v>
      </c>
      <c r="F34" s="491"/>
      <c r="G34" s="492">
        <f>(D34/SQRT(3))</f>
        <v>1.7320508075688773E-4</v>
      </c>
    </row>
    <row r="35" spans="1:8" ht="25.5">
      <c r="A35" s="486"/>
      <c r="B35" s="7">
        <v>6</v>
      </c>
      <c r="C35" s="489" t="s">
        <v>1135</v>
      </c>
      <c r="D35" s="490">
        <v>5.0000000000000001E-4</v>
      </c>
      <c r="E35" s="491" t="s">
        <v>1015</v>
      </c>
      <c r="F35" s="491"/>
      <c r="G35" s="492">
        <f>(D35/SQRT(3))</f>
        <v>2.886751345948129E-4</v>
      </c>
    </row>
    <row r="36" spans="1:8" ht="18.75">
      <c r="A36" s="486"/>
      <c r="B36" s="467" t="s">
        <v>1019</v>
      </c>
      <c r="C36" s="1969"/>
      <c r="D36" s="1970"/>
      <c r="E36" s="1970"/>
      <c r="F36" s="1970"/>
      <c r="G36" s="1832"/>
    </row>
    <row r="37" spans="1:8">
      <c r="A37" s="13"/>
      <c r="B37" s="453" t="s">
        <v>1020</v>
      </c>
    </row>
    <row r="38" spans="1:8" ht="18.75">
      <c r="A38" s="13"/>
      <c r="B38" s="471" t="s">
        <v>1021</v>
      </c>
      <c r="C38" s="470"/>
    </row>
    <row r="39" spans="1:8">
      <c r="B39" s="453" t="s">
        <v>1022</v>
      </c>
      <c r="C39" s="28"/>
    </row>
    <row r="40" spans="1:8" ht="15.75">
      <c r="B40" s="472" t="s">
        <v>1023</v>
      </c>
      <c r="C40" s="392"/>
      <c r="D40" s="391"/>
      <c r="E40" s="392"/>
      <c r="F40" s="391"/>
      <c r="G40" s="393"/>
      <c r="H40" s="390"/>
    </row>
    <row r="41" spans="1:8">
      <c r="B41" s="13" t="s">
        <v>1137</v>
      </c>
      <c r="C41" s="13"/>
    </row>
    <row r="42" spans="1:8">
      <c r="B42" t="s">
        <v>1138</v>
      </c>
    </row>
  </sheetData>
  <mergeCells count="2">
    <mergeCell ref="C14:G14"/>
    <mergeCell ref="C36:G36"/>
  </mergeCells>
  <phoneticPr fontId="99" type="noConversion"/>
  <pageMargins left="0.75" right="0.75" top="1" bottom="1" header="0.5" footer="0.5"/>
  <legacyDrawing r:id="rId1"/>
  <oleObjects>
    <oleObject progId="Equation.3" shapeId="110603" r:id="rId2"/>
    <oleObject progId="Equation.3" shapeId="110604" r:id="rId3"/>
    <oleObject progId="Equation.3" shapeId="110605" r:id="rId4"/>
    <oleObject progId="Equation.3" shapeId="110609" r:id="rId5"/>
    <oleObject progId="Equation.3" shapeId="110610" r:id="rId6"/>
    <oleObject progId="Equation.3" shapeId="110611" r:id="rId7"/>
  </oleObjects>
</worksheet>
</file>

<file path=xl/worksheets/sheet71.xml><?xml version="1.0" encoding="utf-8"?>
<worksheet xmlns="http://schemas.openxmlformats.org/spreadsheetml/2006/main" xmlns:r="http://schemas.openxmlformats.org/officeDocument/2006/relationships">
  <sheetPr>
    <tabColor rgb="FFC00000"/>
  </sheetPr>
  <dimension ref="A1:Y56"/>
  <sheetViews>
    <sheetView topLeftCell="A41" zoomScale="120" zoomScaleNormal="120" workbookViewId="0"/>
  </sheetViews>
  <sheetFormatPr defaultRowHeight="14.25" outlineLevelRow="2"/>
  <cols>
    <col min="1" max="1" width="15.75" customWidth="1"/>
    <col min="4" max="4" width="17.5" customWidth="1"/>
    <col min="15" max="15" width="12.75" customWidth="1"/>
    <col min="16" max="16" width="11" customWidth="1"/>
  </cols>
  <sheetData>
    <row r="1" spans="1:24">
      <c r="A1" s="803" t="s">
        <v>51</v>
      </c>
      <c r="B1" s="803" t="s">
        <v>3247</v>
      </c>
    </row>
    <row r="3" spans="1:24">
      <c r="A3" s="2298" t="s">
        <v>32</v>
      </c>
      <c r="B3" s="2298"/>
      <c r="C3" s="2298"/>
      <c r="D3" s="2"/>
    </row>
    <row r="4" spans="1:24" ht="18.75">
      <c r="A4" s="699" t="s">
        <v>1920</v>
      </c>
      <c r="B4" s="6" t="s">
        <v>69</v>
      </c>
      <c r="C4" s="6" t="s">
        <v>70</v>
      </c>
      <c r="D4" s="698" t="s">
        <v>3208</v>
      </c>
    </row>
    <row r="5" spans="1:24">
      <c r="A5" s="6" t="s">
        <v>62</v>
      </c>
      <c r="B5" s="6" t="s">
        <v>509</v>
      </c>
      <c r="C5" s="6" t="s">
        <v>509</v>
      </c>
      <c r="D5" s="61" t="s">
        <v>3210</v>
      </c>
    </row>
    <row r="6" spans="1:24">
      <c r="A6" s="6" t="s">
        <v>554</v>
      </c>
      <c r="B6" s="6" t="s">
        <v>509</v>
      </c>
      <c r="C6" s="6" t="s">
        <v>509</v>
      </c>
      <c r="D6" s="61" t="s">
        <v>3210</v>
      </c>
    </row>
    <row r="7" spans="1:24">
      <c r="A7" s="6" t="s">
        <v>555</v>
      </c>
      <c r="B7" s="6" t="s">
        <v>509</v>
      </c>
      <c r="C7" s="6" t="s">
        <v>509</v>
      </c>
      <c r="D7" s="61" t="s">
        <v>3215</v>
      </c>
    </row>
    <row r="8" spans="1:24">
      <c r="A8" s="6" t="s">
        <v>556</v>
      </c>
      <c r="B8" s="6" t="s">
        <v>509</v>
      </c>
      <c r="C8" s="6" t="s">
        <v>557</v>
      </c>
      <c r="D8" s="61" t="s">
        <v>3215</v>
      </c>
    </row>
    <row r="9" spans="1:24">
      <c r="A9" s="6" t="s">
        <v>558</v>
      </c>
      <c r="B9" s="6" t="s">
        <v>509</v>
      </c>
      <c r="C9" s="6" t="s">
        <v>509</v>
      </c>
      <c r="D9" s="837" t="s">
        <v>3248</v>
      </c>
    </row>
    <row r="10" spans="1:24">
      <c r="A10" s="6" t="s">
        <v>559</v>
      </c>
      <c r="B10" s="6" t="s">
        <v>509</v>
      </c>
      <c r="C10" s="6" t="s">
        <v>509</v>
      </c>
      <c r="D10" s="837" t="s">
        <v>3248</v>
      </c>
    </row>
    <row r="11" spans="1:24">
      <c r="A11" s="6" t="s">
        <v>560</v>
      </c>
      <c r="B11" s="6" t="s">
        <v>509</v>
      </c>
      <c r="C11" s="6" t="s">
        <v>509</v>
      </c>
      <c r="D11" s="700" t="s">
        <v>3249</v>
      </c>
    </row>
    <row r="12" spans="1:24">
      <c r="A12" s="6" t="s">
        <v>64</v>
      </c>
      <c r="B12" s="6" t="s">
        <v>509</v>
      </c>
      <c r="C12" s="6" t="s">
        <v>509</v>
      </c>
      <c r="D12" s="61" t="s">
        <v>3250</v>
      </c>
    </row>
    <row r="13" spans="1:24">
      <c r="A13" s="6" t="s">
        <v>561</v>
      </c>
      <c r="B13" s="6" t="s">
        <v>509</v>
      </c>
      <c r="C13" s="6" t="s">
        <v>557</v>
      </c>
      <c r="D13" s="837" t="s">
        <v>3210</v>
      </c>
    </row>
    <row r="14" spans="1:24">
      <c r="A14" t="s">
        <v>562</v>
      </c>
    </row>
    <row r="16" spans="1:24">
      <c r="A16" s="698" t="s">
        <v>3251</v>
      </c>
      <c r="B16" s="152" t="s">
        <v>3252</v>
      </c>
      <c r="O16" s="702" t="s">
        <v>3253</v>
      </c>
      <c r="X16" s="702" t="s">
        <v>3254</v>
      </c>
    </row>
    <row r="17" spans="1:24" ht="28.5" outlineLevel="2">
      <c r="A17" s="785" t="s">
        <v>3255</v>
      </c>
      <c r="B17" s="814" t="s">
        <v>3256</v>
      </c>
      <c r="C17" s="793" t="s">
        <v>3257</v>
      </c>
      <c r="D17" s="793" t="s">
        <v>3258</v>
      </c>
      <c r="E17" s="785" t="s">
        <v>3255</v>
      </c>
      <c r="F17" s="814" t="s">
        <v>3256</v>
      </c>
      <c r="G17" s="793" t="s">
        <v>3257</v>
      </c>
      <c r="H17" s="793" t="s">
        <v>3258</v>
      </c>
      <c r="I17" s="1283" t="s">
        <v>3259</v>
      </c>
      <c r="K17" s="702" t="s">
        <v>3260</v>
      </c>
      <c r="O17" s="731" t="s">
        <v>3255</v>
      </c>
      <c r="P17" s="731" t="s">
        <v>3256</v>
      </c>
      <c r="Q17" s="676" t="s">
        <v>3255</v>
      </c>
      <c r="R17" s="676" t="s">
        <v>3256</v>
      </c>
      <c r="T17" s="731" t="s">
        <v>3255</v>
      </c>
      <c r="U17" s="731" t="s">
        <v>3256</v>
      </c>
      <c r="V17" s="676" t="s">
        <v>3255</v>
      </c>
      <c r="W17" s="676" t="s">
        <v>3256</v>
      </c>
      <c r="X17" s="1283" t="s">
        <v>3259</v>
      </c>
    </row>
    <row r="18" spans="1:24" outlineLevel="2">
      <c r="A18" s="40">
        <v>1</v>
      </c>
      <c r="B18" s="311">
        <v>0.99990000000000001</v>
      </c>
      <c r="C18" s="310">
        <v>-0.02</v>
      </c>
      <c r="D18" s="310">
        <f t="shared" ref="D18:D33" si="0">(B18-A18)/A18*100</f>
        <v>-9.9999999999988987E-3</v>
      </c>
      <c r="E18" s="40">
        <v>80</v>
      </c>
      <c r="F18" s="312">
        <v>79.992999999999995</v>
      </c>
      <c r="G18" s="310">
        <v>0</v>
      </c>
      <c r="H18" s="310">
        <f t="shared" ref="H18:H33" si="1">(F18-E18)/E18*100</f>
        <v>-8.7500000000062528E-3</v>
      </c>
      <c r="I18" s="2745"/>
      <c r="O18" s="6">
        <v>1</v>
      </c>
      <c r="P18" s="119">
        <v>0.99990000000000001</v>
      </c>
      <c r="Q18" s="6">
        <v>80</v>
      </c>
      <c r="R18" s="100">
        <v>79.992999999999995</v>
      </c>
      <c r="T18" s="6">
        <v>1</v>
      </c>
      <c r="U18" s="119">
        <v>0.99990000000000001</v>
      </c>
      <c r="V18" s="6">
        <v>80</v>
      </c>
      <c r="W18" s="100">
        <v>79.992999999999995</v>
      </c>
      <c r="X18" s="2298"/>
    </row>
    <row r="19" spans="1:24" outlineLevel="2">
      <c r="A19" s="40">
        <v>2</v>
      </c>
      <c r="B19" s="311">
        <v>1.9996</v>
      </c>
      <c r="C19" s="310">
        <v>-0.01</v>
      </c>
      <c r="D19" s="310">
        <f t="shared" si="0"/>
        <v>-1.9999999999997797E-2</v>
      </c>
      <c r="E19" s="40">
        <v>90</v>
      </c>
      <c r="F19" s="312">
        <v>90.004999999999995</v>
      </c>
      <c r="G19" s="310">
        <v>-0.01</v>
      </c>
      <c r="H19" s="310">
        <f t="shared" si="1"/>
        <v>5.5555555555505025E-3</v>
      </c>
      <c r="I19" s="2339"/>
      <c r="O19" s="6">
        <v>2</v>
      </c>
      <c r="P19" s="119">
        <v>1.9996</v>
      </c>
      <c r="Q19" s="6">
        <v>90</v>
      </c>
      <c r="R19" s="100">
        <v>90.004999999999995</v>
      </c>
      <c r="S19" s="29"/>
      <c r="T19" s="6">
        <v>2</v>
      </c>
      <c r="U19" s="119">
        <v>1.9996</v>
      </c>
      <c r="V19" s="6">
        <v>90</v>
      </c>
      <c r="W19" s="100">
        <v>90.004999999999995</v>
      </c>
      <c r="X19" s="2298"/>
    </row>
    <row r="20" spans="1:24" ht="14.25" customHeight="1" outlineLevel="2">
      <c r="A20" s="40">
        <v>3</v>
      </c>
      <c r="B20" s="311">
        <v>2.9984999999999999</v>
      </c>
      <c r="C20" s="310">
        <v>0</v>
      </c>
      <c r="D20" s="310">
        <f t="shared" si="0"/>
        <v>-5.0000000000001897E-2</v>
      </c>
      <c r="E20" s="40">
        <v>100</v>
      </c>
      <c r="F20" s="312">
        <v>99.971000000000004</v>
      </c>
      <c r="G20" s="310">
        <v>-0.01</v>
      </c>
      <c r="H20" s="310">
        <f t="shared" si="1"/>
        <v>-2.8999999999996362E-2</v>
      </c>
      <c r="I20" s="2339"/>
      <c r="K20" s="2431" t="s">
        <v>3261</v>
      </c>
      <c r="L20" s="2431"/>
      <c r="M20" s="2431"/>
      <c r="N20" s="2431"/>
      <c r="O20" s="6">
        <v>3</v>
      </c>
      <c r="P20" s="119">
        <v>2.9984999999999999</v>
      </c>
      <c r="Q20" s="6">
        <v>100</v>
      </c>
      <c r="R20" s="100">
        <v>99.971000000000004</v>
      </c>
      <c r="S20" s="29"/>
      <c r="T20" s="6">
        <v>3</v>
      </c>
      <c r="U20" s="119">
        <v>2.9984999999999999</v>
      </c>
      <c r="V20" s="6">
        <v>100</v>
      </c>
      <c r="W20" s="100">
        <v>99.971000000000004</v>
      </c>
      <c r="X20" s="2298"/>
    </row>
    <row r="21" spans="1:24" outlineLevel="2">
      <c r="A21" s="40">
        <v>4</v>
      </c>
      <c r="B21" s="311">
        <v>3.9988000000000001</v>
      </c>
      <c r="C21" s="310">
        <v>0</v>
      </c>
      <c r="D21" s="310">
        <f t="shared" si="0"/>
        <v>-2.9999999999996696E-2</v>
      </c>
      <c r="E21" s="40">
        <v>200</v>
      </c>
      <c r="F21" s="313">
        <v>199.93</v>
      </c>
      <c r="G21" s="310">
        <v>-0.02</v>
      </c>
      <c r="H21" s="310">
        <f t="shared" si="1"/>
        <v>-3.4999999999996589E-2</v>
      </c>
      <c r="I21" s="2339"/>
      <c r="K21" s="2431"/>
      <c r="L21" s="2431"/>
      <c r="M21" s="2431"/>
      <c r="N21" s="2431"/>
      <c r="O21" s="6">
        <v>4</v>
      </c>
      <c r="P21" s="119">
        <v>3.9988000000000001</v>
      </c>
      <c r="Q21" s="6">
        <v>200</v>
      </c>
      <c r="R21" s="2">
        <v>199.93</v>
      </c>
      <c r="S21" s="29"/>
      <c r="T21" s="6">
        <v>4</v>
      </c>
      <c r="U21" s="119">
        <v>3.9988000000000001</v>
      </c>
      <c r="V21" s="6">
        <v>200</v>
      </c>
      <c r="W21" s="2">
        <v>199.93</v>
      </c>
      <c r="X21" s="2298"/>
    </row>
    <row r="22" spans="1:24" outlineLevel="2">
      <c r="A22" s="40">
        <v>5</v>
      </c>
      <c r="B22" s="311">
        <v>4.9988000000000001</v>
      </c>
      <c r="C22" s="310">
        <v>0</v>
      </c>
      <c r="D22" s="310">
        <f t="shared" si="0"/>
        <v>-2.3999999999997357E-2</v>
      </c>
      <c r="E22" s="40">
        <v>300</v>
      </c>
      <c r="F22" s="313">
        <v>299.98</v>
      </c>
      <c r="G22" s="310">
        <v>-0.01</v>
      </c>
      <c r="H22" s="310">
        <f t="shared" si="1"/>
        <v>-6.6666666666606034E-3</v>
      </c>
      <c r="I22" s="2339"/>
      <c r="K22" s="2431"/>
      <c r="L22" s="2431"/>
      <c r="M22" s="2431"/>
      <c r="N22" s="2431"/>
      <c r="O22" s="6">
        <v>5</v>
      </c>
      <c r="P22" s="119">
        <v>4.9988000000000001</v>
      </c>
      <c r="Q22" s="6">
        <v>300</v>
      </c>
      <c r="R22" s="2">
        <v>299.98</v>
      </c>
      <c r="S22" s="29"/>
      <c r="T22" s="6">
        <v>5</v>
      </c>
      <c r="U22" s="119">
        <v>4.9988000000000001</v>
      </c>
      <c r="V22" s="6">
        <v>300</v>
      </c>
      <c r="W22" s="2">
        <v>299.98</v>
      </c>
      <c r="X22" s="2298"/>
    </row>
    <row r="23" spans="1:24" outlineLevel="2">
      <c r="A23" s="40">
        <v>6</v>
      </c>
      <c r="B23" s="311">
        <v>5.9946000000000002</v>
      </c>
      <c r="C23" s="310">
        <v>-0.03</v>
      </c>
      <c r="D23" s="310">
        <f t="shared" si="0"/>
        <v>-8.9999999999997499E-2</v>
      </c>
      <c r="E23" s="40">
        <v>400</v>
      </c>
      <c r="F23" s="313">
        <v>399.79</v>
      </c>
      <c r="G23" s="787">
        <v>-0.02</v>
      </c>
      <c r="H23" s="310">
        <f t="shared" si="1"/>
        <v>-5.2499999999994877E-2</v>
      </c>
      <c r="I23" s="2339"/>
      <c r="K23" s="2431"/>
      <c r="L23" s="2431"/>
      <c r="M23" s="2431"/>
      <c r="N23" s="2431"/>
      <c r="O23" s="6">
        <v>6</v>
      </c>
      <c r="P23" s="119">
        <v>5.9946000000000002</v>
      </c>
      <c r="Q23" s="6">
        <v>400</v>
      </c>
      <c r="R23" s="2">
        <v>399.79</v>
      </c>
      <c r="S23" s="29"/>
      <c r="T23" s="6">
        <v>6</v>
      </c>
      <c r="U23" s="119">
        <v>5.9946000000000002</v>
      </c>
      <c r="V23" s="6">
        <v>400</v>
      </c>
      <c r="W23" s="2">
        <v>399.79</v>
      </c>
      <c r="X23" s="2298"/>
    </row>
    <row r="24" spans="1:24" outlineLevel="2">
      <c r="A24" s="40">
        <v>7</v>
      </c>
      <c r="B24" s="311">
        <v>6.9958</v>
      </c>
      <c r="C24" s="310">
        <v>-0.01</v>
      </c>
      <c r="D24" s="310">
        <f t="shared" si="0"/>
        <v>-5.9999999999999734E-2</v>
      </c>
      <c r="E24" s="40">
        <v>500</v>
      </c>
      <c r="F24" s="313">
        <v>499.86</v>
      </c>
      <c r="G24" s="310">
        <v>-0.03</v>
      </c>
      <c r="H24" s="310">
        <f t="shared" si="1"/>
        <v>-2.799999999999727E-2</v>
      </c>
      <c r="I24" s="2339"/>
      <c r="K24" s="2431"/>
      <c r="L24" s="2431"/>
      <c r="M24" s="2431"/>
      <c r="N24" s="2431"/>
      <c r="O24" s="6">
        <v>7</v>
      </c>
      <c r="P24" s="119">
        <v>6.9958</v>
      </c>
      <c r="Q24" s="6">
        <v>500</v>
      </c>
      <c r="R24" s="2">
        <v>499.86</v>
      </c>
      <c r="S24" s="29"/>
      <c r="T24" s="6">
        <v>7</v>
      </c>
      <c r="U24" s="119">
        <v>6.9958</v>
      </c>
      <c r="V24" s="6">
        <v>500</v>
      </c>
      <c r="W24" s="2">
        <v>499.86</v>
      </c>
      <c r="X24" s="2298"/>
    </row>
    <row r="25" spans="1:24" outlineLevel="2">
      <c r="A25" s="40">
        <v>8</v>
      </c>
      <c r="B25" s="311">
        <v>7.9955999999999996</v>
      </c>
      <c r="C25" s="310">
        <v>0</v>
      </c>
      <c r="D25" s="310">
        <f t="shared" si="0"/>
        <v>-5.5000000000005045E-2</v>
      </c>
      <c r="E25" s="40">
        <v>600</v>
      </c>
      <c r="F25" s="313">
        <v>599.88</v>
      </c>
      <c r="G25" s="310">
        <v>-0.03</v>
      </c>
      <c r="H25" s="310">
        <f t="shared" si="1"/>
        <v>-2.0000000000000757E-2</v>
      </c>
      <c r="I25" s="2339"/>
      <c r="K25" s="2431"/>
      <c r="L25" s="2431"/>
      <c r="M25" s="2431"/>
      <c r="N25" s="2431"/>
      <c r="O25" s="6">
        <v>8</v>
      </c>
      <c r="P25" s="119">
        <v>7.9955999999999996</v>
      </c>
      <c r="Q25" s="6">
        <v>600</v>
      </c>
      <c r="R25" s="2">
        <v>599.88</v>
      </c>
      <c r="S25" s="29"/>
      <c r="T25" s="6">
        <v>8</v>
      </c>
      <c r="U25" s="119">
        <v>7.9955999999999996</v>
      </c>
      <c r="V25" s="6">
        <v>600</v>
      </c>
      <c r="W25" s="2">
        <v>599.88</v>
      </c>
      <c r="X25" s="2298"/>
    </row>
    <row r="26" spans="1:24" outlineLevel="2">
      <c r="A26" s="40">
        <v>9</v>
      </c>
      <c r="B26" s="311">
        <v>8.9949999999999992</v>
      </c>
      <c r="C26" s="310">
        <v>0</v>
      </c>
      <c r="D26" s="310">
        <f t="shared" si="0"/>
        <v>-5.555555555556424E-2</v>
      </c>
      <c r="E26" s="40">
        <v>700</v>
      </c>
      <c r="F26" s="313">
        <v>699.76</v>
      </c>
      <c r="G26" s="310">
        <v>-0.04</v>
      </c>
      <c r="H26" s="310">
        <f t="shared" si="1"/>
        <v>-3.4285714285715585E-2</v>
      </c>
      <c r="I26" s="2339"/>
      <c r="K26" s="2431"/>
      <c r="L26" s="2431"/>
      <c r="M26" s="2431"/>
      <c r="N26" s="2431"/>
      <c r="O26" s="6">
        <v>9</v>
      </c>
      <c r="P26" s="119">
        <v>8.9949999999999992</v>
      </c>
      <c r="Q26" s="167">
        <v>700</v>
      </c>
      <c r="R26" s="2">
        <v>699.76</v>
      </c>
      <c r="S26" s="29"/>
      <c r="T26" s="6">
        <v>9</v>
      </c>
      <c r="U26" s="119">
        <v>8.9949999999999992</v>
      </c>
      <c r="V26" s="167">
        <v>700</v>
      </c>
      <c r="W26" s="2">
        <v>699.76</v>
      </c>
      <c r="X26" s="2298"/>
    </row>
    <row r="27" spans="1:24" outlineLevel="2">
      <c r="A27" s="40">
        <v>10</v>
      </c>
      <c r="B27" s="311">
        <v>9.9953000000000003</v>
      </c>
      <c r="C27" s="310">
        <v>0</v>
      </c>
      <c r="D27" s="310">
        <f t="shared" si="0"/>
        <v>-4.6999999999997044E-2</v>
      </c>
      <c r="E27" s="40">
        <v>800</v>
      </c>
      <c r="F27" s="313">
        <v>800.89</v>
      </c>
      <c r="G27" s="310">
        <v>-0.08</v>
      </c>
      <c r="H27" s="310">
        <f t="shared" si="1"/>
        <v>0.11124999999999828</v>
      </c>
      <c r="I27" s="2339"/>
      <c r="K27" s="2431"/>
      <c r="L27" s="2431"/>
      <c r="M27" s="2431"/>
      <c r="N27" s="2431"/>
      <c r="O27" s="6">
        <v>10</v>
      </c>
      <c r="P27" s="119">
        <v>9.9953000000000003</v>
      </c>
      <c r="Q27" s="6">
        <v>800</v>
      </c>
      <c r="R27" s="2">
        <v>800.89</v>
      </c>
      <c r="S27" s="29"/>
      <c r="T27" s="6">
        <v>10</v>
      </c>
      <c r="U27" s="119">
        <v>9.9953000000000003</v>
      </c>
      <c r="V27" s="6">
        <v>800</v>
      </c>
      <c r="W27" s="2">
        <v>800.89</v>
      </c>
      <c r="X27" s="2298"/>
    </row>
    <row r="28" spans="1:24" outlineLevel="2">
      <c r="A28" s="40">
        <v>20</v>
      </c>
      <c r="B28" s="312">
        <v>19.991</v>
      </c>
      <c r="C28" s="310">
        <v>-0.01</v>
      </c>
      <c r="D28" s="310">
        <f t="shared" si="0"/>
        <v>-4.5000000000001705E-2</v>
      </c>
      <c r="E28" s="40">
        <v>900</v>
      </c>
      <c r="F28" s="313">
        <v>901.18</v>
      </c>
      <c r="G28" s="310">
        <v>-0.08</v>
      </c>
      <c r="H28" s="310">
        <f t="shared" si="1"/>
        <v>0.13111111111110554</v>
      </c>
      <c r="I28" s="2339"/>
      <c r="K28" s="2431"/>
      <c r="L28" s="2431"/>
      <c r="M28" s="2431"/>
      <c r="N28" s="2431"/>
      <c r="O28" s="6">
        <v>20</v>
      </c>
      <c r="P28" s="100">
        <v>19.991</v>
      </c>
      <c r="Q28" s="6">
        <v>900</v>
      </c>
      <c r="R28" s="2">
        <v>901.18</v>
      </c>
      <c r="S28" s="29"/>
      <c r="T28" s="6">
        <v>20</v>
      </c>
      <c r="U28" s="100">
        <v>19.991</v>
      </c>
      <c r="V28" s="6">
        <v>900</v>
      </c>
      <c r="W28" s="2">
        <v>901.18</v>
      </c>
      <c r="X28" s="2298"/>
    </row>
    <row r="29" spans="1:24" outlineLevel="2">
      <c r="A29" s="40">
        <v>30</v>
      </c>
      <c r="B29" s="312">
        <v>29.984999999999999</v>
      </c>
      <c r="C29" s="310">
        <v>0</v>
      </c>
      <c r="D29" s="310">
        <f t="shared" si="0"/>
        <v>-5.0000000000001897E-2</v>
      </c>
      <c r="E29" s="40">
        <v>1000</v>
      </c>
      <c r="F29" s="313">
        <v>1001.4</v>
      </c>
      <c r="G29" s="310">
        <v>-0.08</v>
      </c>
      <c r="H29" s="310">
        <f t="shared" si="1"/>
        <v>0.13999999999999771</v>
      </c>
      <c r="I29" s="2339"/>
      <c r="K29" s="2431"/>
      <c r="L29" s="2431"/>
      <c r="M29" s="2431"/>
      <c r="N29" s="2431"/>
      <c r="O29" s="6">
        <v>30</v>
      </c>
      <c r="P29" s="100">
        <v>29.984999999999999</v>
      </c>
      <c r="Q29" s="6">
        <v>1000</v>
      </c>
      <c r="R29" s="2">
        <v>1001.4</v>
      </c>
      <c r="S29" s="29"/>
      <c r="T29" s="6">
        <v>30</v>
      </c>
      <c r="U29" s="100">
        <v>29.984999999999999</v>
      </c>
      <c r="V29" s="6">
        <v>1000</v>
      </c>
      <c r="W29" s="2">
        <v>1001.4</v>
      </c>
      <c r="X29" s="2298"/>
    </row>
    <row r="30" spans="1:24" outlineLevel="2">
      <c r="A30" s="40">
        <v>40</v>
      </c>
      <c r="B30" s="312">
        <v>39.979999999999997</v>
      </c>
      <c r="C30" s="310">
        <v>0</v>
      </c>
      <c r="D30" s="310">
        <f t="shared" si="0"/>
        <v>-5.0000000000007816E-2</v>
      </c>
      <c r="E30" s="40">
        <v>25</v>
      </c>
      <c r="F30" s="312">
        <v>24.983000000000001</v>
      </c>
      <c r="G30" s="310">
        <v>0</v>
      </c>
      <c r="H30" s="310">
        <f t="shared" si="1"/>
        <v>-6.799999999999784E-2</v>
      </c>
      <c r="I30" s="2339"/>
      <c r="K30" s="2431"/>
      <c r="L30" s="2431"/>
      <c r="M30" s="2431"/>
      <c r="N30" s="2431"/>
      <c r="O30" s="6">
        <v>40</v>
      </c>
      <c r="P30" s="100">
        <v>39.979999999999997</v>
      </c>
      <c r="Q30" s="6">
        <v>25</v>
      </c>
      <c r="R30" s="100">
        <v>24.983000000000001</v>
      </c>
      <c r="S30" s="29"/>
      <c r="T30" s="6">
        <v>40</v>
      </c>
      <c r="U30" s="100">
        <v>39.979999999999997</v>
      </c>
      <c r="V30" s="6">
        <v>25</v>
      </c>
      <c r="W30" s="100">
        <v>24.983000000000001</v>
      </c>
      <c r="X30" s="2298"/>
    </row>
    <row r="31" spans="1:24" outlineLevel="2">
      <c r="A31" s="40">
        <v>50</v>
      </c>
      <c r="B31" s="312">
        <v>49.973999999999997</v>
      </c>
      <c r="C31" s="310">
        <v>-0.02</v>
      </c>
      <c r="D31" s="310">
        <f t="shared" si="0"/>
        <v>-5.2000000000006708E-2</v>
      </c>
      <c r="E31" s="40">
        <v>250</v>
      </c>
      <c r="F31" s="313">
        <v>249.87</v>
      </c>
      <c r="G31" s="310">
        <v>-0.01</v>
      </c>
      <c r="H31" s="310">
        <f t="shared" si="1"/>
        <v>-5.1999999999998187E-2</v>
      </c>
      <c r="I31" s="2339"/>
      <c r="K31" s="2431"/>
      <c r="L31" s="2431"/>
      <c r="M31" s="2431"/>
      <c r="N31" s="2431"/>
      <c r="O31" s="6">
        <v>50</v>
      </c>
      <c r="P31" s="100">
        <v>49.973999999999997</v>
      </c>
      <c r="Q31" s="6">
        <v>250</v>
      </c>
      <c r="R31" s="2">
        <v>249.87</v>
      </c>
      <c r="T31" s="6">
        <v>50</v>
      </c>
      <c r="U31" s="100">
        <v>49.973999999999997</v>
      </c>
      <c r="V31" s="6">
        <v>250</v>
      </c>
      <c r="W31" s="2">
        <v>249.87</v>
      </c>
      <c r="X31" s="2298"/>
    </row>
    <row r="32" spans="1:24" outlineLevel="2">
      <c r="A32" s="40">
        <v>60</v>
      </c>
      <c r="B32" s="312">
        <v>59.98</v>
      </c>
      <c r="C32" s="310">
        <v>-0.02</v>
      </c>
      <c r="D32" s="310">
        <f t="shared" si="0"/>
        <v>-3.3333333333338544E-2</v>
      </c>
      <c r="E32" s="40">
        <v>12</v>
      </c>
      <c r="F32" s="312">
        <v>11.989000000000001</v>
      </c>
      <c r="G32" s="310">
        <v>-0.03</v>
      </c>
      <c r="H32" s="310">
        <f t="shared" si="1"/>
        <v>-9.1666666666660263E-2</v>
      </c>
      <c r="I32" s="2339"/>
      <c r="O32" s="6">
        <v>60</v>
      </c>
      <c r="P32" s="100">
        <v>59.98</v>
      </c>
      <c r="Q32" s="167">
        <v>12</v>
      </c>
      <c r="R32" s="100">
        <v>11.989000000000001</v>
      </c>
      <c r="T32" s="6">
        <v>60</v>
      </c>
      <c r="U32" s="100">
        <v>59.98</v>
      </c>
      <c r="V32" s="167">
        <v>12</v>
      </c>
      <c r="W32" s="100">
        <v>11.989000000000001</v>
      </c>
      <c r="X32" s="2298"/>
    </row>
    <row r="33" spans="1:25" outlineLevel="2">
      <c r="A33" s="40">
        <v>70</v>
      </c>
      <c r="B33" s="312">
        <v>69.983999999999995</v>
      </c>
      <c r="C33" s="310">
        <v>0</v>
      </c>
      <c r="D33" s="310">
        <f t="shared" si="0"/>
        <v>-2.285714285715049E-2</v>
      </c>
      <c r="E33" s="40">
        <v>120</v>
      </c>
      <c r="F33" s="313">
        <v>119.98</v>
      </c>
      <c r="G33" s="310">
        <v>0</v>
      </c>
      <c r="H33" s="310">
        <f t="shared" si="1"/>
        <v>-1.666666666666335E-2</v>
      </c>
      <c r="I33" s="2746"/>
      <c r="O33" s="6">
        <v>70</v>
      </c>
      <c r="P33" s="100">
        <v>69.983999999999995</v>
      </c>
      <c r="Q33" s="6">
        <v>120</v>
      </c>
      <c r="R33" s="2">
        <v>119.98</v>
      </c>
      <c r="T33" s="6">
        <v>70</v>
      </c>
      <c r="U33" s="100">
        <v>69.983999999999995</v>
      </c>
      <c r="V33" s="6">
        <v>120</v>
      </c>
      <c r="W33" s="2">
        <v>119.98</v>
      </c>
      <c r="X33" s="2298"/>
    </row>
    <row r="34" spans="1:25" outlineLevel="1"/>
    <row r="35" spans="1:25" outlineLevel="1">
      <c r="A35" s="698" t="s">
        <v>3262</v>
      </c>
      <c r="O35" s="702" t="s">
        <v>3263</v>
      </c>
    </row>
    <row r="36" spans="1:25" outlineLevel="2">
      <c r="A36" s="1298" t="s">
        <v>3264</v>
      </c>
      <c r="B36" s="1298">
        <v>1</v>
      </c>
      <c r="C36" s="1298">
        <v>2</v>
      </c>
      <c r="D36" s="1298">
        <v>3</v>
      </c>
      <c r="E36" s="1298">
        <v>4</v>
      </c>
      <c r="F36" s="1298">
        <v>5</v>
      </c>
      <c r="G36" s="1299"/>
      <c r="K36" s="1300" t="s">
        <v>563</v>
      </c>
      <c r="L36" s="318"/>
      <c r="O36" s="1298" t="s">
        <v>3264</v>
      </c>
      <c r="P36" s="1298">
        <v>1</v>
      </c>
      <c r="Q36" s="1298">
        <v>2</v>
      </c>
      <c r="R36" s="1298">
        <v>3</v>
      </c>
      <c r="S36" s="1298">
        <v>4</v>
      </c>
      <c r="T36" s="1298">
        <v>5</v>
      </c>
    </row>
    <row r="37" spans="1:25" outlineLevel="2">
      <c r="A37" s="1301" t="s">
        <v>3265</v>
      </c>
      <c r="B37" s="1302">
        <v>-1E-4</v>
      </c>
      <c r="C37" s="1302">
        <v>-1E-4</v>
      </c>
      <c r="D37" s="1302">
        <v>-2.0000000000000001E-4</v>
      </c>
      <c r="E37" s="1302">
        <v>-2.0000000000000001E-4</v>
      </c>
      <c r="F37" s="1302">
        <v>-2.0000000000000001E-4</v>
      </c>
      <c r="G37" s="320"/>
      <c r="K37" s="1303" t="s">
        <v>564</v>
      </c>
      <c r="L37" s="319"/>
      <c r="O37" s="1301" t="s">
        <v>3265</v>
      </c>
      <c r="P37" s="1302">
        <v>-1E-4</v>
      </c>
      <c r="Q37" s="1302">
        <v>-1E-4</v>
      </c>
      <c r="R37" s="1302">
        <v>-2.0000000000000001E-4</v>
      </c>
      <c r="S37" s="1302">
        <v>-2.0000000000000001E-4</v>
      </c>
      <c r="T37" s="1302">
        <v>-2.0000000000000001E-4</v>
      </c>
    </row>
    <row r="38" spans="1:25" outlineLevel="2">
      <c r="A38" s="1301" t="s">
        <v>3266</v>
      </c>
      <c r="B38" s="3816">
        <f>AVERAGE(B37:F37)</f>
        <v>-1.6000000000000001E-4</v>
      </c>
      <c r="C38" s="3817"/>
      <c r="D38" s="3817"/>
      <c r="E38" s="3817"/>
      <c r="F38" s="3818"/>
      <c r="G38" s="320"/>
      <c r="K38" s="1303" t="s">
        <v>3267</v>
      </c>
      <c r="L38" s="1304"/>
      <c r="O38" s="1301" t="s">
        <v>3266</v>
      </c>
      <c r="P38" s="3816">
        <f>AVERAGE(P37:T37)</f>
        <v>-1.6000000000000001E-4</v>
      </c>
      <c r="Q38" s="3817"/>
      <c r="R38" s="3817"/>
      <c r="S38" s="3817"/>
      <c r="T38" s="3818"/>
    </row>
    <row r="39" spans="1:25" outlineLevel="2">
      <c r="A39" s="1301" t="s">
        <v>3268</v>
      </c>
      <c r="B39" s="3819">
        <f>SQRT(DEVSQ(B37:F37))/SQRT(4)</f>
        <v>5.4772255750516614E-5</v>
      </c>
      <c r="C39" s="3819"/>
      <c r="D39" s="3819"/>
      <c r="E39" s="3819"/>
      <c r="F39" s="3819"/>
      <c r="G39" s="320"/>
      <c r="K39" s="1305" t="s">
        <v>3269</v>
      </c>
      <c r="L39" s="1306"/>
      <c r="O39" s="1301" t="s">
        <v>3268</v>
      </c>
      <c r="P39" s="3819">
        <f>SQRT(DEVSQ(P37:T37))/SQRT(4)</f>
        <v>5.4772255750516614E-5</v>
      </c>
      <c r="Q39" s="3819"/>
      <c r="R39" s="3819"/>
      <c r="S39" s="3819"/>
      <c r="T39" s="3819"/>
    </row>
    <row r="40" spans="1:25" outlineLevel="1"/>
    <row r="41" spans="1:25" outlineLevel="1">
      <c r="A41" s="702" t="s">
        <v>3270</v>
      </c>
      <c r="P41" s="702" t="s">
        <v>3263</v>
      </c>
    </row>
    <row r="42" spans="1:25" outlineLevel="2">
      <c r="A42" s="2503" t="s">
        <v>3271</v>
      </c>
      <c r="B42" s="2503"/>
      <c r="C42" s="40" t="s">
        <v>3272</v>
      </c>
      <c r="D42" s="40" t="s">
        <v>3273</v>
      </c>
      <c r="E42" s="40" t="s">
        <v>3274</v>
      </c>
      <c r="F42" s="40" t="s">
        <v>3275</v>
      </c>
      <c r="G42" s="40" t="s">
        <v>3276</v>
      </c>
      <c r="H42" s="40" t="s">
        <v>3277</v>
      </c>
      <c r="I42" s="40" t="s">
        <v>3278</v>
      </c>
      <c r="J42" s="40" t="s">
        <v>3279</v>
      </c>
      <c r="K42" s="1299"/>
      <c r="P42" s="2503" t="s">
        <v>3271</v>
      </c>
      <c r="Q42" s="2503"/>
      <c r="R42" s="40" t="s">
        <v>3272</v>
      </c>
      <c r="S42" s="40" t="s">
        <v>3273</v>
      </c>
      <c r="T42" s="40" t="s">
        <v>3274</v>
      </c>
      <c r="U42" s="40" t="s">
        <v>3275</v>
      </c>
      <c r="V42" s="40" t="s">
        <v>3276</v>
      </c>
      <c r="W42" s="40" t="s">
        <v>3277</v>
      </c>
      <c r="X42" s="40" t="s">
        <v>3278</v>
      </c>
      <c r="Y42" s="40" t="s">
        <v>3279</v>
      </c>
    </row>
    <row r="43" spans="1:25" outlineLevel="2">
      <c r="A43" s="2503" t="s">
        <v>3280</v>
      </c>
      <c r="B43" s="2503"/>
      <c r="C43" s="40">
        <v>10</v>
      </c>
      <c r="D43" s="40">
        <v>10</v>
      </c>
      <c r="E43" s="40">
        <v>10</v>
      </c>
      <c r="F43" s="40">
        <v>10</v>
      </c>
      <c r="G43" s="790" t="s">
        <v>3281</v>
      </c>
      <c r="H43" s="790" t="s">
        <v>3281</v>
      </c>
      <c r="I43" s="790" t="s">
        <v>3282</v>
      </c>
      <c r="J43" s="790" t="s">
        <v>3282</v>
      </c>
      <c r="K43" s="317"/>
      <c r="L43" s="1307"/>
      <c r="M43" s="1308"/>
      <c r="P43" s="2503" t="s">
        <v>3280</v>
      </c>
      <c r="Q43" s="2503"/>
      <c r="R43" s="40">
        <v>10</v>
      </c>
      <c r="S43" s="40">
        <v>10</v>
      </c>
      <c r="T43" s="40">
        <v>10</v>
      </c>
      <c r="U43" s="40">
        <v>10</v>
      </c>
      <c r="V43" s="790" t="s">
        <v>3281</v>
      </c>
      <c r="W43" s="790" t="s">
        <v>3281</v>
      </c>
      <c r="X43" s="790" t="s">
        <v>3282</v>
      </c>
      <c r="Y43" s="790" t="s">
        <v>3282</v>
      </c>
    </row>
    <row r="44" spans="1:25" outlineLevel="2">
      <c r="A44" s="2735" t="s">
        <v>3283</v>
      </c>
      <c r="B44" s="3815" t="s">
        <v>3284</v>
      </c>
      <c r="C44" s="225">
        <v>9.9945000000000004</v>
      </c>
      <c r="D44" s="225">
        <v>9.9928000000000008</v>
      </c>
      <c r="E44" s="225">
        <v>9.9808000000000003</v>
      </c>
      <c r="F44" s="225">
        <v>9.9938000000000002</v>
      </c>
      <c r="G44" s="225">
        <v>17.306999999999999</v>
      </c>
      <c r="H44" s="225">
        <v>17.3</v>
      </c>
      <c r="I44" s="225">
        <v>5.7683</v>
      </c>
      <c r="J44" s="225">
        <v>5.7671000000000001</v>
      </c>
      <c r="K44" s="317"/>
      <c r="L44" s="1307"/>
      <c r="P44" s="2735" t="s">
        <v>3283</v>
      </c>
      <c r="Q44" s="3815" t="s">
        <v>3284</v>
      </c>
      <c r="R44" s="225">
        <v>9.9945000000000004</v>
      </c>
      <c r="S44" s="225">
        <v>9.9928000000000008</v>
      </c>
      <c r="T44" s="225">
        <v>9.9808000000000003</v>
      </c>
      <c r="U44" s="225">
        <v>9.9938000000000002</v>
      </c>
      <c r="V44" s="225">
        <v>17.306999999999999</v>
      </c>
      <c r="W44" s="225">
        <v>17.3</v>
      </c>
      <c r="X44" s="225">
        <v>5.7683</v>
      </c>
      <c r="Y44" s="225">
        <v>5.7671000000000001</v>
      </c>
    </row>
    <row r="45" spans="1:25" outlineLevel="2">
      <c r="A45" s="3814"/>
      <c r="B45" s="2778"/>
      <c r="C45" s="226">
        <f>(C44-10)/10</f>
        <v>-5.4999999999996165E-4</v>
      </c>
      <c r="D45" s="226">
        <f>(D44-10)/10</f>
        <v>-7.1999999999992068E-4</v>
      </c>
      <c r="E45" s="226">
        <f>(E44-10)/10</f>
        <v>-1.9199999999999662E-3</v>
      </c>
      <c r="F45" s="226">
        <f>(F44-10)/10</f>
        <v>-6.1999999999997615E-4</v>
      </c>
      <c r="G45" s="226">
        <f>(G44-10*SQRT(3))/(10*SQRT(3))</f>
        <v>-7.7988911351466064E-4</v>
      </c>
      <c r="H45" s="226">
        <f>(H44-10*SQRT(3))/(10*SQRT(3))</f>
        <v>-1.1840343019472773E-3</v>
      </c>
      <c r="I45" s="226">
        <f>(I44-10/SQRT(3))/(10/SQRT(3))</f>
        <v>-9.0113267004460955E-4</v>
      </c>
      <c r="J45" s="226">
        <f>(J44-10/SQRT(3))/(10/SQRT(3))</f>
        <v>-1.108978766952852E-3</v>
      </c>
      <c r="K45" s="317"/>
      <c r="L45" s="1309" t="s">
        <v>3285</v>
      </c>
      <c r="P45" s="3814"/>
      <c r="Q45" s="2778"/>
      <c r="R45" s="226">
        <f>(R44-10)/10</f>
        <v>-5.4999999999996165E-4</v>
      </c>
      <c r="S45" s="226">
        <f>(S44-10)/10</f>
        <v>-7.1999999999992068E-4</v>
      </c>
      <c r="T45" s="226">
        <f>(T44-10)/10</f>
        <v>-1.9199999999999662E-3</v>
      </c>
      <c r="U45" s="226">
        <f>(U44-10)/10</f>
        <v>-6.1999999999997615E-4</v>
      </c>
      <c r="V45" s="226">
        <f>(V44-10*SQRT(3))/(10*SQRT(3))</f>
        <v>-7.7988911351466064E-4</v>
      </c>
      <c r="W45" s="226">
        <f>(W44-10*SQRT(3))/(10*SQRT(3))</f>
        <v>-1.1840343019472773E-3</v>
      </c>
      <c r="X45" s="226">
        <f>(X44-10/SQRT(3))/(10/SQRT(3))</f>
        <v>-9.0113267004460955E-4</v>
      </c>
      <c r="Y45" s="226">
        <f>(Y44-10/SQRT(3))/(10/SQRT(3))</f>
        <v>-1.108978766952852E-3</v>
      </c>
    </row>
    <row r="46" spans="1:25" outlineLevel="2">
      <c r="A46" s="3814"/>
      <c r="B46" s="3815" t="s">
        <v>3286</v>
      </c>
      <c r="C46" s="225">
        <v>9.9949999999999992</v>
      </c>
      <c r="D46" s="225">
        <v>9.9947999999999997</v>
      </c>
      <c r="E46" s="225">
        <v>9.9923999999999999</v>
      </c>
      <c r="F46" s="225">
        <v>9.9937000000000005</v>
      </c>
      <c r="G46" s="225">
        <v>17.315000000000001</v>
      </c>
      <c r="H46" s="225">
        <v>17.315999999999999</v>
      </c>
      <c r="I46" s="225">
        <v>5.7710999999999997</v>
      </c>
      <c r="J46" s="225">
        <v>5.7728000000000002</v>
      </c>
      <c r="K46" s="317"/>
      <c r="P46" s="3814"/>
      <c r="Q46" s="3815" t="s">
        <v>3286</v>
      </c>
      <c r="R46" s="225">
        <v>9.9949999999999992</v>
      </c>
      <c r="S46" s="225">
        <v>9.9947999999999997</v>
      </c>
      <c r="T46" s="225">
        <v>9.9923999999999999</v>
      </c>
      <c r="U46" s="225">
        <v>9.9937000000000005</v>
      </c>
      <c r="V46" s="225">
        <v>17.315000000000001</v>
      </c>
      <c r="W46" s="225">
        <v>17.315999999999999</v>
      </c>
      <c r="X46" s="225">
        <v>5.7710999999999997</v>
      </c>
      <c r="Y46" s="225">
        <v>5.7728000000000002</v>
      </c>
    </row>
    <row r="47" spans="1:25" outlineLevel="2">
      <c r="A47" s="3814"/>
      <c r="B47" s="2778"/>
      <c r="C47" s="226">
        <v>0</v>
      </c>
      <c r="D47" s="226">
        <v>0</v>
      </c>
      <c r="E47" s="226">
        <f>(E46-10)/10</f>
        <v>-7.6000000000000514E-4</v>
      </c>
      <c r="F47" s="226">
        <f>(F46-10)/10</f>
        <v>-6.2999999999995286E-4</v>
      </c>
      <c r="G47" s="226">
        <f>(G46-10*SQRT(3))/(10*SQRT(3))</f>
        <v>-3.1800889816280573E-4</v>
      </c>
      <c r="H47" s="226">
        <f>(H46-10*SQRT(3))/(10*SQRT(3))</f>
        <v>-2.6027387124397773E-4</v>
      </c>
      <c r="I47" s="226">
        <f>(I46-10/SQRT(3))/(10/SQRT(3))</f>
        <v>-4.1615844392537738E-4</v>
      </c>
      <c r="J47" s="226">
        <f>(J46-10/SQRT(3))/(10/SQRT(3))</f>
        <v>-1.217098066385853E-4</v>
      </c>
      <c r="K47" s="317"/>
      <c r="P47" s="3814"/>
      <c r="Q47" s="2778"/>
      <c r="R47" s="226">
        <v>0</v>
      </c>
      <c r="S47" s="226">
        <v>0</v>
      </c>
      <c r="T47" s="226">
        <f>(T46-10)/10</f>
        <v>-7.6000000000000514E-4</v>
      </c>
      <c r="U47" s="226">
        <f>(U46-10)/10</f>
        <v>-6.2999999999995286E-4</v>
      </c>
      <c r="V47" s="226">
        <f>(V46-10*SQRT(3))/(10*SQRT(3))</f>
        <v>-3.1800889816280573E-4</v>
      </c>
      <c r="W47" s="226">
        <f>(W46-10*SQRT(3))/(10*SQRT(3))</f>
        <v>-2.6027387124397773E-4</v>
      </c>
      <c r="X47" s="226">
        <f>(X46-10/SQRT(3))/(10/SQRT(3))</f>
        <v>-4.1615844392537738E-4</v>
      </c>
      <c r="Y47" s="226">
        <f>(Y46-10/SQRT(3))/(10/SQRT(3))</f>
        <v>-1.217098066385853E-4</v>
      </c>
    </row>
    <row r="48" spans="1:25" outlineLevel="2">
      <c r="A48" s="3814"/>
      <c r="B48" s="3815" t="s">
        <v>3287</v>
      </c>
      <c r="C48" s="225">
        <v>9.9961000000000002</v>
      </c>
      <c r="D48" s="225">
        <v>9.9941999999999993</v>
      </c>
      <c r="E48" s="225">
        <v>9.9909999999999997</v>
      </c>
      <c r="F48" s="225">
        <v>9.9917999999999996</v>
      </c>
      <c r="G48" s="225">
        <v>17.315000000000001</v>
      </c>
      <c r="H48" s="225">
        <v>17.315000000000001</v>
      </c>
      <c r="I48" s="225">
        <v>5.7709000000000001</v>
      </c>
      <c r="J48" s="225">
        <v>5.7723000000000004</v>
      </c>
      <c r="K48" s="317"/>
      <c r="P48" s="3814"/>
      <c r="Q48" s="3815" t="s">
        <v>3287</v>
      </c>
      <c r="R48" s="225">
        <v>9.9961000000000002</v>
      </c>
      <c r="S48" s="225">
        <v>9.9941999999999993</v>
      </c>
      <c r="T48" s="225">
        <v>9.9909999999999997</v>
      </c>
      <c r="U48" s="225">
        <v>9.9917999999999996</v>
      </c>
      <c r="V48" s="225">
        <v>17.315000000000001</v>
      </c>
      <c r="W48" s="225">
        <v>17.315000000000001</v>
      </c>
      <c r="X48" s="225">
        <v>5.7709000000000001</v>
      </c>
      <c r="Y48" s="225">
        <v>5.7723000000000004</v>
      </c>
    </row>
    <row r="49" spans="1:25" outlineLevel="2">
      <c r="A49" s="2570"/>
      <c r="B49" s="2778"/>
      <c r="C49" s="226">
        <f>(C48-10)/10</f>
        <v>-3.8999999999997923E-4</v>
      </c>
      <c r="D49" s="226">
        <f>(D48-10)/10</f>
        <v>-5.8000000000006939E-4</v>
      </c>
      <c r="E49" s="226">
        <f>(E48-10)/10</f>
        <v>-9.0000000000003413E-4</v>
      </c>
      <c r="F49" s="226">
        <f>(F48-10)/10</f>
        <v>-8.2000000000004292E-4</v>
      </c>
      <c r="G49" s="226">
        <f>(G48-10*SQRT(3))/(10*SQRT(3))</f>
        <v>-3.1800889816280573E-4</v>
      </c>
      <c r="H49" s="226">
        <f>(H48-10*SQRT(3))/(10*SQRT(3))</f>
        <v>-3.1800889816280573E-4</v>
      </c>
      <c r="I49" s="226">
        <f>(I48-10/SQRT(3))/(10/SQRT(3))</f>
        <v>-4.5079946007667418E-4</v>
      </c>
      <c r="J49" s="226">
        <f>(J48-10/SQRT(3))/(10/SQRT(3))</f>
        <v>-2.0831234701698114E-4</v>
      </c>
      <c r="K49" s="317"/>
      <c r="P49" s="2570"/>
      <c r="Q49" s="2778"/>
      <c r="R49" s="226">
        <f>(R48-10)/10</f>
        <v>-3.8999999999997923E-4</v>
      </c>
      <c r="S49" s="226">
        <f>(S48-10)/10</f>
        <v>-5.8000000000006939E-4</v>
      </c>
      <c r="T49" s="226">
        <f>(T48-10)/10</f>
        <v>-9.0000000000003413E-4</v>
      </c>
      <c r="U49" s="226">
        <f>(U48-10)/10</f>
        <v>-8.2000000000004292E-4</v>
      </c>
      <c r="V49" s="226">
        <f>(V48-10*SQRT(3))/(10*SQRT(3))</f>
        <v>-3.1800889816280573E-4</v>
      </c>
      <c r="W49" s="226">
        <f>(W48-10*SQRT(3))/(10*SQRT(3))</f>
        <v>-3.1800889816280573E-4</v>
      </c>
      <c r="X49" s="226">
        <f>(X48-10/SQRT(3))/(10/SQRT(3))</f>
        <v>-4.5079946007667418E-4</v>
      </c>
      <c r="Y49" s="226">
        <f>(Y48-10/SQRT(3))/(10/SQRT(3))</f>
        <v>-2.0831234701698114E-4</v>
      </c>
    </row>
    <row r="50" spans="1:25" outlineLevel="2">
      <c r="A50" s="253"/>
      <c r="B50" s="18"/>
      <c r="C50" s="255"/>
      <c r="D50" s="255"/>
      <c r="E50" s="255"/>
      <c r="F50" s="255"/>
      <c r="G50" s="255"/>
      <c r="H50" s="255"/>
      <c r="I50" s="255"/>
      <c r="J50" s="254"/>
      <c r="K50" s="28"/>
    </row>
    <row r="51" spans="1:25" hidden="1">
      <c r="B51" s="2730" t="s">
        <v>3271</v>
      </c>
      <c r="C51" s="2730" t="s">
        <v>3280</v>
      </c>
      <c r="D51" s="2385" t="s">
        <v>3284</v>
      </c>
      <c r="E51" s="1714"/>
      <c r="F51" s="2385" t="s">
        <v>3288</v>
      </c>
      <c r="G51" s="2379"/>
      <c r="H51" s="2385" t="s">
        <v>3289</v>
      </c>
      <c r="I51" s="2379"/>
    </row>
    <row r="52" spans="1:25" hidden="1">
      <c r="B52" s="2430"/>
      <c r="C52" s="2430"/>
      <c r="D52" s="700" t="s">
        <v>3290</v>
      </c>
      <c r="E52" s="700" t="s">
        <v>3291</v>
      </c>
      <c r="F52" s="700" t="s">
        <v>3290</v>
      </c>
      <c r="G52" s="700" t="s">
        <v>3291</v>
      </c>
      <c r="H52" s="700" t="s">
        <v>3290</v>
      </c>
      <c r="I52" s="700" t="s">
        <v>3291</v>
      </c>
    </row>
    <row r="53" spans="1:25" hidden="1">
      <c r="B53" s="700" t="s">
        <v>3292</v>
      </c>
      <c r="C53" s="2">
        <v>10</v>
      </c>
      <c r="D53" s="2">
        <v>1</v>
      </c>
      <c r="E53" s="2">
        <v>2</v>
      </c>
      <c r="F53" s="2"/>
      <c r="G53" s="2"/>
      <c r="H53" s="2"/>
      <c r="I53" s="2"/>
    </row>
    <row r="56" spans="1:25">
      <c r="A56" s="702" t="s">
        <v>3293</v>
      </c>
    </row>
  </sheetData>
  <mergeCells count="25">
    <mergeCell ref="I18:I33"/>
    <mergeCell ref="A3:C3"/>
    <mergeCell ref="B38:F38"/>
    <mergeCell ref="B39:F39"/>
    <mergeCell ref="A42:B42"/>
    <mergeCell ref="A43:B43"/>
    <mergeCell ref="D51:E51"/>
    <mergeCell ref="F51:G51"/>
    <mergeCell ref="H51:I51"/>
    <mergeCell ref="A44:A49"/>
    <mergeCell ref="B44:B45"/>
    <mergeCell ref="B46:B47"/>
    <mergeCell ref="B48:B49"/>
    <mergeCell ref="B51:B52"/>
    <mergeCell ref="C51:C52"/>
    <mergeCell ref="K20:N31"/>
    <mergeCell ref="P38:T38"/>
    <mergeCell ref="P39:T39"/>
    <mergeCell ref="P42:Q42"/>
    <mergeCell ref="P43:Q43"/>
    <mergeCell ref="P44:P49"/>
    <mergeCell ref="Q44:Q45"/>
    <mergeCell ref="Q46:Q47"/>
    <mergeCell ref="Q48:Q49"/>
    <mergeCell ref="X18:X33"/>
  </mergeCells>
  <phoneticPr fontId="2" type="noConversion"/>
  <pageMargins left="0.75" right="0.75" top="1" bottom="1" header="0.5" footer="0.5"/>
  <drawing r:id="rId1"/>
  <legacyDrawing r:id="rId2"/>
</worksheet>
</file>

<file path=xl/worksheets/sheet72.xml><?xml version="1.0" encoding="utf-8"?>
<worksheet xmlns="http://schemas.openxmlformats.org/spreadsheetml/2006/main" xmlns:r="http://schemas.openxmlformats.org/officeDocument/2006/relationships">
  <dimension ref="A1:AA32"/>
  <sheetViews>
    <sheetView workbookViewId="0"/>
  </sheetViews>
  <sheetFormatPr defaultColWidth="9" defaultRowHeight="14.25"/>
  <cols>
    <col min="3" max="3" width="13.25" customWidth="1"/>
    <col min="4" max="4" width="11.625" bestFit="1" customWidth="1"/>
    <col min="5" max="5" width="13.875" customWidth="1"/>
    <col min="7" max="7" width="11.625" bestFit="1" customWidth="1"/>
    <col min="11" max="11" width="11.625" bestFit="1" customWidth="1"/>
  </cols>
  <sheetData>
    <row r="1" spans="1:27">
      <c r="A1" s="454" t="s">
        <v>1139</v>
      </c>
      <c r="B1" s="435" t="s">
        <v>1140</v>
      </c>
      <c r="C1" s="661" t="s">
        <v>1778</v>
      </c>
      <c r="D1" s="494"/>
      <c r="E1" s="494"/>
      <c r="F1" s="8"/>
      <c r="G1" s="315"/>
      <c r="H1" s="315"/>
      <c r="I1" s="315"/>
      <c r="J1" s="315"/>
      <c r="K1" s="315"/>
      <c r="L1" s="329"/>
      <c r="M1" s="329"/>
      <c r="N1" s="329"/>
      <c r="O1" s="329"/>
      <c r="P1" s="329"/>
      <c r="Q1" s="329"/>
      <c r="R1" s="329"/>
      <c r="S1" s="329"/>
      <c r="T1" s="329"/>
      <c r="U1" s="329"/>
      <c r="V1" s="329"/>
      <c r="W1" s="329"/>
      <c r="X1" s="329"/>
      <c r="Y1" s="329"/>
      <c r="Z1" s="329"/>
      <c r="AA1" s="329"/>
    </row>
    <row r="2" spans="1:27">
      <c r="A2" s="13"/>
      <c r="B2" s="495"/>
      <c r="C2" s="395"/>
      <c r="D2" s="395"/>
      <c r="E2" s="395"/>
      <c r="F2" s="496"/>
      <c r="G2" s="315"/>
      <c r="H2" s="315"/>
      <c r="I2" s="315"/>
      <c r="J2" s="315"/>
      <c r="K2" s="315"/>
      <c r="L2" s="13"/>
      <c r="M2" s="13"/>
      <c r="N2" s="13"/>
      <c r="O2" s="13"/>
      <c r="P2" s="13"/>
      <c r="Q2" s="13"/>
      <c r="R2" s="13"/>
      <c r="S2" s="13"/>
      <c r="T2" s="13"/>
      <c r="U2" s="13"/>
      <c r="V2" s="13"/>
      <c r="W2" s="13"/>
      <c r="X2" s="13"/>
      <c r="Y2" s="13"/>
      <c r="Z2" s="13"/>
      <c r="AA2" s="13"/>
    </row>
    <row r="3" spans="1:27">
      <c r="A3" s="13"/>
      <c r="B3" s="497" t="s">
        <v>1141</v>
      </c>
      <c r="C3" s="13"/>
      <c r="D3" s="13" t="s">
        <v>1142</v>
      </c>
      <c r="E3" s="13"/>
      <c r="F3" s="13"/>
      <c r="G3" s="13"/>
      <c r="H3" s="13"/>
      <c r="I3" s="13"/>
      <c r="J3" s="13"/>
      <c r="K3" s="13"/>
      <c r="L3" s="13"/>
      <c r="M3" s="13"/>
      <c r="N3" s="13"/>
      <c r="O3" s="13"/>
      <c r="P3" s="13"/>
      <c r="Q3" s="13"/>
      <c r="R3" s="13"/>
      <c r="S3" s="13"/>
      <c r="T3" s="13"/>
      <c r="U3" s="13"/>
      <c r="V3" s="13"/>
      <c r="W3" s="13"/>
      <c r="X3" s="13"/>
      <c r="Y3" s="13"/>
      <c r="Z3" s="13"/>
      <c r="AA3" s="13"/>
    </row>
    <row r="4" spans="1:27" ht="15.75">
      <c r="A4" s="13"/>
      <c r="B4" s="347" t="s">
        <v>1143</v>
      </c>
      <c r="C4" s="347" t="s">
        <v>1144</v>
      </c>
      <c r="D4" s="347" t="s">
        <v>1145</v>
      </c>
      <c r="E4" s="347" t="s">
        <v>1146</v>
      </c>
      <c r="F4" s="448" t="s">
        <v>1147</v>
      </c>
      <c r="G4" s="449"/>
      <c r="H4" s="390"/>
      <c r="I4" s="482"/>
      <c r="J4" s="482"/>
      <c r="K4" s="390"/>
      <c r="L4" s="13"/>
      <c r="M4" s="13"/>
      <c r="N4" s="13"/>
      <c r="O4" s="13"/>
      <c r="P4" s="13"/>
      <c r="Q4" s="13"/>
      <c r="R4" s="13"/>
      <c r="S4" s="13"/>
      <c r="T4" s="13"/>
      <c r="U4" s="13"/>
      <c r="V4" s="13"/>
      <c r="W4" s="13"/>
      <c r="X4" s="13"/>
      <c r="Y4" s="13"/>
      <c r="Z4" s="13"/>
      <c r="AA4" s="13"/>
    </row>
    <row r="5" spans="1:27" ht="15">
      <c r="A5" s="13"/>
      <c r="B5" s="349">
        <v>0.99447300000000005</v>
      </c>
      <c r="C5" s="349">
        <v>0.99545300000000003</v>
      </c>
      <c r="D5" s="349">
        <v>0.99447300000000005</v>
      </c>
      <c r="E5" s="349">
        <v>0.99545300000000003</v>
      </c>
      <c r="F5" s="450">
        <v>0.99447300000000005</v>
      </c>
      <c r="G5" s="451"/>
      <c r="H5" s="417"/>
      <c r="I5" s="417"/>
      <c r="J5" s="417"/>
      <c r="K5" s="417"/>
      <c r="L5" s="13"/>
      <c r="M5" s="13"/>
      <c r="N5" s="13"/>
      <c r="O5" s="13"/>
      <c r="P5" s="13"/>
      <c r="Q5" s="13"/>
      <c r="R5" s="13"/>
      <c r="S5" s="13"/>
      <c r="T5" s="13"/>
      <c r="U5" s="13"/>
      <c r="V5" s="13"/>
      <c r="W5" s="13"/>
      <c r="X5" s="13"/>
      <c r="Y5" s="13"/>
      <c r="Z5" s="13"/>
      <c r="AA5" s="13"/>
    </row>
    <row r="6" spans="1:27" ht="15">
      <c r="A6" s="13"/>
      <c r="B6" s="349">
        <v>0.99545300000000003</v>
      </c>
      <c r="C6" s="349">
        <v>0.99447300000000005</v>
      </c>
      <c r="D6" s="349">
        <v>0.99545300000000003</v>
      </c>
      <c r="E6" s="349">
        <v>0.99447300000000005</v>
      </c>
      <c r="F6" s="450">
        <v>0.99545300000000003</v>
      </c>
      <c r="G6" s="451"/>
      <c r="H6" s="417"/>
      <c r="I6" s="417"/>
      <c r="J6" s="417"/>
      <c r="K6" s="417"/>
      <c r="L6" s="13"/>
      <c r="M6" s="13"/>
      <c r="N6" s="13"/>
      <c r="O6" s="13"/>
      <c r="P6" s="13"/>
      <c r="Q6" s="13"/>
      <c r="R6" s="13"/>
      <c r="S6" s="13"/>
      <c r="T6" s="13"/>
      <c r="U6" s="13"/>
      <c r="V6" s="13"/>
      <c r="W6" s="13"/>
      <c r="X6" s="13"/>
      <c r="Y6" s="13"/>
      <c r="Z6" s="13"/>
      <c r="AA6" s="13"/>
    </row>
    <row r="7" spans="1:27" ht="18.75">
      <c r="A7" s="13"/>
      <c r="B7" s="394" t="s">
        <v>1148</v>
      </c>
      <c r="C7" s="481">
        <f>STDEV(C5:K5)</f>
        <v>5.6580326380582216E-4</v>
      </c>
      <c r="D7" s="14"/>
      <c r="E7" s="14"/>
      <c r="F7" s="14"/>
      <c r="G7" s="498"/>
      <c r="H7" s="424"/>
      <c r="I7" s="424"/>
      <c r="J7" s="424"/>
      <c r="K7" s="424"/>
      <c r="L7" s="13"/>
      <c r="M7" s="13"/>
      <c r="N7" s="13"/>
      <c r="O7" s="13"/>
      <c r="P7" s="13"/>
      <c r="Q7" s="13"/>
      <c r="R7" s="13"/>
      <c r="S7" s="13"/>
      <c r="T7" s="13"/>
      <c r="U7" s="13"/>
      <c r="V7" s="13"/>
      <c r="W7" s="13"/>
      <c r="X7" s="13"/>
      <c r="Y7" s="13"/>
      <c r="Z7" s="13"/>
      <c r="AA7" s="13"/>
    </row>
    <row r="8" spans="1:27">
      <c r="A8" s="13"/>
      <c r="B8" s="499"/>
      <c r="C8" s="499"/>
      <c r="D8" s="499"/>
      <c r="E8" s="499"/>
      <c r="F8" s="499"/>
      <c r="G8" s="499"/>
      <c r="H8" s="499"/>
      <c r="I8" s="499"/>
      <c r="J8" s="499"/>
      <c r="K8" s="499"/>
      <c r="L8" s="13"/>
      <c r="M8" s="13"/>
      <c r="N8" s="13"/>
      <c r="O8" s="13"/>
      <c r="P8" s="13"/>
      <c r="Q8" s="13"/>
      <c r="R8" s="13"/>
      <c r="S8" s="13"/>
      <c r="T8" s="13"/>
      <c r="U8" s="13"/>
      <c r="V8" s="13"/>
      <c r="W8" s="13"/>
      <c r="X8" s="13"/>
      <c r="Y8" s="13"/>
      <c r="Z8" s="13"/>
      <c r="AA8" s="13"/>
    </row>
    <row r="9" spans="1:27">
      <c r="A9" s="13"/>
      <c r="B9" s="499"/>
      <c r="C9" s="499"/>
      <c r="D9" s="499"/>
      <c r="E9" s="499"/>
      <c r="F9" s="499"/>
      <c r="G9" s="499"/>
      <c r="H9" s="499"/>
      <c r="I9" s="499"/>
      <c r="J9" s="499"/>
      <c r="K9" s="499"/>
      <c r="L9" s="13"/>
      <c r="M9" s="13"/>
      <c r="N9" s="13"/>
      <c r="O9" s="13"/>
      <c r="P9" s="13"/>
      <c r="Q9" s="13"/>
      <c r="R9" s="13"/>
      <c r="S9" s="13"/>
      <c r="T9" s="13"/>
      <c r="U9" s="13"/>
      <c r="V9" s="13"/>
      <c r="W9" s="13"/>
      <c r="X9" s="13"/>
      <c r="Y9" s="13"/>
      <c r="Z9" s="13"/>
      <c r="AA9" s="13"/>
    </row>
    <row r="10" spans="1:27" ht="15.75" customHeight="1">
      <c r="A10" s="500" t="s">
        <v>1149</v>
      </c>
      <c r="B10" s="153" t="s">
        <v>1150</v>
      </c>
      <c r="V10" s="13"/>
      <c r="W10" s="13"/>
      <c r="X10" s="13"/>
      <c r="Y10" s="13"/>
      <c r="Z10" s="13"/>
      <c r="AA10" s="13"/>
    </row>
    <row r="11" spans="1:27" ht="15.75" customHeight="1">
      <c r="A11" s="500"/>
      <c r="B11" s="41" t="s">
        <v>1151</v>
      </c>
      <c r="C11" s="1" t="s">
        <v>1152</v>
      </c>
      <c r="D11" s="1" t="s">
        <v>1153</v>
      </c>
      <c r="E11" s="1" t="s">
        <v>1154</v>
      </c>
      <c r="F11" s="1" t="s">
        <v>1155</v>
      </c>
      <c r="G11" s="1" t="s">
        <v>1156</v>
      </c>
      <c r="V11" s="13"/>
      <c r="W11" s="13"/>
      <c r="X11" s="13"/>
      <c r="Y11" s="13"/>
      <c r="Z11" s="13"/>
      <c r="AA11" s="13"/>
    </row>
    <row r="12" spans="1:27" ht="36" customHeight="1">
      <c r="A12" s="500"/>
      <c r="B12" s="7">
        <v>1</v>
      </c>
      <c r="C12" s="316" t="s">
        <v>1164</v>
      </c>
      <c r="D12" s="443">
        <v>1.0000000000000001E-5</v>
      </c>
      <c r="E12" s="41" t="s">
        <v>1157</v>
      </c>
      <c r="F12" s="2">
        <v>1.732</v>
      </c>
      <c r="G12" s="501">
        <f>D12/SQRT(3)</f>
        <v>5.7735026918962587E-6</v>
      </c>
      <c r="V12" s="13"/>
      <c r="W12" s="13"/>
      <c r="X12" s="13"/>
      <c r="Y12" s="13"/>
      <c r="Z12" s="13"/>
      <c r="AA12" s="13"/>
    </row>
    <row r="13" spans="1:27" ht="15.75" customHeight="1">
      <c r="A13" s="500"/>
      <c r="B13" s="41" t="s">
        <v>1158</v>
      </c>
      <c r="C13" s="1969"/>
      <c r="D13" s="1970"/>
      <c r="E13" s="1970"/>
      <c r="F13" s="1970"/>
      <c r="G13" s="1832"/>
      <c r="V13" s="13"/>
      <c r="W13" s="13"/>
      <c r="X13" s="13"/>
      <c r="Y13" s="13"/>
      <c r="Z13" s="13"/>
      <c r="AA13" s="13"/>
    </row>
    <row r="14" spans="1:27">
      <c r="A14" s="13"/>
      <c r="B14" s="157" t="s">
        <v>1159</v>
      </c>
      <c r="V14" s="13"/>
      <c r="W14" s="13"/>
      <c r="X14" s="13"/>
      <c r="Y14" s="13"/>
      <c r="Z14" s="13"/>
      <c r="AA14" s="13"/>
    </row>
    <row r="15" spans="1:27" ht="18.75">
      <c r="A15" s="13"/>
      <c r="B15" s="502" t="s">
        <v>1160</v>
      </c>
      <c r="C15" s="503"/>
      <c r="V15" s="13"/>
      <c r="W15" s="13"/>
      <c r="X15" s="13"/>
      <c r="Y15" s="13"/>
      <c r="Z15" s="13"/>
      <c r="AA15" s="13"/>
    </row>
    <row r="16" spans="1:27">
      <c r="B16" s="157" t="s">
        <v>1161</v>
      </c>
      <c r="C16" s="28"/>
    </row>
    <row r="17" spans="2:11" ht="15.75">
      <c r="B17" s="504" t="s">
        <v>1162</v>
      </c>
      <c r="C17" s="392"/>
      <c r="D17" s="391"/>
      <c r="E17" s="392"/>
      <c r="F17" s="391"/>
      <c r="G17" s="393"/>
      <c r="H17" s="390"/>
      <c r="I17" s="390"/>
      <c r="J17" s="390"/>
      <c r="K17" s="390"/>
    </row>
    <row r="18" spans="2:11">
      <c r="B18" s="13" t="s">
        <v>1163</v>
      </c>
      <c r="C18" s="13"/>
      <c r="D18" s="13"/>
      <c r="E18" s="13"/>
      <c r="F18" s="13"/>
      <c r="G18" s="13"/>
      <c r="H18" s="13"/>
      <c r="I18" s="13"/>
      <c r="J18" s="13"/>
      <c r="K18" s="13"/>
    </row>
    <row r="19" spans="2:11" ht="16.5">
      <c r="B19" s="662" t="s">
        <v>1779</v>
      </c>
      <c r="D19" s="662" t="s">
        <v>1780</v>
      </c>
    </row>
    <row r="32" spans="2:11">
      <c r="C32" s="503"/>
    </row>
  </sheetData>
  <mergeCells count="1">
    <mergeCell ref="C13:G13"/>
  </mergeCells>
  <phoneticPr fontId="2" type="noConversion"/>
  <pageMargins left="0.75" right="0.75" top="1" bottom="1" header="0.5" footer="0.5"/>
  <legacyDrawing r:id="rId1"/>
  <oleObjects>
    <oleObject progId="Equation.3" shapeId="113665" r:id="rId2"/>
    <oleObject progId="Equation.3" shapeId="113666" r:id="rId3"/>
    <oleObject progId="Equation.3" shapeId="113667" r:id="rId4"/>
  </oleObjects>
</worksheet>
</file>

<file path=xl/worksheets/sheet73.xml><?xml version="1.0" encoding="utf-8"?>
<worksheet xmlns="http://schemas.openxmlformats.org/spreadsheetml/2006/main" xmlns:r="http://schemas.openxmlformats.org/officeDocument/2006/relationships">
  <dimension ref="A1:AG137"/>
  <sheetViews>
    <sheetView workbookViewId="0"/>
  </sheetViews>
  <sheetFormatPr defaultRowHeight="14.25" outlineLevelRow="1"/>
  <cols>
    <col min="1" max="1" width="29.125" customWidth="1"/>
    <col min="3" max="3" width="12.125" customWidth="1"/>
    <col min="4" max="4" width="41.5" customWidth="1"/>
    <col min="5" max="5" width="27.625" customWidth="1"/>
    <col min="10" max="10" width="16.75" customWidth="1"/>
    <col min="11" max="11" width="9" customWidth="1"/>
    <col min="12" max="12" width="10.5" customWidth="1"/>
    <col min="14" max="14" width="9" customWidth="1"/>
  </cols>
  <sheetData>
    <row r="1" spans="1:5">
      <c r="A1" s="803" t="s">
        <v>51</v>
      </c>
      <c r="B1" s="1595" t="s">
        <v>3294</v>
      </c>
      <c r="E1" s="702" t="s">
        <v>2177</v>
      </c>
    </row>
    <row r="2" spans="1:5" outlineLevel="1"/>
    <row r="3" spans="1:5" outlineLevel="1">
      <c r="A3" s="2298" t="s">
        <v>32</v>
      </c>
      <c r="B3" s="2298"/>
      <c r="C3" s="2298"/>
      <c r="D3" s="2"/>
      <c r="E3" s="2"/>
    </row>
    <row r="4" spans="1:5" ht="18.75" outlineLevel="1">
      <c r="A4" s="699" t="s">
        <v>1920</v>
      </c>
      <c r="B4" s="6" t="s">
        <v>69</v>
      </c>
      <c r="C4" s="6" t="s">
        <v>70</v>
      </c>
      <c r="D4" s="1374" t="s">
        <v>3489</v>
      </c>
      <c r="E4" s="1374" t="s">
        <v>3490</v>
      </c>
    </row>
    <row r="5" spans="1:5" outlineLevel="1">
      <c r="A5" s="6" t="s">
        <v>566</v>
      </c>
      <c r="B5" s="6" t="s">
        <v>509</v>
      </c>
      <c r="C5" s="6" t="s">
        <v>509</v>
      </c>
      <c r="D5" s="2506" t="s">
        <v>2706</v>
      </c>
      <c r="E5" s="2507"/>
    </row>
    <row r="6" spans="1:5" outlineLevel="1">
      <c r="A6" s="6" t="s">
        <v>567</v>
      </c>
      <c r="B6" s="6" t="s">
        <v>509</v>
      </c>
      <c r="C6" s="6" t="s">
        <v>509</v>
      </c>
      <c r="D6" s="2506" t="s">
        <v>2706</v>
      </c>
      <c r="E6" s="2507"/>
    </row>
    <row r="7" spans="1:5" outlineLevel="1">
      <c r="A7" s="6" t="s">
        <v>58</v>
      </c>
      <c r="B7" s="6" t="s">
        <v>509</v>
      </c>
      <c r="C7" s="6" t="s">
        <v>509</v>
      </c>
      <c r="D7" s="2506" t="s">
        <v>2706</v>
      </c>
      <c r="E7" s="2507"/>
    </row>
    <row r="8" spans="1:5" outlineLevel="1">
      <c r="A8" s="6" t="s">
        <v>568</v>
      </c>
      <c r="B8" s="6" t="s">
        <v>509</v>
      </c>
      <c r="C8" s="6" t="s">
        <v>509</v>
      </c>
      <c r="D8" s="837" t="s">
        <v>2706</v>
      </c>
      <c r="E8" s="837" t="s">
        <v>2941</v>
      </c>
    </row>
    <row r="9" spans="1:5" outlineLevel="1">
      <c r="A9" s="6" t="s">
        <v>569</v>
      </c>
      <c r="B9" s="6" t="s">
        <v>509</v>
      </c>
      <c r="C9" s="6" t="s">
        <v>509</v>
      </c>
      <c r="D9" s="61" t="s">
        <v>2706</v>
      </c>
      <c r="E9" s="837" t="s">
        <v>2941</v>
      </c>
    </row>
    <row r="10" spans="1:5" outlineLevel="1">
      <c r="A10" s="6" t="s">
        <v>3295</v>
      </c>
      <c r="B10" s="6" t="s">
        <v>509</v>
      </c>
      <c r="C10" s="6" t="s">
        <v>509</v>
      </c>
      <c r="D10" s="837" t="s">
        <v>2941</v>
      </c>
      <c r="E10" s="1265" t="s">
        <v>3296</v>
      </c>
    </row>
    <row r="11" spans="1:5" outlineLevel="1">
      <c r="A11" s="6" t="s">
        <v>512</v>
      </c>
      <c r="B11" s="6" t="s">
        <v>84</v>
      </c>
      <c r="C11" s="6" t="s">
        <v>509</v>
      </c>
      <c r="D11" s="2506" t="s">
        <v>2706</v>
      </c>
      <c r="E11" s="2507"/>
    </row>
    <row r="12" spans="1:5" outlineLevel="1">
      <c r="A12" s="6" t="s">
        <v>570</v>
      </c>
      <c r="B12" s="6" t="s">
        <v>509</v>
      </c>
      <c r="C12" s="6" t="s">
        <v>84</v>
      </c>
      <c r="D12" s="61" t="s">
        <v>2707</v>
      </c>
      <c r="E12" s="837" t="s">
        <v>2707</v>
      </c>
    </row>
    <row r="13" spans="1:5" outlineLevel="1">
      <c r="A13" s="6" t="s">
        <v>571</v>
      </c>
      <c r="B13" s="6" t="s">
        <v>509</v>
      </c>
      <c r="C13" s="6" t="s">
        <v>84</v>
      </c>
      <c r="D13" s="61" t="s">
        <v>2707</v>
      </c>
      <c r="E13" s="61" t="s">
        <v>2707</v>
      </c>
    </row>
    <row r="14" spans="1:5" outlineLevel="1">
      <c r="A14" s="6" t="s">
        <v>572</v>
      </c>
      <c r="B14" s="6" t="s">
        <v>509</v>
      </c>
      <c r="C14" s="6" t="s">
        <v>84</v>
      </c>
      <c r="D14" s="61" t="s">
        <v>2707</v>
      </c>
      <c r="E14" s="61" t="s">
        <v>2707</v>
      </c>
    </row>
    <row r="15" spans="1:5" outlineLevel="1">
      <c r="A15" t="s">
        <v>73</v>
      </c>
    </row>
    <row r="16" spans="1:5" s="219" customFormat="1" outlineLevel="1">
      <c r="D16" t="s">
        <v>3297</v>
      </c>
    </row>
    <row r="17" spans="1:21">
      <c r="A17" s="1310" t="s">
        <v>3298</v>
      </c>
      <c r="C17" s="321" t="s">
        <v>3299</v>
      </c>
    </row>
    <row r="18" spans="1:21" outlineLevel="1">
      <c r="A18" s="2431" t="s">
        <v>3300</v>
      </c>
      <c r="B18" s="2338"/>
      <c r="C18" s="2338"/>
      <c r="D18" s="731" t="s">
        <v>3301</v>
      </c>
      <c r="E18" s="2434" t="s">
        <v>3302</v>
      </c>
      <c r="F18" s="2298"/>
      <c r="G18" s="698" t="s">
        <v>3303</v>
      </c>
      <c r="H18" s="698" t="s">
        <v>3304</v>
      </c>
      <c r="I18" s="2493" t="s">
        <v>3305</v>
      </c>
      <c r="J18" s="3850"/>
      <c r="K18" s="3851"/>
      <c r="L18" s="698" t="s">
        <v>3306</v>
      </c>
      <c r="U18" s="700" t="s">
        <v>2315</v>
      </c>
    </row>
    <row r="19" spans="1:21" outlineLevel="1">
      <c r="A19" s="3852">
        <v>5</v>
      </c>
      <c r="B19" s="3853"/>
      <c r="C19" s="3854"/>
      <c r="D19" s="322">
        <v>0.05</v>
      </c>
      <c r="E19" s="3861">
        <v>0.26</v>
      </c>
      <c r="F19" s="3862"/>
      <c r="G19" s="324">
        <v>0.25</v>
      </c>
      <c r="H19" s="327">
        <f>(E19-G19)/G19</f>
        <v>4.0000000000000036E-2</v>
      </c>
      <c r="I19" s="3863">
        <f>MAX(ABS(H19:H22))</f>
        <v>4.0000000000000036E-2</v>
      </c>
      <c r="J19" s="3864"/>
      <c r="K19" s="3865"/>
      <c r="L19" s="3825" t="str">
        <f>IF(I19&lt;=0.2,"合格","不合格")</f>
        <v>合格</v>
      </c>
      <c r="O19" s="702" t="s">
        <v>3307</v>
      </c>
      <c r="U19" s="2434" t="s">
        <v>3308</v>
      </c>
    </row>
    <row r="20" spans="1:21" outlineLevel="1">
      <c r="A20" s="3855"/>
      <c r="B20" s="3856"/>
      <c r="C20" s="3857"/>
      <c r="D20" s="322">
        <v>0.2</v>
      </c>
      <c r="E20" s="3869">
        <v>1.03</v>
      </c>
      <c r="F20" s="3870"/>
      <c r="G20" s="325">
        <v>1</v>
      </c>
      <c r="H20" s="327">
        <f t="shared" ref="H20:H26" si="0">(E20-G20)/G20</f>
        <v>3.0000000000000027E-2</v>
      </c>
      <c r="I20" s="3863"/>
      <c r="J20" s="3864"/>
      <c r="K20" s="3865"/>
      <c r="L20" s="3826"/>
      <c r="U20" s="2434"/>
    </row>
    <row r="21" spans="1:21" outlineLevel="1">
      <c r="A21" s="3855"/>
      <c r="B21" s="3856"/>
      <c r="C21" s="3857"/>
      <c r="D21" s="322">
        <v>1</v>
      </c>
      <c r="E21" s="3869">
        <v>5.03</v>
      </c>
      <c r="F21" s="3870"/>
      <c r="G21" s="325">
        <v>5</v>
      </c>
      <c r="H21" s="327">
        <f t="shared" si="0"/>
        <v>6.0000000000000496E-3</v>
      </c>
      <c r="I21" s="3863"/>
      <c r="J21" s="3864"/>
      <c r="K21" s="3865"/>
      <c r="L21" s="3826"/>
      <c r="U21" s="2434"/>
    </row>
    <row r="22" spans="1:21" outlineLevel="1">
      <c r="A22" s="3858"/>
      <c r="B22" s="3859"/>
      <c r="C22" s="3860"/>
      <c r="D22" s="322">
        <v>1.2</v>
      </c>
      <c r="E22" s="3869">
        <v>6.01</v>
      </c>
      <c r="F22" s="3870"/>
      <c r="G22" s="325">
        <v>6</v>
      </c>
      <c r="H22" s="327">
        <f t="shared" si="0"/>
        <v>1.6666666666666312E-3</v>
      </c>
      <c r="I22" s="3866"/>
      <c r="J22" s="3867"/>
      <c r="K22" s="3868"/>
      <c r="L22" s="3827"/>
    </row>
    <row r="23" spans="1:21" outlineLevel="1">
      <c r="A23" s="3849">
        <v>1</v>
      </c>
      <c r="B23" s="3849"/>
      <c r="C23" s="3849"/>
      <c r="D23" s="322">
        <v>0.05</v>
      </c>
      <c r="E23" s="3833">
        <v>0.05</v>
      </c>
      <c r="F23" s="3833"/>
      <c r="G23" s="324">
        <v>5.0999999999999997E-2</v>
      </c>
      <c r="H23" s="327">
        <f t="shared" si="0"/>
        <v>-1.9607843137254784E-2</v>
      </c>
      <c r="I23" s="3863">
        <f>MAX(ABS(H23:H27))</f>
        <v>1.9607843137254784E-2</v>
      </c>
      <c r="J23" s="3864"/>
      <c r="K23" s="3865"/>
      <c r="L23" s="2745" t="str">
        <f>IF(I23&lt;=0.2,"合格","不合格")</f>
        <v>合格</v>
      </c>
    </row>
    <row r="24" spans="1:21" outlineLevel="1">
      <c r="A24" s="3849"/>
      <c r="B24" s="3849"/>
      <c r="C24" s="3849"/>
      <c r="D24" s="322">
        <v>0.2</v>
      </c>
      <c r="E24" s="3871">
        <v>0.2</v>
      </c>
      <c r="F24" s="3871"/>
      <c r="G24" s="325">
        <v>0.2</v>
      </c>
      <c r="H24" s="327">
        <f t="shared" si="0"/>
        <v>0</v>
      </c>
      <c r="I24" s="3863"/>
      <c r="J24" s="3864"/>
      <c r="K24" s="3865"/>
      <c r="L24" s="2339"/>
    </row>
    <row r="25" spans="1:21" outlineLevel="1">
      <c r="A25" s="3849"/>
      <c r="B25" s="3849"/>
      <c r="C25" s="3849"/>
      <c r="D25" s="322">
        <v>1</v>
      </c>
      <c r="E25" s="3871">
        <v>1.004</v>
      </c>
      <c r="F25" s="3871"/>
      <c r="G25" s="325">
        <v>1</v>
      </c>
      <c r="H25" s="327">
        <f t="shared" si="0"/>
        <v>4.0000000000000036E-3</v>
      </c>
      <c r="I25" s="3863"/>
      <c r="J25" s="3864"/>
      <c r="K25" s="3865"/>
      <c r="L25" s="2339"/>
    </row>
    <row r="26" spans="1:21" outlineLevel="1">
      <c r="A26" s="3849"/>
      <c r="B26" s="3849"/>
      <c r="C26" s="3849"/>
      <c r="D26" s="322">
        <v>1.2</v>
      </c>
      <c r="E26" s="3833">
        <v>1.23</v>
      </c>
      <c r="F26" s="3833"/>
      <c r="G26" s="325">
        <v>1.2</v>
      </c>
      <c r="H26" s="327">
        <f t="shared" si="0"/>
        <v>2.5000000000000022E-2</v>
      </c>
      <c r="I26" s="3866"/>
      <c r="J26" s="3867"/>
      <c r="K26" s="3868"/>
      <c r="L26" s="2746"/>
    </row>
    <row r="27" spans="1:21" outlineLevel="1">
      <c r="A27" s="946" t="s">
        <v>3309</v>
      </c>
      <c r="B27" s="13"/>
      <c r="C27" s="13"/>
      <c r="D27" s="13"/>
      <c r="E27" s="13"/>
      <c r="F27" s="13"/>
      <c r="G27" s="13"/>
      <c r="H27" s="13"/>
      <c r="I27" s="13"/>
      <c r="J27" s="13"/>
      <c r="K27" s="13"/>
      <c r="L27" s="13"/>
    </row>
    <row r="28" spans="1:21" outlineLevel="1">
      <c r="A28" s="2338" t="s">
        <v>3310</v>
      </c>
      <c r="B28" s="2338"/>
      <c r="C28" s="2338"/>
      <c r="D28" s="731" t="s">
        <v>3311</v>
      </c>
      <c r="E28" s="2298" t="s">
        <v>3312</v>
      </c>
      <c r="F28" s="2298"/>
      <c r="G28" s="6" t="s">
        <v>2357</v>
      </c>
      <c r="H28" s="6" t="s">
        <v>3304</v>
      </c>
      <c r="I28" s="3030" t="s">
        <v>3305</v>
      </c>
      <c r="J28" s="3850"/>
      <c r="K28" s="3851"/>
      <c r="L28" s="6" t="s">
        <v>3306</v>
      </c>
    </row>
    <row r="29" spans="1:21" outlineLevel="1">
      <c r="A29" s="3849">
        <v>100</v>
      </c>
      <c r="B29" s="3849"/>
      <c r="C29" s="3849"/>
      <c r="D29" s="1311">
        <v>0.2</v>
      </c>
      <c r="E29" s="3872">
        <v>20.100000000000001</v>
      </c>
      <c r="F29" s="3872"/>
      <c r="G29" s="326">
        <v>20</v>
      </c>
      <c r="H29" s="327">
        <f t="shared" ref="H29:H38" si="1">(E29-G29)/G29</f>
        <v>5.0000000000000712E-3</v>
      </c>
      <c r="I29" s="3873">
        <f>MAX(ABS(H29:H33))</f>
        <v>5.0000000000000712E-3</v>
      </c>
      <c r="J29" s="3873"/>
      <c r="K29" s="3874"/>
      <c r="L29" s="2745" t="str">
        <f>IF(I29&lt;=0.2,"合格","不合格")</f>
        <v>合格</v>
      </c>
    </row>
    <row r="30" spans="1:21" outlineLevel="1">
      <c r="A30" s="3849"/>
      <c r="B30" s="3849"/>
      <c r="C30" s="3849"/>
      <c r="D30" s="323">
        <v>0.5</v>
      </c>
      <c r="E30" s="3837">
        <v>50.1</v>
      </c>
      <c r="F30" s="3837"/>
      <c r="G30" s="326">
        <v>50</v>
      </c>
      <c r="H30" s="327">
        <f t="shared" si="1"/>
        <v>2.0000000000000282E-3</v>
      </c>
      <c r="I30" s="3863"/>
      <c r="J30" s="3864"/>
      <c r="K30" s="3865"/>
      <c r="L30" s="2339"/>
    </row>
    <row r="31" spans="1:21" outlineLevel="1">
      <c r="A31" s="3849"/>
      <c r="B31" s="3849"/>
      <c r="C31" s="3849"/>
      <c r="D31" s="322">
        <v>0.8</v>
      </c>
      <c r="E31" s="3871">
        <v>80.22</v>
      </c>
      <c r="F31" s="3871"/>
      <c r="G31" s="326">
        <v>80</v>
      </c>
      <c r="H31" s="327">
        <f t="shared" si="1"/>
        <v>2.749999999999986E-3</v>
      </c>
      <c r="I31" s="3863"/>
      <c r="J31" s="3864"/>
      <c r="K31" s="3865"/>
      <c r="L31" s="2339"/>
    </row>
    <row r="32" spans="1:21" outlineLevel="1">
      <c r="A32" s="3849"/>
      <c r="B32" s="3849"/>
      <c r="C32" s="3849"/>
      <c r="D32" s="322">
        <v>1</v>
      </c>
      <c r="E32" s="3833">
        <v>100.24</v>
      </c>
      <c r="F32" s="3833"/>
      <c r="G32" s="326">
        <v>100</v>
      </c>
      <c r="H32" s="327">
        <f t="shared" si="1"/>
        <v>2.399999999999949E-3</v>
      </c>
      <c r="I32" s="3863"/>
      <c r="J32" s="3864"/>
      <c r="K32" s="3865"/>
      <c r="L32" s="2339"/>
    </row>
    <row r="33" spans="1:21" outlineLevel="1">
      <c r="A33" s="3849"/>
      <c r="B33" s="3849"/>
      <c r="C33" s="3849"/>
      <c r="D33" s="322">
        <v>1.2</v>
      </c>
      <c r="E33" s="3833">
        <v>120.36</v>
      </c>
      <c r="F33" s="3833"/>
      <c r="G33" s="326">
        <v>120</v>
      </c>
      <c r="H33" s="327">
        <f t="shared" si="1"/>
        <v>2.9999999999999953E-3</v>
      </c>
      <c r="I33" s="3866"/>
      <c r="J33" s="3867"/>
      <c r="K33" s="3868"/>
      <c r="L33" s="2746"/>
    </row>
    <row r="34" spans="1:21" outlineLevel="1">
      <c r="A34" s="3875" t="s">
        <v>3313</v>
      </c>
      <c r="B34" s="3876"/>
      <c r="C34" s="3877"/>
      <c r="D34" s="322">
        <v>0.2</v>
      </c>
      <c r="E34" s="3872">
        <v>11.63</v>
      </c>
      <c r="F34" s="3871"/>
      <c r="G34" s="1312">
        <v>11.54</v>
      </c>
      <c r="H34" s="328">
        <f t="shared" si="1"/>
        <v>7.7989601386483226E-3</v>
      </c>
      <c r="I34" s="3873">
        <f>MAX(ABS(H34:H38))</f>
        <v>7.7989601386483226E-3</v>
      </c>
      <c r="J34" s="3873"/>
      <c r="K34" s="3874"/>
      <c r="L34" s="2745" t="str">
        <f>IF(I34&lt;=0.2,"合格","不合格")</f>
        <v>合格</v>
      </c>
    </row>
    <row r="35" spans="1:21" outlineLevel="1">
      <c r="A35" s="3878"/>
      <c r="B35" s="3879"/>
      <c r="C35" s="3880"/>
      <c r="D35" s="322">
        <v>0.5</v>
      </c>
      <c r="E35" s="3871">
        <v>29.15</v>
      </c>
      <c r="F35" s="3871"/>
      <c r="G35" s="1313">
        <v>28.85</v>
      </c>
      <c r="H35" s="328">
        <f t="shared" si="1"/>
        <v>1.0398613518197474E-2</v>
      </c>
      <c r="I35" s="3863"/>
      <c r="J35" s="3864"/>
      <c r="K35" s="3865"/>
      <c r="L35" s="2339"/>
    </row>
    <row r="36" spans="1:21" outlineLevel="1">
      <c r="A36" s="3878"/>
      <c r="B36" s="3879"/>
      <c r="C36" s="3880"/>
      <c r="D36" s="322">
        <v>0.8</v>
      </c>
      <c r="E36" s="3871">
        <v>46.28</v>
      </c>
      <c r="F36" s="3871"/>
      <c r="G36" s="325">
        <v>46.16</v>
      </c>
      <c r="H36" s="327">
        <f t="shared" si="1"/>
        <v>2.599653379549492E-3</v>
      </c>
      <c r="I36" s="3863"/>
      <c r="J36" s="3864"/>
      <c r="K36" s="3865"/>
      <c r="L36" s="2339"/>
    </row>
    <row r="37" spans="1:21" outlineLevel="1">
      <c r="A37" s="3878"/>
      <c r="B37" s="3879"/>
      <c r="C37" s="3880"/>
      <c r="D37" s="322">
        <v>1</v>
      </c>
      <c r="E37" s="3833">
        <v>57.94</v>
      </c>
      <c r="F37" s="3833"/>
      <c r="G37" s="325">
        <v>57.7</v>
      </c>
      <c r="H37" s="327">
        <f t="shared" si="1"/>
        <v>4.1594454072789409E-3</v>
      </c>
      <c r="I37" s="3863"/>
      <c r="J37" s="3864"/>
      <c r="K37" s="3865"/>
      <c r="L37" s="2339"/>
    </row>
    <row r="38" spans="1:21" outlineLevel="1">
      <c r="A38" s="3881"/>
      <c r="B38" s="3882"/>
      <c r="C38" s="3883"/>
      <c r="D38" s="322">
        <v>1.2</v>
      </c>
      <c r="E38" s="3833">
        <v>69.62</v>
      </c>
      <c r="F38" s="3833"/>
      <c r="G38" s="324">
        <v>69.239999999999995</v>
      </c>
      <c r="H38" s="327">
        <f t="shared" si="1"/>
        <v>5.4881571346044149E-3</v>
      </c>
      <c r="I38" s="3866"/>
      <c r="J38" s="3867"/>
      <c r="K38" s="3868"/>
      <c r="L38" s="2746"/>
    </row>
    <row r="40" spans="1:21">
      <c r="A40" s="1394" t="s">
        <v>3509</v>
      </c>
      <c r="B40" s="1310" t="s">
        <v>3314</v>
      </c>
      <c r="C40" s="1314"/>
      <c r="D40" s="13"/>
      <c r="E40" s="13"/>
      <c r="F40" s="13"/>
      <c r="G40" s="13"/>
      <c r="H40" s="13"/>
      <c r="I40" s="13"/>
      <c r="J40" s="13"/>
      <c r="K40" s="13"/>
      <c r="L40" s="13"/>
      <c r="M40" s="13"/>
      <c r="N40" s="13"/>
      <c r="U40" s="779" t="s">
        <v>2315</v>
      </c>
    </row>
    <row r="41" spans="1:21" ht="16.5">
      <c r="A41" s="1315" t="s">
        <v>3315</v>
      </c>
      <c r="B41" s="155"/>
      <c r="C41" s="1316" t="s">
        <v>3316</v>
      </c>
      <c r="D41" s="1035" t="s">
        <v>3140</v>
      </c>
      <c r="E41" s="156" t="s">
        <v>3317</v>
      </c>
      <c r="F41" s="1317">
        <v>0.01</v>
      </c>
      <c r="G41" s="1318"/>
      <c r="H41" s="1318" t="s">
        <v>3318</v>
      </c>
      <c r="I41" s="3837" t="s">
        <v>3319</v>
      </c>
      <c r="J41" s="3833"/>
      <c r="K41" s="228"/>
      <c r="L41" s="228" t="s">
        <v>3320</v>
      </c>
      <c r="M41" s="3833" t="s">
        <v>3321</v>
      </c>
      <c r="N41" s="3833"/>
      <c r="U41" s="1392" t="s">
        <v>3510</v>
      </c>
    </row>
    <row r="42" spans="1:21" ht="16.5">
      <c r="A42" s="1315" t="s">
        <v>3322</v>
      </c>
      <c r="B42" s="229"/>
      <c r="C42" s="230">
        <v>1</v>
      </c>
      <c r="D42" s="1319" t="s">
        <v>3323</v>
      </c>
      <c r="E42" s="156" t="s">
        <v>3317</v>
      </c>
      <c r="F42" s="1317">
        <v>0.01</v>
      </c>
      <c r="G42" s="1318"/>
      <c r="H42" s="1318" t="s">
        <v>3318</v>
      </c>
      <c r="I42" s="3833" t="s">
        <v>3319</v>
      </c>
      <c r="J42" s="3833"/>
      <c r="K42" s="228"/>
      <c r="L42" s="228" t="s">
        <v>3320</v>
      </c>
      <c r="M42" s="3833" t="s">
        <v>3321</v>
      </c>
      <c r="N42" s="3833"/>
      <c r="U42" s="1393"/>
    </row>
    <row r="43" spans="1:21">
      <c r="U43" s="1393"/>
    </row>
    <row r="44" spans="1:21" ht="20.25">
      <c r="A44" s="1320" t="s">
        <v>3324</v>
      </c>
      <c r="B44" t="s">
        <v>922</v>
      </c>
    </row>
    <row r="45" spans="1:21" outlineLevel="1">
      <c r="A45" s="1321" t="s">
        <v>3325</v>
      </c>
      <c r="B45" t="s">
        <v>922</v>
      </c>
      <c r="C45" s="13"/>
      <c r="D45" s="13"/>
      <c r="E45" s="13"/>
      <c r="F45" s="13"/>
      <c r="G45" s="13"/>
      <c r="H45" s="13"/>
      <c r="I45" s="13"/>
      <c r="J45" s="13"/>
      <c r="K45" s="13"/>
      <c r="L45" s="13"/>
      <c r="M45" s="13"/>
    </row>
    <row r="46" spans="1:21" outlineLevel="1">
      <c r="A46" s="1322" t="s">
        <v>3326</v>
      </c>
      <c r="B46" s="3822" t="s">
        <v>3327</v>
      </c>
      <c r="C46" s="3822"/>
      <c r="D46" s="13"/>
      <c r="E46" s="231" t="s">
        <v>3328</v>
      </c>
      <c r="F46" s="3835"/>
      <c r="G46" s="3835"/>
      <c r="H46" s="3835"/>
      <c r="I46" s="3836" t="s">
        <v>3329</v>
      </c>
      <c r="J46" s="3836"/>
      <c r="K46" s="3836"/>
      <c r="L46" s="3836"/>
      <c r="M46" s="232" t="s">
        <v>3330</v>
      </c>
    </row>
    <row r="47" spans="1:21" outlineLevel="1">
      <c r="A47" s="3821" t="s">
        <v>3331</v>
      </c>
      <c r="B47" s="3821"/>
      <c r="C47" s="3821"/>
      <c r="D47" s="3821"/>
      <c r="E47" s="3822" t="s">
        <v>3332</v>
      </c>
      <c r="F47" s="3822"/>
      <c r="G47" s="3822"/>
      <c r="H47" s="3822"/>
      <c r="I47" s="13"/>
      <c r="J47" s="13"/>
      <c r="K47" s="13"/>
      <c r="L47" s="13"/>
      <c r="M47" s="13"/>
    </row>
    <row r="48" spans="1:21" outlineLevel="1">
      <c r="A48" s="3821" t="s">
        <v>3333</v>
      </c>
      <c r="B48" s="3821"/>
      <c r="C48" s="3821"/>
      <c r="D48" s="3821"/>
      <c r="E48" s="3822" t="s">
        <v>3332</v>
      </c>
      <c r="F48" s="3822"/>
      <c r="G48" s="3822"/>
      <c r="H48" s="3822"/>
      <c r="I48" s="13"/>
      <c r="J48" s="13"/>
      <c r="K48" s="13"/>
      <c r="L48" s="13"/>
      <c r="M48" s="13"/>
    </row>
    <row r="49" spans="1:33" outlineLevel="1">
      <c r="A49" s="3821" t="s">
        <v>3334</v>
      </c>
      <c r="B49" s="3821"/>
      <c r="C49" s="3821"/>
      <c r="D49" s="3821"/>
      <c r="E49" s="3834" t="s">
        <v>2117</v>
      </c>
      <c r="F49" s="3834"/>
      <c r="G49" s="3834"/>
      <c r="H49" s="3834"/>
      <c r="I49" s="13"/>
      <c r="J49" s="13"/>
      <c r="K49" s="13"/>
      <c r="L49" s="13"/>
      <c r="M49" s="13"/>
      <c r="U49" t="s">
        <v>3335</v>
      </c>
    </row>
    <row r="50" spans="1:33" outlineLevel="1">
      <c r="A50" s="1322" t="s">
        <v>3336</v>
      </c>
      <c r="B50" s="1322"/>
      <c r="C50" s="1322"/>
      <c r="D50" s="1322"/>
      <c r="E50" s="1323"/>
      <c r="F50" s="3848" t="s">
        <v>3337</v>
      </c>
      <c r="G50" s="3848"/>
      <c r="H50" s="3848"/>
      <c r="I50" s="13"/>
      <c r="J50" s="13"/>
      <c r="K50" s="13"/>
      <c r="L50" s="13"/>
      <c r="M50" s="13"/>
      <c r="U50" s="1391" t="s">
        <v>3506</v>
      </c>
    </row>
    <row r="51" spans="1:33" ht="15" outlineLevel="1" thickBot="1">
      <c r="A51" s="1322" t="s">
        <v>3338</v>
      </c>
      <c r="B51" s="13"/>
      <c r="C51" s="13"/>
      <c r="D51" s="13"/>
      <c r="E51" s="3822" t="s">
        <v>2117</v>
      </c>
      <c r="F51" s="3822"/>
      <c r="G51" s="3822"/>
      <c r="H51" s="3822"/>
      <c r="I51" s="13"/>
      <c r="J51" s="13"/>
      <c r="K51" s="13"/>
      <c r="L51" s="13"/>
      <c r="M51" s="13"/>
      <c r="Z51" s="1367" t="s">
        <v>3498</v>
      </c>
    </row>
    <row r="52" spans="1:33" ht="15" customHeight="1" outlineLevel="1">
      <c r="A52" s="1321" t="s">
        <v>3339</v>
      </c>
      <c r="B52" t="s">
        <v>922</v>
      </c>
      <c r="C52" s="1310"/>
      <c r="D52" s="13"/>
      <c r="E52" s="13"/>
      <c r="F52" s="13"/>
      <c r="G52" s="13"/>
      <c r="H52" s="13"/>
      <c r="I52" s="13"/>
      <c r="J52" s="13"/>
      <c r="K52" s="13"/>
      <c r="L52" s="13"/>
      <c r="M52" s="13"/>
      <c r="U52" s="779" t="s">
        <v>2315</v>
      </c>
      <c r="Z52" s="2234" t="s">
        <v>3494</v>
      </c>
      <c r="AA52" s="2234" t="s">
        <v>3495</v>
      </c>
      <c r="AB52" s="2234"/>
      <c r="AC52" s="2234" t="s">
        <v>3496</v>
      </c>
      <c r="AD52" s="2234"/>
      <c r="AE52" s="2234" t="s">
        <v>549</v>
      </c>
      <c r="AF52" s="2234"/>
      <c r="AG52" s="2234" t="s">
        <v>3492</v>
      </c>
    </row>
    <row r="53" spans="1:33" outlineLevel="1">
      <c r="A53" s="1322" t="s">
        <v>3340</v>
      </c>
      <c r="B53" s="13"/>
      <c r="C53" s="13"/>
      <c r="D53" s="13"/>
      <c r="E53" s="13"/>
      <c r="F53" s="3835"/>
      <c r="G53" s="3822"/>
      <c r="H53" s="3822"/>
      <c r="I53" s="3822"/>
      <c r="J53" s="13"/>
      <c r="K53" s="330"/>
      <c r="L53" s="13"/>
      <c r="M53" s="13"/>
      <c r="U53" s="1392" t="s">
        <v>3508</v>
      </c>
      <c r="Z53" s="2234"/>
      <c r="AA53" s="2" t="s">
        <v>574</v>
      </c>
      <c r="AB53" s="2" t="s">
        <v>575</v>
      </c>
      <c r="AC53" s="2" t="s">
        <v>574</v>
      </c>
      <c r="AD53" s="2" t="s">
        <v>575</v>
      </c>
      <c r="AE53" s="2" t="s">
        <v>574</v>
      </c>
      <c r="AF53" s="2" t="s">
        <v>575</v>
      </c>
      <c r="AG53" s="2234"/>
    </row>
    <row r="54" spans="1:33" ht="15" customHeight="1" outlineLevel="1">
      <c r="A54" s="1322" t="s">
        <v>3341</v>
      </c>
      <c r="B54" s="13"/>
      <c r="C54" s="13"/>
      <c r="D54" s="13"/>
      <c r="E54" s="13"/>
      <c r="F54" s="3822"/>
      <c r="G54" s="3822"/>
      <c r="H54" s="3822"/>
      <c r="I54" s="3822"/>
      <c r="J54" s="13"/>
      <c r="K54" s="13"/>
      <c r="L54" s="13"/>
      <c r="M54" s="13"/>
      <c r="U54" s="1392" t="s">
        <v>3507</v>
      </c>
      <c r="Z54" s="2234" t="s">
        <v>3497</v>
      </c>
      <c r="AA54" s="2">
        <v>0</v>
      </c>
      <c r="AB54" s="2">
        <v>0</v>
      </c>
      <c r="AC54" s="2">
        <v>7.0000000000000001E-3</v>
      </c>
      <c r="AD54" s="2">
        <v>-2.08</v>
      </c>
      <c r="AE54" s="2">
        <v>7.0000000000000001E-3</v>
      </c>
      <c r="AF54" s="2">
        <v>-2.08</v>
      </c>
      <c r="AG54" s="2234" t="s">
        <v>3493</v>
      </c>
    </row>
    <row r="55" spans="1:33" outlineLevel="1">
      <c r="A55" t="s">
        <v>3491</v>
      </c>
      <c r="D55" s="1367" t="s">
        <v>3499</v>
      </c>
      <c r="J55" s="702" t="s">
        <v>3342</v>
      </c>
      <c r="U55" s="1393"/>
      <c r="Z55" s="2234"/>
      <c r="AA55" s="2">
        <v>0.01</v>
      </c>
      <c r="AB55" s="2">
        <v>0</v>
      </c>
      <c r="AC55" s="2">
        <v>1.2999999999999999E-2</v>
      </c>
      <c r="AD55" s="2">
        <v>-1.52</v>
      </c>
      <c r="AE55" s="2">
        <v>3.0000000000000001E-3</v>
      </c>
      <c r="AF55" s="2">
        <v>-1.52</v>
      </c>
      <c r="AG55" s="2234"/>
    </row>
    <row r="56" spans="1:33" outlineLevel="1">
      <c r="A56" s="3823" t="s">
        <v>3343</v>
      </c>
      <c r="B56" s="3885" t="s">
        <v>3344</v>
      </c>
      <c r="C56" s="3886"/>
      <c r="D56" s="1324" t="s">
        <v>3345</v>
      </c>
      <c r="E56" s="1325">
        <v>0.02</v>
      </c>
      <c r="F56" s="3885" t="s">
        <v>3346</v>
      </c>
      <c r="G56" s="3886"/>
      <c r="H56" s="3887" t="s">
        <v>3347</v>
      </c>
      <c r="I56" s="3888"/>
      <c r="J56" s="3884" t="s">
        <v>3348</v>
      </c>
      <c r="K56" s="3884"/>
      <c r="L56" s="2234" t="s">
        <v>3492</v>
      </c>
      <c r="Z56" s="2234"/>
      <c r="AA56" s="2">
        <v>0.03</v>
      </c>
      <c r="AB56" s="2">
        <v>0</v>
      </c>
      <c r="AC56" s="2">
        <v>3.5000000000000003E-2</v>
      </c>
      <c r="AD56" s="2">
        <v>-0.28000000000000003</v>
      </c>
      <c r="AE56" s="2">
        <v>5.0000000000000001E-3</v>
      </c>
      <c r="AF56" s="2">
        <v>-0.28000000000000003</v>
      </c>
      <c r="AG56" s="2234"/>
    </row>
    <row r="57" spans="1:33" ht="24.75" outlineLevel="1" thickBot="1">
      <c r="A57" s="3824"/>
      <c r="B57" s="1154" t="s">
        <v>574</v>
      </c>
      <c r="C57" s="1154" t="s">
        <v>3349</v>
      </c>
      <c r="D57" s="1326" t="s">
        <v>3350</v>
      </c>
      <c r="E57" s="1327" t="s">
        <v>3351</v>
      </c>
      <c r="F57" s="1154" t="s">
        <v>574</v>
      </c>
      <c r="G57" s="1154" t="s">
        <v>575</v>
      </c>
      <c r="H57" s="1154" t="s">
        <v>574</v>
      </c>
      <c r="I57" s="1154" t="s">
        <v>575</v>
      </c>
      <c r="J57" s="1154" t="s">
        <v>574</v>
      </c>
      <c r="K57" s="1154" t="s">
        <v>575</v>
      </c>
      <c r="L57" s="2234"/>
      <c r="Z57" s="2234"/>
      <c r="AA57" s="2">
        <v>0.05</v>
      </c>
      <c r="AB57" s="2">
        <v>0</v>
      </c>
      <c r="AC57" s="2">
        <v>5.5E-2</v>
      </c>
      <c r="AD57" s="2">
        <v>-0.28999999999999998</v>
      </c>
      <c r="AE57" s="2">
        <v>5.0000000000000001E-3</v>
      </c>
      <c r="AF57" s="2">
        <v>-0.28999999999999998</v>
      </c>
      <c r="AG57" s="2234"/>
    </row>
    <row r="58" spans="1:33" ht="15" outlineLevel="1" thickBot="1">
      <c r="A58" s="757" t="s">
        <v>3352</v>
      </c>
      <c r="B58" s="1328">
        <v>0</v>
      </c>
      <c r="C58" s="1328">
        <v>0</v>
      </c>
      <c r="D58" s="1328">
        <v>9.9000000000000005E-2</v>
      </c>
      <c r="E58" s="1328">
        <v>0.499</v>
      </c>
      <c r="F58" s="1329"/>
      <c r="G58" s="1330">
        <v>3.0000000000000001E-3</v>
      </c>
      <c r="H58" s="1331">
        <f t="shared" ref="H58:I73" si="2">F58-B58</f>
        <v>0</v>
      </c>
      <c r="I58" s="1332">
        <f t="shared" si="2"/>
        <v>3.0000000000000001E-3</v>
      </c>
      <c r="J58" s="1333">
        <f>(ABS(D58/100)*0.02+0.000291*ABS(E58)*0.02+0.1*0.00001*0.02)*100</f>
        <v>2.272418E-3</v>
      </c>
      <c r="K58" s="1333">
        <f>(3438*ABS(D58/100)*0.02+ABS(E58)*0.01+(0.1*0*0.02))</f>
        <v>7.30624E-2</v>
      </c>
      <c r="L58" s="3820" t="s">
        <v>3505</v>
      </c>
      <c r="Z58" s="2234"/>
      <c r="AA58" s="2">
        <v>7.0000000000000007E-2</v>
      </c>
      <c r="AB58" s="2">
        <v>0</v>
      </c>
      <c r="AC58" s="2">
        <v>7.3999999999999996E-2</v>
      </c>
      <c r="AD58" s="2">
        <v>-0.28000000000000003</v>
      </c>
      <c r="AE58" s="2">
        <v>4.0000000000000001E-3</v>
      </c>
      <c r="AF58" s="2">
        <v>-0.28000000000000003</v>
      </c>
      <c r="AG58" s="2234"/>
    </row>
    <row r="59" spans="1:33" ht="15" outlineLevel="1" thickBot="1">
      <c r="A59" s="1334"/>
      <c r="B59" s="1328">
        <v>0.01</v>
      </c>
      <c r="C59" s="1328">
        <v>0</v>
      </c>
      <c r="D59" s="1335">
        <v>0.1</v>
      </c>
      <c r="E59" s="1330">
        <v>0.5</v>
      </c>
      <c r="F59" s="1335">
        <v>0.01</v>
      </c>
      <c r="G59" s="1330">
        <v>0</v>
      </c>
      <c r="H59" s="1336">
        <f t="shared" si="2"/>
        <v>0</v>
      </c>
      <c r="I59" s="1337">
        <f t="shared" si="2"/>
        <v>0</v>
      </c>
      <c r="J59" s="1336" t="e">
        <f>(ABS(F59/100)*$E$4+0.000291*ABS(G59)*$E$4+D59*$E$4*0.1)*100</f>
        <v>#VALUE!</v>
      </c>
      <c r="K59" s="1337" t="e">
        <f>(3438*ABS(F59/100)*$E$4+ABS(G59)*$E$4+E59*$E$4*0.1)</f>
        <v>#VALUE!</v>
      </c>
      <c r="L59" s="2234"/>
      <c r="Z59" s="2234"/>
      <c r="AA59" s="2">
        <v>0.1</v>
      </c>
      <c r="AB59" s="2">
        <v>0</v>
      </c>
      <c r="AC59" s="2">
        <v>0.105</v>
      </c>
      <c r="AD59" s="2">
        <v>-0.22</v>
      </c>
      <c r="AE59" s="2">
        <v>5.0000000000000001E-3</v>
      </c>
      <c r="AF59" s="2">
        <v>-0.22</v>
      </c>
      <c r="AG59" s="2234"/>
    </row>
    <row r="60" spans="1:33" ht="15" outlineLevel="1" thickBot="1">
      <c r="A60" s="1334"/>
      <c r="B60" s="1328">
        <v>-0.01</v>
      </c>
      <c r="C60" s="1328">
        <v>0</v>
      </c>
      <c r="D60" s="1335">
        <v>0.1</v>
      </c>
      <c r="E60" s="1330">
        <v>0.5</v>
      </c>
      <c r="F60" s="1335">
        <v>-9.9000000000000008E-3</v>
      </c>
      <c r="G60" s="1330">
        <v>0</v>
      </c>
      <c r="H60" s="1336">
        <f t="shared" si="2"/>
        <v>9.9999999999999395E-5</v>
      </c>
      <c r="I60" s="1337">
        <f t="shared" si="2"/>
        <v>0</v>
      </c>
      <c r="J60" s="1336" t="e">
        <f>(ABS(F60/100)*$E$4+0.000291*ABS(G60)*$E$4+D60*$E$4*0.1)*100</f>
        <v>#VALUE!</v>
      </c>
      <c r="K60" s="1337" t="e">
        <f>(3438*ABS(F60/100)*$E$4+ABS(G60)*$E$4+E60*$E$4*0.1)</f>
        <v>#VALUE!</v>
      </c>
      <c r="L60" s="2234"/>
      <c r="Z60" s="2234"/>
      <c r="AA60" s="2">
        <v>0.3</v>
      </c>
      <c r="AB60" s="2">
        <v>0</v>
      </c>
      <c r="AC60" s="2">
        <v>0.30599999999999999</v>
      </c>
      <c r="AD60" s="2">
        <v>-0.18</v>
      </c>
      <c r="AE60" s="2">
        <v>6.0000000000000001E-3</v>
      </c>
      <c r="AF60" s="2">
        <v>-0.18</v>
      </c>
      <c r="AG60" s="2234"/>
    </row>
    <row r="61" spans="1:33" ht="15" outlineLevel="1" thickBot="1">
      <c r="A61" s="1334"/>
      <c r="B61" s="1328">
        <v>0.02</v>
      </c>
      <c r="C61" s="1328">
        <v>0</v>
      </c>
      <c r="D61" s="1335">
        <v>0.1</v>
      </c>
      <c r="E61" s="1330">
        <v>0.5</v>
      </c>
      <c r="F61" s="1335">
        <v>0.02</v>
      </c>
      <c r="G61" s="1330">
        <v>0</v>
      </c>
      <c r="H61" s="1336">
        <f t="shared" si="2"/>
        <v>0</v>
      </c>
      <c r="I61" s="1337">
        <f t="shared" si="2"/>
        <v>0</v>
      </c>
      <c r="J61" s="1336" t="e">
        <f t="shared" ref="J61:J78" si="3">(ABS(F61/100)*$E$4+0.000291*ABS(G61)*$E$4+D61*$E$4*0.1)*100</f>
        <v>#VALUE!</v>
      </c>
      <c r="K61" s="1337" t="e">
        <f t="shared" ref="K61:K78" si="4">(3438*ABS(F61/100)*$E$4+ABS(G61)*$E$4+E61*$E$4*0.1)</f>
        <v>#VALUE!</v>
      </c>
      <c r="L61" s="2234"/>
      <c r="Z61" s="2234"/>
      <c r="AA61" s="2">
        <v>0.5</v>
      </c>
      <c r="AB61" s="2">
        <v>0</v>
      </c>
      <c r="AC61" s="2">
        <v>0.505</v>
      </c>
      <c r="AD61" s="2">
        <v>-0.15</v>
      </c>
      <c r="AE61" s="2">
        <v>5.0000000000000001E-3</v>
      </c>
      <c r="AF61" s="2">
        <v>-0.15</v>
      </c>
      <c r="AG61" s="2234"/>
    </row>
    <row r="62" spans="1:33" ht="15" outlineLevel="1" thickBot="1">
      <c r="A62" s="1334"/>
      <c r="B62" s="1328">
        <v>0.03</v>
      </c>
      <c r="C62" s="1328">
        <v>0</v>
      </c>
      <c r="D62" s="1335">
        <v>0.1</v>
      </c>
      <c r="E62" s="1330">
        <v>0.5</v>
      </c>
      <c r="F62" s="1335">
        <v>0.03</v>
      </c>
      <c r="G62" s="1330">
        <v>0</v>
      </c>
      <c r="H62" s="1336">
        <f t="shared" si="2"/>
        <v>0</v>
      </c>
      <c r="I62" s="1337">
        <f t="shared" si="2"/>
        <v>0</v>
      </c>
      <c r="J62" s="1336" t="e">
        <f t="shared" si="3"/>
        <v>#VALUE!</v>
      </c>
      <c r="K62" s="1337" t="e">
        <f t="shared" si="4"/>
        <v>#VALUE!</v>
      </c>
      <c r="L62" s="2234"/>
      <c r="Z62" s="2234"/>
      <c r="AA62" s="2">
        <v>0.7</v>
      </c>
      <c r="AB62" s="2">
        <v>0</v>
      </c>
      <c r="AC62" s="2">
        <v>0.70499999999999996</v>
      </c>
      <c r="AD62" s="2">
        <v>-0.19</v>
      </c>
      <c r="AE62" s="2">
        <v>5.0000000000000001E-3</v>
      </c>
      <c r="AF62" s="2">
        <v>-0.19</v>
      </c>
      <c r="AG62" s="2234"/>
    </row>
    <row r="63" spans="1:33" ht="15" outlineLevel="1" thickBot="1">
      <c r="A63" s="1334"/>
      <c r="B63" s="1328">
        <v>-0.03</v>
      </c>
      <c r="C63" s="1328">
        <v>0</v>
      </c>
      <c r="D63" s="1335">
        <v>0.1</v>
      </c>
      <c r="E63" s="1330">
        <v>0.5</v>
      </c>
      <c r="F63" s="1335">
        <v>-2.9899999999999999E-2</v>
      </c>
      <c r="G63" s="1330">
        <v>-1E-3</v>
      </c>
      <c r="H63" s="1336">
        <f>F63-B63</f>
        <v>9.9999999999999395E-5</v>
      </c>
      <c r="I63" s="1337">
        <f>G63-C63</f>
        <v>-1E-3</v>
      </c>
      <c r="J63" s="1336" t="e">
        <f>(ABS(F63/100)*$E$4+0.000291*ABS(G63)*$E$4+D63*$E$4*0.1)*100</f>
        <v>#VALUE!</v>
      </c>
      <c r="K63" s="1337" t="e">
        <f>(3438*ABS(F63/100)*$E$4+ABS(G63)*$E$4+E63*$E$4*0.1)</f>
        <v>#VALUE!</v>
      </c>
      <c r="L63" s="2234"/>
      <c r="Z63" s="2234"/>
      <c r="AA63" s="2">
        <v>1</v>
      </c>
      <c r="AB63" s="2">
        <v>0</v>
      </c>
      <c r="AC63" s="2">
        <v>1.006</v>
      </c>
      <c r="AD63" s="2">
        <v>-0.18</v>
      </c>
      <c r="AE63" s="2">
        <v>6.0000000000000001E-3</v>
      </c>
      <c r="AF63" s="2">
        <v>-0.18</v>
      </c>
      <c r="AG63" s="2234"/>
    </row>
    <row r="64" spans="1:33" ht="15" outlineLevel="1" thickBot="1">
      <c r="A64" s="1334"/>
      <c r="B64" s="1328">
        <v>0.04</v>
      </c>
      <c r="C64" s="1328">
        <v>0</v>
      </c>
      <c r="D64" s="1335">
        <v>0.1</v>
      </c>
      <c r="E64" s="1330">
        <v>0.5</v>
      </c>
      <c r="F64" s="1335">
        <v>0.04</v>
      </c>
      <c r="G64" s="1330">
        <v>1E-3</v>
      </c>
      <c r="H64" s="1336">
        <f t="shared" si="2"/>
        <v>0</v>
      </c>
      <c r="I64" s="1337">
        <f t="shared" si="2"/>
        <v>1E-3</v>
      </c>
      <c r="J64" s="1336" t="e">
        <f t="shared" si="3"/>
        <v>#VALUE!</v>
      </c>
      <c r="K64" s="1337" t="e">
        <f t="shared" si="4"/>
        <v>#VALUE!</v>
      </c>
      <c r="L64" s="2234"/>
      <c r="Z64" s="2234"/>
      <c r="AA64" s="2">
        <v>3</v>
      </c>
      <c r="AB64" s="2">
        <v>0</v>
      </c>
      <c r="AC64" s="2">
        <v>3.0049999999999999</v>
      </c>
      <c r="AD64" s="2">
        <v>-0.22</v>
      </c>
      <c r="AE64" s="2">
        <v>5.0000000000000001E-3</v>
      </c>
      <c r="AF64" s="2">
        <v>-0.22</v>
      </c>
      <c r="AG64" s="2234"/>
    </row>
    <row r="65" spans="1:33" ht="15" outlineLevel="1" thickBot="1">
      <c r="A65" s="1334" t="s">
        <v>3353</v>
      </c>
      <c r="B65" s="1328">
        <v>0.05</v>
      </c>
      <c r="C65" s="1328">
        <v>0</v>
      </c>
      <c r="D65" s="1335">
        <v>0.1</v>
      </c>
      <c r="E65" s="1330">
        <v>0.5</v>
      </c>
      <c r="F65" s="1335">
        <v>0.05</v>
      </c>
      <c r="G65" s="1330">
        <v>1E-3</v>
      </c>
      <c r="H65" s="1336">
        <f t="shared" si="2"/>
        <v>0</v>
      </c>
      <c r="I65" s="1337">
        <f t="shared" si="2"/>
        <v>1E-3</v>
      </c>
      <c r="J65" s="1336" t="e">
        <f t="shared" si="3"/>
        <v>#VALUE!</v>
      </c>
      <c r="K65" s="1337" t="e">
        <f t="shared" si="4"/>
        <v>#VALUE!</v>
      </c>
      <c r="L65" s="2234"/>
      <c r="Z65" s="2234"/>
      <c r="AA65" s="2">
        <v>5</v>
      </c>
      <c r="AB65" s="2">
        <v>0.5</v>
      </c>
      <c r="AC65" s="2">
        <v>5.0039999999999996</v>
      </c>
      <c r="AD65" s="2">
        <v>-0.2</v>
      </c>
      <c r="AE65" s="2">
        <v>4.0000000000000001E-3</v>
      </c>
      <c r="AF65" s="2">
        <v>-0.7</v>
      </c>
      <c r="AG65" s="2234"/>
    </row>
    <row r="66" spans="1:33" ht="15" outlineLevel="1" thickBot="1">
      <c r="A66" s="1334"/>
      <c r="B66" s="1328">
        <v>-0.05</v>
      </c>
      <c r="C66" s="1328">
        <v>0</v>
      </c>
      <c r="D66" s="1335">
        <v>0.1</v>
      </c>
      <c r="E66" s="1330">
        <v>0.5</v>
      </c>
      <c r="F66" s="1335">
        <v>-4.99E-2</v>
      </c>
      <c r="G66" s="1330">
        <v>-2E-3</v>
      </c>
      <c r="H66" s="1336">
        <f>F66-B66</f>
        <v>1.0000000000000286E-4</v>
      </c>
      <c r="I66" s="1337">
        <f>G66-C66</f>
        <v>-2E-3</v>
      </c>
      <c r="J66" s="1336" t="e">
        <f>(ABS(F66/100)*$E$4+0.000291*ABS(G66)*$E$4+D66*$E$4*0.1)*100</f>
        <v>#VALUE!</v>
      </c>
      <c r="K66" s="1337" t="e">
        <f>(3438*ABS(F66/100)*$E$4+ABS(G66)*$E$4+E66*$E$4*0.1)</f>
        <v>#VALUE!</v>
      </c>
      <c r="L66" s="2234"/>
      <c r="Z66" s="2234"/>
      <c r="AA66" s="2">
        <v>0</v>
      </c>
      <c r="AB66" s="2">
        <v>0.5</v>
      </c>
      <c r="AC66" s="2">
        <v>2E-3</v>
      </c>
      <c r="AD66" s="2">
        <v>0.27</v>
      </c>
      <c r="AE66" s="2">
        <v>2E-3</v>
      </c>
      <c r="AF66" s="2">
        <v>-0.23</v>
      </c>
      <c r="AG66" s="2234"/>
    </row>
    <row r="67" spans="1:33" ht="15" outlineLevel="1" thickBot="1">
      <c r="A67" s="1334"/>
      <c r="B67" s="1328">
        <v>0.06</v>
      </c>
      <c r="C67" s="1328">
        <v>0</v>
      </c>
      <c r="D67" s="1335">
        <v>0.1</v>
      </c>
      <c r="E67" s="1330">
        <v>0.5</v>
      </c>
      <c r="F67" s="1335">
        <v>0.06</v>
      </c>
      <c r="G67" s="1330">
        <v>1E-3</v>
      </c>
      <c r="H67" s="1336">
        <f t="shared" si="2"/>
        <v>0</v>
      </c>
      <c r="I67" s="1337">
        <f t="shared" si="2"/>
        <v>1E-3</v>
      </c>
      <c r="J67" s="1336" t="e">
        <f t="shared" si="3"/>
        <v>#VALUE!</v>
      </c>
      <c r="K67" s="1337" t="e">
        <f t="shared" si="4"/>
        <v>#VALUE!</v>
      </c>
      <c r="L67" s="2234"/>
      <c r="M67" s="3889" t="s">
        <v>3354</v>
      </c>
      <c r="N67" s="3839"/>
      <c r="O67" s="3839"/>
      <c r="P67" s="3840"/>
      <c r="Z67" s="2234"/>
      <c r="AA67" s="2">
        <v>0</v>
      </c>
      <c r="AB67" s="2">
        <v>1</v>
      </c>
      <c r="AC67" s="2">
        <v>3.0000000000000001E-3</v>
      </c>
      <c r="AD67" s="2">
        <v>0.8</v>
      </c>
      <c r="AE67" s="2">
        <v>3.0000000000000001E-3</v>
      </c>
      <c r="AF67" s="2">
        <v>-0.2</v>
      </c>
      <c r="AG67" s="2234"/>
    </row>
    <row r="68" spans="1:33" ht="15" outlineLevel="1" thickBot="1">
      <c r="A68" s="1334"/>
      <c r="B68" s="1328">
        <v>7.0000000000000007E-2</v>
      </c>
      <c r="C68" s="1328">
        <v>0</v>
      </c>
      <c r="D68" s="1335">
        <v>0.1</v>
      </c>
      <c r="E68" s="1330">
        <v>0.5</v>
      </c>
      <c r="F68" s="1335">
        <v>7.0000000000000007E-2</v>
      </c>
      <c r="G68" s="1330">
        <v>1E-3</v>
      </c>
      <c r="H68" s="1336">
        <f t="shared" si="2"/>
        <v>0</v>
      </c>
      <c r="I68" s="1337">
        <f t="shared" si="2"/>
        <v>1E-3</v>
      </c>
      <c r="J68" s="1336" t="e">
        <f t="shared" si="3"/>
        <v>#VALUE!</v>
      </c>
      <c r="K68" s="1337" t="e">
        <f t="shared" si="4"/>
        <v>#VALUE!</v>
      </c>
      <c r="L68" s="2234"/>
      <c r="M68" s="3890"/>
      <c r="N68" s="3890"/>
      <c r="O68" s="3890"/>
      <c r="P68" s="3891"/>
      <c r="Z68" s="2234"/>
      <c r="AA68" s="2">
        <v>0</v>
      </c>
      <c r="AB68" s="2">
        <v>1.5</v>
      </c>
      <c r="AC68" s="2">
        <v>3.0000000000000001E-3</v>
      </c>
      <c r="AD68" s="2">
        <v>1.25</v>
      </c>
      <c r="AE68" s="2">
        <v>3.0000000000000001E-3</v>
      </c>
      <c r="AF68" s="2">
        <v>-0.25</v>
      </c>
      <c r="AG68" s="2234"/>
    </row>
    <row r="69" spans="1:33" ht="15" outlineLevel="1" thickBot="1">
      <c r="A69" s="1334"/>
      <c r="B69" s="1328">
        <v>-7.0000000000000007E-2</v>
      </c>
      <c r="C69" s="1328">
        <v>0</v>
      </c>
      <c r="D69" s="1335">
        <v>0.1</v>
      </c>
      <c r="E69" s="1330">
        <v>0.5</v>
      </c>
      <c r="F69" s="1335">
        <v>-7.0000000000000007E-2</v>
      </c>
      <c r="G69" s="1330">
        <v>-2E-3</v>
      </c>
      <c r="H69" s="1336">
        <f>F69-B69</f>
        <v>0</v>
      </c>
      <c r="I69" s="1337">
        <f>G69-C69</f>
        <v>-2E-3</v>
      </c>
      <c r="J69" s="1336" t="e">
        <f>(ABS(F69/100)*$E$4+0.000291*ABS(G69)*$E$4+D69*$E$4*0.1)*100</f>
        <v>#VALUE!</v>
      </c>
      <c r="K69" s="1337" t="e">
        <f>(3438*ABS(F69/100)*$E$4+ABS(G69)*$E$4+E69*$E$4*0.1)</f>
        <v>#VALUE!</v>
      </c>
      <c r="L69" s="2234"/>
      <c r="M69" s="3890"/>
      <c r="N69" s="3890"/>
      <c r="O69" s="3890"/>
      <c r="P69" s="3891"/>
      <c r="Z69" s="2234"/>
      <c r="AA69" s="2">
        <v>0</v>
      </c>
      <c r="AB69" s="2">
        <v>2</v>
      </c>
      <c r="AC69" s="2">
        <v>3.0000000000000001E-3</v>
      </c>
      <c r="AD69" s="2">
        <v>1.84</v>
      </c>
      <c r="AE69" s="2">
        <v>3.0000000000000001E-3</v>
      </c>
      <c r="AF69" s="2">
        <v>-0.16</v>
      </c>
      <c r="AG69" s="2234"/>
    </row>
    <row r="70" spans="1:33" ht="15" outlineLevel="1" thickBot="1">
      <c r="A70" s="1334"/>
      <c r="B70" s="1328">
        <v>0.08</v>
      </c>
      <c r="C70" s="1328">
        <v>0</v>
      </c>
      <c r="D70" s="1335">
        <v>0.1</v>
      </c>
      <c r="E70" s="1330">
        <v>0.5</v>
      </c>
      <c r="F70" s="1335">
        <v>8.0100000000000005E-2</v>
      </c>
      <c r="G70" s="1330">
        <v>2E-3</v>
      </c>
      <c r="H70" s="1336">
        <f t="shared" si="2"/>
        <v>1.0000000000000286E-4</v>
      </c>
      <c r="I70" s="1337">
        <f t="shared" si="2"/>
        <v>2E-3</v>
      </c>
      <c r="J70" s="1336" t="e">
        <f t="shared" si="3"/>
        <v>#VALUE!</v>
      </c>
      <c r="K70" s="1337" t="e">
        <f t="shared" si="4"/>
        <v>#VALUE!</v>
      </c>
      <c r="L70" s="2234"/>
      <c r="M70" s="3890"/>
      <c r="N70" s="3890"/>
      <c r="O70" s="3890"/>
      <c r="P70" s="3891"/>
      <c r="Z70" s="2234"/>
      <c r="AA70" s="2">
        <v>0</v>
      </c>
      <c r="AB70" s="2">
        <v>2.5</v>
      </c>
      <c r="AC70" s="2">
        <v>3.0000000000000001E-3</v>
      </c>
      <c r="AD70" s="2">
        <v>2.35</v>
      </c>
      <c r="AE70" s="2">
        <v>3.0000000000000001E-3</v>
      </c>
      <c r="AF70" s="2">
        <v>-0.15</v>
      </c>
      <c r="AG70" s="2234"/>
    </row>
    <row r="71" spans="1:33" ht="15" outlineLevel="1" thickBot="1">
      <c r="A71" s="1334"/>
      <c r="B71" s="1328">
        <v>0.09</v>
      </c>
      <c r="C71" s="1328">
        <v>0</v>
      </c>
      <c r="D71" s="1335">
        <v>0.1</v>
      </c>
      <c r="E71" s="1330">
        <v>0.5</v>
      </c>
      <c r="F71" s="1335">
        <v>0.09</v>
      </c>
      <c r="G71" s="1330">
        <v>2E-3</v>
      </c>
      <c r="H71" s="1336">
        <f t="shared" si="2"/>
        <v>0</v>
      </c>
      <c r="I71" s="1337">
        <f t="shared" si="2"/>
        <v>2E-3</v>
      </c>
      <c r="J71" s="1336" t="e">
        <f t="shared" si="3"/>
        <v>#VALUE!</v>
      </c>
      <c r="K71" s="1337" t="e">
        <f t="shared" si="4"/>
        <v>#VALUE!</v>
      </c>
      <c r="L71" s="2234"/>
      <c r="M71" s="3890"/>
      <c r="N71" s="3890"/>
      <c r="O71" s="3890"/>
      <c r="P71" s="3891"/>
      <c r="Z71" s="2234"/>
      <c r="AA71" s="2">
        <v>0</v>
      </c>
      <c r="AB71" s="2">
        <v>3</v>
      </c>
      <c r="AC71" s="2">
        <v>3.0000000000000001E-3</v>
      </c>
      <c r="AD71" s="2">
        <v>2.86</v>
      </c>
      <c r="AE71" s="2">
        <v>3.0000000000000001E-3</v>
      </c>
      <c r="AF71" s="2">
        <v>-0.14000000000000001</v>
      </c>
      <c r="AG71" s="2234"/>
    </row>
    <row r="72" spans="1:33" ht="15" outlineLevel="1" thickBot="1">
      <c r="A72" s="1334"/>
      <c r="B72" s="1328">
        <v>-0.09</v>
      </c>
      <c r="C72" s="1328">
        <v>0</v>
      </c>
      <c r="D72" s="1335">
        <v>0.1</v>
      </c>
      <c r="E72" s="1330">
        <v>0.5</v>
      </c>
      <c r="F72" s="1335">
        <v>-0.09</v>
      </c>
      <c r="G72" s="1330">
        <v>-3.0000000000000001E-3</v>
      </c>
      <c r="H72" s="1336">
        <f>F72-B72</f>
        <v>0</v>
      </c>
      <c r="I72" s="1337">
        <f>G72-C72</f>
        <v>-3.0000000000000001E-3</v>
      </c>
      <c r="J72" s="1336" t="e">
        <f>(ABS(F72/100)*$E$4+0.000291*ABS(G72)*$E$4+D72*$E$4*0.1)*100</f>
        <v>#VALUE!</v>
      </c>
      <c r="K72" s="1337" t="e">
        <f>(3438*ABS(F72/100)*$E$4+ABS(G72)*$E$4+E72*$E$4*0.1)</f>
        <v>#VALUE!</v>
      </c>
      <c r="L72" s="2234"/>
      <c r="M72" s="3890"/>
      <c r="N72" s="3890"/>
      <c r="O72" s="3890"/>
      <c r="P72" s="3891"/>
      <c r="Z72" s="2234"/>
      <c r="AA72" s="2">
        <v>0</v>
      </c>
      <c r="AB72" s="2">
        <v>3.5</v>
      </c>
      <c r="AC72" s="2">
        <v>3.0000000000000001E-3</v>
      </c>
      <c r="AD72" s="2">
        <v>3.31</v>
      </c>
      <c r="AE72" s="2">
        <v>3.0000000000000001E-3</v>
      </c>
      <c r="AF72" s="2">
        <v>-0.19</v>
      </c>
      <c r="AG72" s="2234"/>
    </row>
    <row r="73" spans="1:33" ht="15" outlineLevel="1" thickBot="1">
      <c r="A73" s="1334"/>
      <c r="B73" s="1328">
        <v>0.1</v>
      </c>
      <c r="C73" s="1328">
        <v>0</v>
      </c>
      <c r="D73" s="1335">
        <v>0.1</v>
      </c>
      <c r="E73" s="1330">
        <v>0.5</v>
      </c>
      <c r="F73" s="1335">
        <v>0.10009999999999999</v>
      </c>
      <c r="G73" s="1330">
        <v>3.0000000000000001E-3</v>
      </c>
      <c r="H73" s="1336">
        <f t="shared" si="2"/>
        <v>9.9999999999988987E-5</v>
      </c>
      <c r="I73" s="1337">
        <f t="shared" si="2"/>
        <v>3.0000000000000001E-3</v>
      </c>
      <c r="J73" s="1336" t="e">
        <f t="shared" si="3"/>
        <v>#VALUE!</v>
      </c>
      <c r="K73" s="1337" t="e">
        <f t="shared" si="4"/>
        <v>#VALUE!</v>
      </c>
      <c r="L73" s="2234"/>
      <c r="M73" s="3890"/>
      <c r="N73" s="3890"/>
      <c r="O73" s="3890"/>
      <c r="P73" s="3891"/>
      <c r="Z73" s="2234"/>
      <c r="AA73" s="2">
        <v>0</v>
      </c>
      <c r="AB73" s="2">
        <v>4</v>
      </c>
      <c r="AC73" s="2">
        <v>3.0000000000000001E-3</v>
      </c>
      <c r="AD73" s="2">
        <v>3.88</v>
      </c>
      <c r="AE73" s="2">
        <v>3.0000000000000001E-3</v>
      </c>
      <c r="AF73" s="2">
        <v>-0.12</v>
      </c>
      <c r="AG73" s="2234"/>
    </row>
    <row r="74" spans="1:33" ht="15" outlineLevel="1" thickBot="1">
      <c r="A74" s="1334"/>
      <c r="B74" s="1328">
        <v>0.3</v>
      </c>
      <c r="C74" s="1328">
        <v>0</v>
      </c>
      <c r="D74" s="1335">
        <v>0.1</v>
      </c>
      <c r="E74" s="1330">
        <v>0.5</v>
      </c>
      <c r="F74" s="1330">
        <v>0.3</v>
      </c>
      <c r="G74" s="1328">
        <v>0.01</v>
      </c>
      <c r="H74" s="1336">
        <f t="shared" ref="H74:I90" si="5">F74-B74</f>
        <v>0</v>
      </c>
      <c r="I74" s="1337">
        <f t="shared" si="5"/>
        <v>0.01</v>
      </c>
      <c r="J74" s="1336" t="e">
        <f t="shared" si="3"/>
        <v>#VALUE!</v>
      </c>
      <c r="K74" s="1337" t="e">
        <f t="shared" si="4"/>
        <v>#VALUE!</v>
      </c>
      <c r="L74" s="2234"/>
      <c r="M74" s="3890"/>
      <c r="N74" s="3890"/>
      <c r="O74" s="3890"/>
      <c r="P74" s="3891"/>
      <c r="Z74" s="2234"/>
      <c r="AA74" s="2">
        <v>0</v>
      </c>
      <c r="AB74" s="2">
        <v>4.5</v>
      </c>
      <c r="AC74" s="2">
        <v>3.0000000000000001E-3</v>
      </c>
      <c r="AD74" s="2">
        <v>4.41</v>
      </c>
      <c r="AE74" s="2">
        <v>3.0000000000000001E-3</v>
      </c>
      <c r="AF74" s="2">
        <v>-0.09</v>
      </c>
      <c r="AG74" s="2234"/>
    </row>
    <row r="75" spans="1:33" ht="15" outlineLevel="1" thickBot="1">
      <c r="A75" s="1334"/>
      <c r="B75" s="1328">
        <v>0.5</v>
      </c>
      <c r="C75" s="1328">
        <v>0</v>
      </c>
      <c r="D75" s="1335">
        <v>0.1</v>
      </c>
      <c r="E75" s="1330">
        <v>0.5</v>
      </c>
      <c r="F75" s="1335">
        <v>0.5</v>
      </c>
      <c r="G75" s="1328">
        <v>0.02</v>
      </c>
      <c r="H75" s="1336">
        <f t="shared" si="5"/>
        <v>0</v>
      </c>
      <c r="I75" s="1337">
        <f t="shared" si="5"/>
        <v>0.02</v>
      </c>
      <c r="J75" s="1336" t="e">
        <f t="shared" si="3"/>
        <v>#VALUE!</v>
      </c>
      <c r="K75" s="1337" t="e">
        <f t="shared" si="4"/>
        <v>#VALUE!</v>
      </c>
      <c r="L75" s="2234"/>
      <c r="M75" s="3890"/>
      <c r="N75" s="3890"/>
      <c r="O75" s="3890"/>
      <c r="P75" s="3891"/>
      <c r="Z75" s="2234"/>
      <c r="AA75" s="2">
        <v>0</v>
      </c>
      <c r="AB75" s="2">
        <v>5</v>
      </c>
      <c r="AC75" s="2">
        <v>3.0000000000000001E-3</v>
      </c>
      <c r="AD75" s="2">
        <v>4.84</v>
      </c>
      <c r="AE75" s="2">
        <v>3.0000000000000001E-3</v>
      </c>
      <c r="AF75" s="2">
        <v>-0.16</v>
      </c>
      <c r="AG75" s="2234"/>
    </row>
    <row r="76" spans="1:33" ht="15" outlineLevel="1" thickBot="1">
      <c r="A76" s="1334"/>
      <c r="B76" s="1328">
        <v>1</v>
      </c>
      <c r="C76" s="1328">
        <v>0</v>
      </c>
      <c r="D76" s="1335">
        <v>0.1</v>
      </c>
      <c r="E76" s="1330">
        <v>0.5</v>
      </c>
      <c r="F76" s="1335">
        <v>1.0009999999999999</v>
      </c>
      <c r="G76" s="1328">
        <v>0.03</v>
      </c>
      <c r="H76" s="1336">
        <f t="shared" si="5"/>
        <v>9.9999999999988987E-4</v>
      </c>
      <c r="I76" s="1337">
        <f t="shared" si="5"/>
        <v>0.03</v>
      </c>
      <c r="J76" s="1336" t="e">
        <f t="shared" si="3"/>
        <v>#VALUE!</v>
      </c>
      <c r="K76" s="1337" t="e">
        <f t="shared" si="4"/>
        <v>#VALUE!</v>
      </c>
      <c r="L76" s="2234"/>
      <c r="M76" s="3890"/>
      <c r="N76" s="3890"/>
      <c r="O76" s="3890"/>
      <c r="P76" s="3891"/>
      <c r="Z76" s="2234"/>
      <c r="AA76" s="2">
        <v>0</v>
      </c>
      <c r="AB76" s="2">
        <v>10</v>
      </c>
      <c r="AC76" s="2">
        <v>2E-3</v>
      </c>
      <c r="AD76" s="2">
        <v>9.76</v>
      </c>
      <c r="AE76" s="2">
        <v>2E-3</v>
      </c>
      <c r="AF76" s="2">
        <v>-0.24</v>
      </c>
      <c r="AG76" s="2234"/>
    </row>
    <row r="77" spans="1:33" ht="15" outlineLevel="1" thickBot="1">
      <c r="A77" s="1334"/>
      <c r="B77" s="1328">
        <v>3</v>
      </c>
      <c r="C77" s="1328">
        <v>0</v>
      </c>
      <c r="D77" s="1335">
        <v>0.1</v>
      </c>
      <c r="E77" s="1330">
        <v>0.5</v>
      </c>
      <c r="F77" s="1328">
        <v>3</v>
      </c>
      <c r="G77" s="1338">
        <v>0.1</v>
      </c>
      <c r="H77" s="1336">
        <f t="shared" si="5"/>
        <v>0</v>
      </c>
      <c r="I77" s="1337">
        <f t="shared" si="5"/>
        <v>0.1</v>
      </c>
      <c r="J77" s="1336" t="e">
        <f t="shared" si="3"/>
        <v>#VALUE!</v>
      </c>
      <c r="K77" s="1337" t="e">
        <f t="shared" si="4"/>
        <v>#VALUE!</v>
      </c>
      <c r="L77" s="2234"/>
      <c r="M77" s="3890"/>
      <c r="N77" s="3890"/>
      <c r="O77" s="3890"/>
      <c r="P77" s="3891"/>
      <c r="Z77" s="2234"/>
      <c r="AA77" s="2">
        <v>0</v>
      </c>
      <c r="AB77" s="2">
        <v>15</v>
      </c>
      <c r="AC77" s="2">
        <v>3.0000000000000001E-3</v>
      </c>
      <c r="AD77" s="2">
        <v>14.82</v>
      </c>
      <c r="AE77" s="2">
        <v>3.0000000000000001E-3</v>
      </c>
      <c r="AF77" s="2">
        <v>-0.18</v>
      </c>
      <c r="AG77" s="2234"/>
    </row>
    <row r="78" spans="1:33" ht="15" outlineLevel="1" thickBot="1">
      <c r="A78" s="1334"/>
      <c r="B78" s="1328">
        <v>5</v>
      </c>
      <c r="C78" s="1328">
        <v>0</v>
      </c>
      <c r="D78" s="1330">
        <v>1</v>
      </c>
      <c r="E78" s="1328">
        <v>5</v>
      </c>
      <c r="F78" s="1328">
        <v>5</v>
      </c>
      <c r="G78" s="1338">
        <v>0.2</v>
      </c>
      <c r="H78" s="1336">
        <f t="shared" si="5"/>
        <v>0</v>
      </c>
      <c r="I78" s="1337">
        <f t="shared" si="5"/>
        <v>0.2</v>
      </c>
      <c r="J78" s="1336" t="e">
        <f t="shared" si="3"/>
        <v>#VALUE!</v>
      </c>
      <c r="K78" s="1337" t="e">
        <f t="shared" si="4"/>
        <v>#VALUE!</v>
      </c>
      <c r="L78" s="2234"/>
      <c r="M78" s="3890"/>
      <c r="N78" s="3890"/>
      <c r="O78" s="3890"/>
      <c r="P78" s="3891"/>
      <c r="Z78" s="2234"/>
      <c r="AA78" s="2">
        <v>0</v>
      </c>
      <c r="AB78" s="2">
        <v>30</v>
      </c>
      <c r="AC78" s="2">
        <v>7.0000000000000001E-3</v>
      </c>
      <c r="AD78" s="2">
        <v>29.81</v>
      </c>
      <c r="AE78" s="2">
        <v>7.0000000000000001E-3</v>
      </c>
      <c r="AF78" s="2">
        <v>-0.19</v>
      </c>
      <c r="AG78" s="2234"/>
    </row>
    <row r="79" spans="1:33" ht="15" outlineLevel="1" thickBot="1">
      <c r="A79" s="1334"/>
      <c r="B79" s="1328">
        <v>10</v>
      </c>
      <c r="C79" s="1328">
        <v>0</v>
      </c>
      <c r="D79" s="1330">
        <v>1</v>
      </c>
      <c r="E79" s="1328">
        <v>5</v>
      </c>
      <c r="F79" s="1328">
        <v>10.01</v>
      </c>
      <c r="G79" s="1338">
        <v>0.4</v>
      </c>
      <c r="H79" s="1336">
        <f t="shared" si="5"/>
        <v>9.9999999999997868E-3</v>
      </c>
      <c r="I79" s="1337">
        <f t="shared" si="5"/>
        <v>0.4</v>
      </c>
      <c r="J79" s="1336" t="e">
        <f>(ABS(F79/100)*$E$4+0.000291*ABS(G79)*$E$4+D79*$E$4*0.1)*100</f>
        <v>#VALUE!</v>
      </c>
      <c r="K79" s="1337" t="e">
        <f>(3438*ABS(F79/100)*$E$4+ABS(G79)*$E$4+E79*$E$4*0.1)</f>
        <v>#VALUE!</v>
      </c>
      <c r="L79" s="2234"/>
      <c r="M79" s="3842"/>
      <c r="N79" s="3842"/>
      <c r="O79" s="3842"/>
      <c r="P79" s="3843"/>
    </row>
    <row r="80" spans="1:33" outlineLevel="1">
      <c r="A80" s="1334"/>
      <c r="B80" s="1328">
        <v>-1</v>
      </c>
      <c r="C80" s="1328">
        <v>0</v>
      </c>
      <c r="D80" s="1328">
        <v>10</v>
      </c>
      <c r="E80" s="1328">
        <v>5</v>
      </c>
      <c r="F80" s="1339">
        <v>-1.0009999999999999</v>
      </c>
      <c r="G80" s="1330">
        <v>-0.02</v>
      </c>
      <c r="H80" s="1336">
        <f t="shared" si="5"/>
        <v>-9.9999999999988987E-4</v>
      </c>
      <c r="I80" s="1337">
        <f t="shared" si="5"/>
        <v>-0.02</v>
      </c>
      <c r="J80" s="1336" t="e">
        <f>(ABS(F80/100)*$E$4+0.000291*ABS(G80)*$E$4+D80*$E$4*0.1)*100</f>
        <v>#VALUE!</v>
      </c>
      <c r="K80" s="1337" t="e">
        <f>(3438*ABS(F80/100)*$E$4+ABS(G80)*$E$4+E80*$E$4*0.1)</f>
        <v>#VALUE!</v>
      </c>
      <c r="L80" s="2234"/>
    </row>
    <row r="81" spans="1:19" outlineLevel="1">
      <c r="A81" s="1334"/>
      <c r="B81" s="1328">
        <v>-5</v>
      </c>
      <c r="C81" s="1328">
        <v>0</v>
      </c>
      <c r="D81" s="1328">
        <v>10</v>
      </c>
      <c r="E81" s="1328">
        <v>5</v>
      </c>
      <c r="F81" s="1339">
        <v>-5</v>
      </c>
      <c r="G81" s="1330">
        <v>-0.1</v>
      </c>
      <c r="H81" s="1336">
        <f t="shared" si="5"/>
        <v>0</v>
      </c>
      <c r="I81" s="1337">
        <f t="shared" si="5"/>
        <v>-0.1</v>
      </c>
      <c r="J81" s="1336" t="e">
        <f>(ABS(F81/100)*$E$4+0.000291*ABS(G81)*$E$4+D81*$E$4*0.1)*100</f>
        <v>#VALUE!</v>
      </c>
      <c r="K81" s="1337" t="e">
        <f>(3438*ABS(F81/100)*$E$4+ABS(G81)*$E$4+E81*$E$4*0.1)</f>
        <v>#VALUE!</v>
      </c>
      <c r="L81" s="2234"/>
    </row>
    <row r="82" spans="1:19" outlineLevel="1">
      <c r="A82" s="758"/>
      <c r="B82" s="1328">
        <v>-10</v>
      </c>
      <c r="C82" s="1328">
        <v>0</v>
      </c>
      <c r="D82" s="1328">
        <v>10</v>
      </c>
      <c r="E82" s="1328">
        <v>5</v>
      </c>
      <c r="F82" s="1339">
        <v>-10.01</v>
      </c>
      <c r="G82" s="1330">
        <v>-0.2</v>
      </c>
      <c r="H82" s="1336">
        <f t="shared" si="5"/>
        <v>-9.9999999999997868E-3</v>
      </c>
      <c r="I82" s="1337">
        <f t="shared" si="5"/>
        <v>-0.2</v>
      </c>
      <c r="J82" s="1336" t="e">
        <f>(ABS(F82/100)*$E$4+0.000291*ABS(G82)*$E$4+D82*$E$4*0.1)*100</f>
        <v>#VALUE!</v>
      </c>
      <c r="K82" s="1337" t="e">
        <f>(3438*ABS(F82/100)*$E$4+ABS(G82)*$E$4+E82*$E$4*0.1)</f>
        <v>#VALUE!</v>
      </c>
      <c r="L82" s="2234"/>
    </row>
    <row r="83" spans="1:19" outlineLevel="1">
      <c r="A83" s="1340"/>
      <c r="B83" s="1328">
        <v>5</v>
      </c>
      <c r="C83" s="1328">
        <v>5</v>
      </c>
      <c r="D83" s="1330">
        <v>9.9900000000000003E-2</v>
      </c>
      <c r="E83" s="1328">
        <v>0.5</v>
      </c>
      <c r="F83" s="1328">
        <v>4.99</v>
      </c>
      <c r="G83" s="1338">
        <v>5.2</v>
      </c>
      <c r="H83" s="1336">
        <f t="shared" si="5"/>
        <v>-9.9999999999997868E-3</v>
      </c>
      <c r="I83" s="1337">
        <f t="shared" si="5"/>
        <v>0.20000000000000018</v>
      </c>
      <c r="J83" s="1336" t="e">
        <f>(ABS(F83/100)*$E$4+0.000291*ABS(G83)*$E$4+D83*$E$4*0.1)*100</f>
        <v>#VALUE!</v>
      </c>
      <c r="K83" s="1341" t="e">
        <f>(3438*ABS(F83/100)*$E$4+ABS(G83)*$E$4+E83*$E$4*0.1)</f>
        <v>#VALUE!</v>
      </c>
      <c r="L83" s="2234"/>
    </row>
    <row r="84" spans="1:19" outlineLevel="1">
      <c r="A84" s="1342"/>
      <c r="B84" s="1328">
        <v>-5</v>
      </c>
      <c r="C84" s="1328">
        <v>-5</v>
      </c>
      <c r="D84" s="1330">
        <v>9.9900000000000003E-2</v>
      </c>
      <c r="E84" s="1328">
        <v>0.5</v>
      </c>
      <c r="F84" s="1328">
        <v>-5</v>
      </c>
      <c r="G84" s="1338">
        <v>-5.0999999999999996</v>
      </c>
      <c r="H84" s="1336">
        <f t="shared" si="5"/>
        <v>0</v>
      </c>
      <c r="I84" s="1337">
        <f t="shared" si="5"/>
        <v>-9.9999999999999645E-2</v>
      </c>
      <c r="J84" s="1336" t="e">
        <f t="shared" ref="J84:J90" si="6">(ABS(F84/100)*$E$4+0.000291*ABS(G84)*$E$4+D84*$E$4*0.1)*100</f>
        <v>#VALUE!</v>
      </c>
      <c r="K84" s="1341" t="e">
        <f t="shared" ref="K84:K90" si="7">(3438*ABS(F84/100)*$E$4+ABS(G84)*$E$4+E84*$E$4*0.1)</f>
        <v>#VALUE!</v>
      </c>
      <c r="L84" s="2234"/>
    </row>
    <row r="85" spans="1:19" outlineLevel="1">
      <c r="A85" s="1334" t="s">
        <v>3353</v>
      </c>
      <c r="B85" s="1328">
        <v>10</v>
      </c>
      <c r="C85" s="1328">
        <v>10</v>
      </c>
      <c r="D85" s="1328">
        <v>0.999</v>
      </c>
      <c r="E85" s="1328">
        <v>5</v>
      </c>
      <c r="F85" s="1328">
        <v>10</v>
      </c>
      <c r="G85" s="1338">
        <v>10.5</v>
      </c>
      <c r="H85" s="1336">
        <f t="shared" si="5"/>
        <v>0</v>
      </c>
      <c r="I85" s="1337">
        <f>G85-C85</f>
        <v>0.5</v>
      </c>
      <c r="J85" s="1336" t="e">
        <f t="shared" si="6"/>
        <v>#VALUE!</v>
      </c>
      <c r="K85" s="1341" t="e">
        <f t="shared" si="7"/>
        <v>#VALUE!</v>
      </c>
      <c r="L85" s="2234"/>
    </row>
    <row r="86" spans="1:19" outlineLevel="1">
      <c r="A86" s="1334" t="s">
        <v>3355</v>
      </c>
      <c r="B86" s="1328">
        <v>-10</v>
      </c>
      <c r="C86" s="1328">
        <v>-10</v>
      </c>
      <c r="D86" s="1328">
        <v>0.999</v>
      </c>
      <c r="E86" s="1328">
        <v>5</v>
      </c>
      <c r="F86" s="1328">
        <v>-10</v>
      </c>
      <c r="G86" s="1338">
        <v>-10.199999999999999</v>
      </c>
      <c r="H86" s="1336">
        <f t="shared" si="5"/>
        <v>0</v>
      </c>
      <c r="I86" s="1337">
        <f t="shared" si="5"/>
        <v>-0.19999999999999929</v>
      </c>
      <c r="J86" s="1336" t="e">
        <f t="shared" si="6"/>
        <v>#VALUE!</v>
      </c>
      <c r="K86" s="1341" t="e">
        <f t="shared" si="7"/>
        <v>#VALUE!</v>
      </c>
      <c r="L86" s="2234"/>
    </row>
    <row r="87" spans="1:19" outlineLevel="1">
      <c r="A87" s="1342"/>
      <c r="B87" s="1328">
        <v>0.1</v>
      </c>
      <c r="C87" s="1328">
        <v>0.5</v>
      </c>
      <c r="D87" s="1338">
        <v>9.99</v>
      </c>
      <c r="E87" s="1328">
        <v>50</v>
      </c>
      <c r="F87" s="1330">
        <v>0.10009999999999999</v>
      </c>
      <c r="G87" s="1330">
        <v>0.502</v>
      </c>
      <c r="H87" s="1336">
        <f t="shared" si="5"/>
        <v>9.9999999999988987E-5</v>
      </c>
      <c r="I87" s="1337">
        <f t="shared" si="5"/>
        <v>2.0000000000000018E-3</v>
      </c>
      <c r="J87" s="1336" t="e">
        <f t="shared" si="6"/>
        <v>#VALUE!</v>
      </c>
      <c r="K87" s="1341" t="e">
        <f t="shared" si="7"/>
        <v>#VALUE!</v>
      </c>
      <c r="L87" s="2234"/>
    </row>
    <row r="88" spans="1:19" outlineLevel="1">
      <c r="A88" s="1342"/>
      <c r="B88" s="1328">
        <v>-0.1</v>
      </c>
      <c r="C88" s="1328">
        <v>-0.5</v>
      </c>
      <c r="D88" s="1330">
        <v>9.9900000000000003E-2</v>
      </c>
      <c r="E88" s="1328">
        <v>0.5</v>
      </c>
      <c r="F88" s="1335">
        <v>-0.1</v>
      </c>
      <c r="G88" s="1330">
        <v>-0.505</v>
      </c>
      <c r="H88" s="1336">
        <f t="shared" si="5"/>
        <v>0</v>
      </c>
      <c r="I88" s="1337">
        <f t="shared" si="5"/>
        <v>-5.0000000000000044E-3</v>
      </c>
      <c r="J88" s="1336" t="e">
        <f t="shared" si="6"/>
        <v>#VALUE!</v>
      </c>
      <c r="K88" s="1341" t="e">
        <f t="shared" si="7"/>
        <v>#VALUE!</v>
      </c>
      <c r="L88" s="2234"/>
    </row>
    <row r="89" spans="1:19" outlineLevel="1">
      <c r="A89" s="1342"/>
      <c r="B89" s="1328">
        <v>10</v>
      </c>
      <c r="C89" s="1328">
        <v>0</v>
      </c>
      <c r="D89" s="1330">
        <v>9.9900000000000003E-2</v>
      </c>
      <c r="E89" s="1328">
        <v>0.5</v>
      </c>
      <c r="F89" s="1328">
        <v>10</v>
      </c>
      <c r="G89" s="1338">
        <v>0.6</v>
      </c>
      <c r="H89" s="1336">
        <f t="shared" si="5"/>
        <v>0</v>
      </c>
      <c r="I89" s="1337">
        <f t="shared" si="5"/>
        <v>0.6</v>
      </c>
      <c r="J89" s="1336" t="e">
        <f t="shared" si="6"/>
        <v>#VALUE!</v>
      </c>
      <c r="K89" s="1341" t="e">
        <f t="shared" si="7"/>
        <v>#VALUE!</v>
      </c>
      <c r="L89" s="2234"/>
    </row>
    <row r="90" spans="1:19" outlineLevel="1">
      <c r="A90" s="1343"/>
      <c r="B90" s="1328">
        <v>-10</v>
      </c>
      <c r="C90" s="1328">
        <v>0</v>
      </c>
      <c r="D90" s="1330">
        <v>9.9900000000000003E-2</v>
      </c>
      <c r="E90" s="1328">
        <v>0.5</v>
      </c>
      <c r="F90" s="1328">
        <v>-10</v>
      </c>
      <c r="G90" s="1338">
        <v>-0.3</v>
      </c>
      <c r="H90" s="1336">
        <f t="shared" si="5"/>
        <v>0</v>
      </c>
      <c r="I90" s="1337">
        <f t="shared" si="5"/>
        <v>-0.3</v>
      </c>
      <c r="J90" s="1336" t="e">
        <f t="shared" si="6"/>
        <v>#VALUE!</v>
      </c>
      <c r="K90" s="1341" t="e">
        <f t="shared" si="7"/>
        <v>#VALUE!</v>
      </c>
      <c r="L90" s="2234"/>
    </row>
    <row r="92" spans="1:19" ht="15" thickBot="1"/>
    <row r="93" spans="1:19">
      <c r="A93" s="3838" t="s">
        <v>3356</v>
      </c>
      <c r="B93" s="3839"/>
      <c r="C93" s="3839"/>
      <c r="D93" s="3839"/>
      <c r="E93" s="3839"/>
      <c r="F93" s="3839"/>
      <c r="G93" s="3839"/>
      <c r="H93" s="3839"/>
      <c r="I93" s="3840"/>
    </row>
    <row r="94" spans="1:19" ht="15" thickBot="1">
      <c r="A94" s="3841"/>
      <c r="B94" s="3842"/>
      <c r="C94" s="3842"/>
      <c r="D94" s="3842"/>
      <c r="E94" s="3842"/>
      <c r="F94" s="3842"/>
      <c r="G94" s="3842"/>
      <c r="H94" s="3842"/>
      <c r="I94" s="3843"/>
    </row>
    <row r="95" spans="1:19" ht="15" outlineLevel="1" thickBot="1">
      <c r="A95" s="703" t="s">
        <v>3357</v>
      </c>
      <c r="J95" s="702" t="s">
        <v>2315</v>
      </c>
      <c r="O95" s="702" t="s">
        <v>2314</v>
      </c>
    </row>
    <row r="96" spans="1:19" ht="15.75" customHeight="1" outlineLevel="1">
      <c r="A96" s="3844" t="s">
        <v>3358</v>
      </c>
      <c r="B96" s="3845"/>
      <c r="C96" s="3845"/>
      <c r="D96" s="3845"/>
      <c r="E96" s="2298"/>
      <c r="J96" s="2234" t="s">
        <v>3359</v>
      </c>
      <c r="K96" s="2234"/>
      <c r="L96" s="2234"/>
      <c r="M96" s="2234"/>
      <c r="O96" s="3844" t="s">
        <v>3359</v>
      </c>
      <c r="P96" s="3845"/>
      <c r="Q96" s="3845"/>
      <c r="R96" s="3845"/>
      <c r="S96" s="2298"/>
    </row>
    <row r="97" spans="1:19" ht="15" outlineLevel="1" thickBot="1">
      <c r="A97" s="3846"/>
      <c r="B97" s="3847"/>
      <c r="C97" s="3847"/>
      <c r="D97" s="3847"/>
      <c r="E97" s="2298"/>
      <c r="J97" s="2234"/>
      <c r="K97" s="2234"/>
      <c r="L97" s="2234"/>
      <c r="M97" s="2234"/>
      <c r="O97" s="3846"/>
      <c r="P97" s="3847"/>
      <c r="Q97" s="3847"/>
      <c r="R97" s="3847"/>
      <c r="S97" s="2298"/>
    </row>
    <row r="98" spans="1:19" ht="43.5" customHeight="1" outlineLevel="1" thickBot="1">
      <c r="A98" s="3830" t="s">
        <v>3360</v>
      </c>
      <c r="B98" s="3831"/>
      <c r="C98" s="3830" t="s">
        <v>3361</v>
      </c>
      <c r="D98" s="3831"/>
      <c r="E98" s="2952" t="s">
        <v>2618</v>
      </c>
      <c r="J98" s="2234" t="s">
        <v>3360</v>
      </c>
      <c r="K98" s="2234"/>
      <c r="L98" s="2234" t="s">
        <v>3361</v>
      </c>
      <c r="M98" s="2234"/>
      <c r="O98" s="3830" t="s">
        <v>3360</v>
      </c>
      <c r="P98" s="3831"/>
      <c r="Q98" s="3830" t="s">
        <v>3361</v>
      </c>
      <c r="R98" s="3832"/>
      <c r="S98" s="2431" t="s">
        <v>2618</v>
      </c>
    </row>
    <row r="99" spans="1:19" ht="15" customHeight="1" outlineLevel="1" thickBot="1">
      <c r="A99" s="331" t="s">
        <v>3362</v>
      </c>
      <c r="B99" s="332" t="s">
        <v>3363</v>
      </c>
      <c r="C99" s="332" t="s">
        <v>3362</v>
      </c>
      <c r="D99" s="332" t="s">
        <v>3363</v>
      </c>
      <c r="E99" s="2952"/>
      <c r="G99" s="3838" t="s">
        <v>3364</v>
      </c>
      <c r="H99" s="3889"/>
      <c r="I99" s="3889"/>
      <c r="J99" s="2" t="s">
        <v>3362</v>
      </c>
      <c r="K99" s="2" t="s">
        <v>3363</v>
      </c>
      <c r="L99" s="2" t="s">
        <v>3362</v>
      </c>
      <c r="M99" s="2" t="s">
        <v>3363</v>
      </c>
      <c r="O99" s="331" t="s">
        <v>3362</v>
      </c>
      <c r="P99" s="332" t="s">
        <v>3363</v>
      </c>
      <c r="Q99" s="332" t="s">
        <v>3362</v>
      </c>
      <c r="R99" s="1344" t="s">
        <v>3363</v>
      </c>
      <c r="S99" s="2431"/>
    </row>
    <row r="100" spans="1:19" ht="16.5" outlineLevel="1" thickBot="1">
      <c r="A100" s="333">
        <v>0.01</v>
      </c>
      <c r="B100" s="334">
        <v>0</v>
      </c>
      <c r="C100" s="334">
        <v>0.01</v>
      </c>
      <c r="D100" s="334">
        <v>0</v>
      </c>
      <c r="E100" s="1749" t="s">
        <v>3500</v>
      </c>
      <c r="G100" s="3892"/>
      <c r="H100" s="3893"/>
      <c r="I100" s="3893"/>
      <c r="J100" s="2">
        <v>0.01</v>
      </c>
      <c r="K100" s="2">
        <v>0</v>
      </c>
      <c r="L100" s="2">
        <v>0.01</v>
      </c>
      <c r="M100" s="2">
        <v>0</v>
      </c>
      <c r="O100" s="333">
        <v>0.01</v>
      </c>
      <c r="P100" s="334">
        <v>0</v>
      </c>
      <c r="Q100" s="334">
        <v>0.01</v>
      </c>
      <c r="R100" s="1345">
        <v>0</v>
      </c>
      <c r="S100" s="1749" t="s">
        <v>3501</v>
      </c>
    </row>
    <row r="101" spans="1:19" ht="16.5" outlineLevel="1" thickBot="1">
      <c r="A101" s="333">
        <v>0.03</v>
      </c>
      <c r="B101" s="334">
        <v>0</v>
      </c>
      <c r="C101" s="334">
        <v>0.03</v>
      </c>
      <c r="D101" s="334">
        <v>0</v>
      </c>
      <c r="E101" s="2298"/>
      <c r="G101" s="3892"/>
      <c r="H101" s="3893"/>
      <c r="I101" s="3893"/>
      <c r="J101" s="2">
        <v>0.03</v>
      </c>
      <c r="K101" s="2">
        <v>0</v>
      </c>
      <c r="L101" s="2">
        <v>0.03</v>
      </c>
      <c r="M101" s="2">
        <v>0</v>
      </c>
      <c r="O101" s="333">
        <v>0.03</v>
      </c>
      <c r="P101" s="334">
        <v>0</v>
      </c>
      <c r="Q101" s="334">
        <v>0.03</v>
      </c>
      <c r="R101" s="1345">
        <v>0</v>
      </c>
      <c r="S101" s="2298"/>
    </row>
    <row r="102" spans="1:19" ht="16.5" outlineLevel="1" thickBot="1">
      <c r="A102" s="333">
        <v>0.05</v>
      </c>
      <c r="B102" s="334">
        <v>0</v>
      </c>
      <c r="C102" s="334">
        <v>5.0999999999999997E-2</v>
      </c>
      <c r="D102" s="334">
        <v>0</v>
      </c>
      <c r="E102" s="2298"/>
      <c r="G102" s="3892"/>
      <c r="H102" s="3893"/>
      <c r="I102" s="3893"/>
      <c r="J102" s="2">
        <v>0.05</v>
      </c>
      <c r="K102" s="2">
        <v>0</v>
      </c>
      <c r="L102" s="2">
        <v>5.0999999999999997E-2</v>
      </c>
      <c r="M102" s="2">
        <v>0</v>
      </c>
      <c r="O102" s="333">
        <v>0.05</v>
      </c>
      <c r="P102" s="334">
        <v>0</v>
      </c>
      <c r="Q102" s="334">
        <v>5.0999999999999997E-2</v>
      </c>
      <c r="R102" s="1345">
        <v>0</v>
      </c>
      <c r="S102" s="2298"/>
    </row>
    <row r="103" spans="1:19" ht="16.5" outlineLevel="1" thickBot="1">
      <c r="A103" s="333">
        <v>7.0000000000000007E-2</v>
      </c>
      <c r="B103" s="334">
        <v>0</v>
      </c>
      <c r="C103" s="334">
        <v>7.1999999999999995E-2</v>
      </c>
      <c r="D103" s="334">
        <v>-1E-3</v>
      </c>
      <c r="E103" s="2298"/>
      <c r="G103" s="3892"/>
      <c r="H103" s="3893"/>
      <c r="I103" s="3893"/>
      <c r="J103" s="2">
        <v>7.0000000000000007E-2</v>
      </c>
      <c r="K103" s="2">
        <v>0</v>
      </c>
      <c r="L103" s="2">
        <v>7.1999999999999995E-2</v>
      </c>
      <c r="M103" s="2">
        <v>-1E-3</v>
      </c>
      <c r="O103" s="333">
        <v>7.0000000000000007E-2</v>
      </c>
      <c r="P103" s="334">
        <v>0</v>
      </c>
      <c r="Q103" s="334">
        <v>7.1999999999999995E-2</v>
      </c>
      <c r="R103" s="1345">
        <v>-1E-3</v>
      </c>
      <c r="S103" s="2298"/>
    </row>
    <row r="104" spans="1:19" ht="16.5" outlineLevel="1" thickBot="1">
      <c r="A104" s="333">
        <v>0.1</v>
      </c>
      <c r="B104" s="334">
        <v>0</v>
      </c>
      <c r="C104" s="334">
        <v>0.10199999999999999</v>
      </c>
      <c r="D104" s="334">
        <v>-1E-3</v>
      </c>
      <c r="E104" s="2298"/>
      <c r="G104" s="3892"/>
      <c r="H104" s="3893"/>
      <c r="I104" s="3893"/>
      <c r="J104" s="2">
        <v>0.1</v>
      </c>
      <c r="K104" s="2">
        <v>0</v>
      </c>
      <c r="L104" s="2">
        <v>0.10199999999999999</v>
      </c>
      <c r="M104" s="2">
        <v>-1E-3</v>
      </c>
      <c r="O104" s="333">
        <v>0.1</v>
      </c>
      <c r="P104" s="334">
        <v>0</v>
      </c>
      <c r="Q104" s="334">
        <v>0.10199999999999999</v>
      </c>
      <c r="R104" s="1345">
        <v>-1E-3</v>
      </c>
      <c r="S104" s="2298"/>
    </row>
    <row r="105" spans="1:19" ht="16.5" outlineLevel="1" thickBot="1">
      <c r="A105" s="333">
        <v>0.3</v>
      </c>
      <c r="B105" s="334">
        <v>0</v>
      </c>
      <c r="C105" s="334">
        <v>0.308</v>
      </c>
      <c r="D105" s="334">
        <v>-2E-3</v>
      </c>
      <c r="E105" s="2298"/>
      <c r="G105" s="3892"/>
      <c r="H105" s="3893"/>
      <c r="I105" s="3893"/>
      <c r="J105" s="2">
        <v>0.3</v>
      </c>
      <c r="K105" s="2">
        <v>0</v>
      </c>
      <c r="L105" s="2">
        <v>0.308</v>
      </c>
      <c r="M105" s="2">
        <v>-2E-3</v>
      </c>
      <c r="O105" s="333">
        <v>0.3</v>
      </c>
      <c r="P105" s="334">
        <v>0</v>
      </c>
      <c r="Q105" s="334">
        <v>0.308</v>
      </c>
      <c r="R105" s="1345">
        <v>-2E-3</v>
      </c>
      <c r="S105" s="2298"/>
    </row>
    <row r="106" spans="1:19" ht="16.5" outlineLevel="1" thickBot="1">
      <c r="A106" s="333">
        <v>0.5</v>
      </c>
      <c r="B106" s="334">
        <v>0</v>
      </c>
      <c r="C106" s="334">
        <v>0.51400000000000001</v>
      </c>
      <c r="D106" s="334">
        <v>-2E-3</v>
      </c>
      <c r="E106" s="2298"/>
      <c r="G106" s="3892"/>
      <c r="H106" s="3893"/>
      <c r="I106" s="3893"/>
      <c r="J106" s="2">
        <v>0.5</v>
      </c>
      <c r="K106" s="2">
        <v>0</v>
      </c>
      <c r="L106" s="2">
        <v>0.51400000000000001</v>
      </c>
      <c r="M106" s="2">
        <v>-2E-3</v>
      </c>
      <c r="O106" s="333">
        <v>0.5</v>
      </c>
      <c r="P106" s="334">
        <v>0</v>
      </c>
      <c r="Q106" s="334">
        <v>0.51400000000000001</v>
      </c>
      <c r="R106" s="1345">
        <v>-2E-3</v>
      </c>
      <c r="S106" s="2298"/>
    </row>
    <row r="107" spans="1:19" ht="16.5" outlineLevel="1" thickBot="1">
      <c r="A107" s="333">
        <v>1</v>
      </c>
      <c r="B107" s="334">
        <v>0</v>
      </c>
      <c r="C107" s="334">
        <v>1.028</v>
      </c>
      <c r="D107" s="334">
        <v>-4.0000000000000001E-3</v>
      </c>
      <c r="E107" s="2298"/>
      <c r="G107" s="1346"/>
      <c r="H107" s="1347"/>
      <c r="I107" s="1347"/>
      <c r="J107" s="2">
        <v>1</v>
      </c>
      <c r="K107" s="2">
        <v>0</v>
      </c>
      <c r="L107" s="2">
        <v>1.028</v>
      </c>
      <c r="M107" s="2">
        <v>-4.0000000000000001E-3</v>
      </c>
      <c r="O107" s="333">
        <v>1</v>
      </c>
      <c r="P107" s="334">
        <v>0</v>
      </c>
      <c r="Q107" s="334">
        <v>1.028</v>
      </c>
      <c r="R107" s="1345">
        <v>-4.0000000000000001E-3</v>
      </c>
      <c r="S107" s="2298"/>
    </row>
    <row r="108" spans="1:19" ht="16.5" outlineLevel="1" thickBot="1">
      <c r="A108" s="333">
        <v>0</v>
      </c>
      <c r="B108" s="334">
        <v>0.01</v>
      </c>
      <c r="C108" s="334">
        <v>-1E-3</v>
      </c>
      <c r="D108" s="334">
        <v>0.01</v>
      </c>
      <c r="E108" s="2298"/>
      <c r="G108" s="3838" t="s">
        <v>3365</v>
      </c>
      <c r="H108" s="3889"/>
      <c r="I108" s="3889"/>
      <c r="J108" s="2">
        <v>0</v>
      </c>
      <c r="K108" s="2">
        <v>0.01</v>
      </c>
      <c r="L108" s="2">
        <v>-1E-3</v>
      </c>
      <c r="M108" s="2">
        <v>0.01</v>
      </c>
      <c r="O108" s="333">
        <v>0</v>
      </c>
      <c r="P108" s="334">
        <v>0.01</v>
      </c>
      <c r="Q108" s="334">
        <v>-1E-3</v>
      </c>
      <c r="R108" s="1345">
        <v>0.01</v>
      </c>
      <c r="S108" s="2298"/>
    </row>
    <row r="109" spans="1:19" ht="16.5" outlineLevel="1" thickBot="1">
      <c r="A109" s="333">
        <v>0</v>
      </c>
      <c r="B109" s="334">
        <v>0.03</v>
      </c>
      <c r="C109" s="334">
        <v>-1E-3</v>
      </c>
      <c r="D109" s="334">
        <v>0.03</v>
      </c>
      <c r="E109" s="2298"/>
      <c r="G109" s="3892"/>
      <c r="H109" s="3893"/>
      <c r="I109" s="3893"/>
      <c r="J109" s="2">
        <v>0</v>
      </c>
      <c r="K109" s="2">
        <v>0.03</v>
      </c>
      <c r="L109" s="2">
        <v>-1E-3</v>
      </c>
      <c r="M109" s="2">
        <v>0.03</v>
      </c>
      <c r="O109" s="333">
        <v>0</v>
      </c>
      <c r="P109" s="334">
        <v>0.03</v>
      </c>
      <c r="Q109" s="334">
        <v>-1E-3</v>
      </c>
      <c r="R109" s="1345">
        <v>0.03</v>
      </c>
      <c r="S109" s="2298"/>
    </row>
    <row r="110" spans="1:19" ht="16.5" outlineLevel="1" thickBot="1">
      <c r="A110" s="333">
        <v>0</v>
      </c>
      <c r="B110" s="334">
        <v>0.05</v>
      </c>
      <c r="C110" s="334">
        <v>-1E-3</v>
      </c>
      <c r="D110" s="334">
        <v>0.05</v>
      </c>
      <c r="E110" s="2298"/>
      <c r="G110" s="3894"/>
      <c r="H110" s="3895"/>
      <c r="I110" s="3895"/>
      <c r="J110" s="2">
        <v>0</v>
      </c>
      <c r="K110" s="2">
        <v>0.05</v>
      </c>
      <c r="L110" s="2">
        <v>-1E-3</v>
      </c>
      <c r="M110" s="2">
        <v>0.05</v>
      </c>
      <c r="O110" s="333">
        <v>0</v>
      </c>
      <c r="P110" s="334">
        <v>0.05</v>
      </c>
      <c r="Q110" s="334">
        <v>-1E-3</v>
      </c>
      <c r="R110" s="1345">
        <v>0.05</v>
      </c>
      <c r="S110" s="2298"/>
    </row>
    <row r="111" spans="1:19" ht="16.5" outlineLevel="1" thickBot="1">
      <c r="A111" s="333">
        <v>0</v>
      </c>
      <c r="B111" s="334">
        <v>7.0000000000000007E-2</v>
      </c>
      <c r="C111" s="334">
        <v>-2E-3</v>
      </c>
      <c r="D111" s="334">
        <v>7.0999999999999994E-2</v>
      </c>
      <c r="E111" s="2298"/>
      <c r="J111" s="2">
        <v>0</v>
      </c>
      <c r="K111" s="2">
        <v>7.0000000000000007E-2</v>
      </c>
      <c r="L111" s="2">
        <v>-2E-3</v>
      </c>
      <c r="M111" s="2">
        <v>7.0999999999999994E-2</v>
      </c>
      <c r="O111" s="333">
        <v>0</v>
      </c>
      <c r="P111" s="334">
        <v>7.0000000000000007E-2</v>
      </c>
      <c r="Q111" s="334">
        <v>-2E-3</v>
      </c>
      <c r="R111" s="1345">
        <v>7.0999999999999994E-2</v>
      </c>
      <c r="S111" s="2298"/>
    </row>
    <row r="112" spans="1:19" ht="16.5" outlineLevel="1" thickBot="1">
      <c r="A112" s="333">
        <v>0</v>
      </c>
      <c r="B112" s="334">
        <v>0.1</v>
      </c>
      <c r="C112" s="334">
        <v>-2E-3</v>
      </c>
      <c r="D112" s="334">
        <v>0.10100000000000001</v>
      </c>
      <c r="E112" s="2298"/>
      <c r="J112" s="2">
        <v>0</v>
      </c>
      <c r="K112" s="2">
        <v>0.1</v>
      </c>
      <c r="L112" s="2">
        <v>-2E-3</v>
      </c>
      <c r="M112" s="2">
        <v>0.10100000000000001</v>
      </c>
      <c r="O112" s="333">
        <v>0</v>
      </c>
      <c r="P112" s="334">
        <v>0.1</v>
      </c>
      <c r="Q112" s="334">
        <v>-2E-3</v>
      </c>
      <c r="R112" s="1345">
        <v>0.10100000000000001</v>
      </c>
      <c r="S112" s="2298"/>
    </row>
    <row r="113" spans="1:19" ht="16.5" outlineLevel="1" thickBot="1">
      <c r="A113" s="333">
        <v>0</v>
      </c>
      <c r="B113" s="334">
        <v>0.3</v>
      </c>
      <c r="C113" s="334">
        <v>-4.0000000000000001E-3</v>
      </c>
      <c r="D113" s="334">
        <v>0.30299999999999999</v>
      </c>
      <c r="E113" s="2298"/>
      <c r="J113" s="2">
        <v>0</v>
      </c>
      <c r="K113" s="2">
        <v>0.3</v>
      </c>
      <c r="L113" s="2">
        <v>-4.0000000000000001E-3</v>
      </c>
      <c r="M113" s="2">
        <v>0.30299999999999999</v>
      </c>
      <c r="O113" s="333">
        <v>0</v>
      </c>
      <c r="P113" s="334">
        <v>0.3</v>
      </c>
      <c r="Q113" s="334">
        <v>-4.0000000000000001E-3</v>
      </c>
      <c r="R113" s="1345">
        <v>0.30299999999999999</v>
      </c>
      <c r="S113" s="2298"/>
    </row>
    <row r="114" spans="1:19" ht="16.5" outlineLevel="1" thickBot="1">
      <c r="A114" s="333">
        <v>0</v>
      </c>
      <c r="B114" s="334">
        <v>0.5</v>
      </c>
      <c r="C114" s="334">
        <v>-6.0000000000000001E-3</v>
      </c>
      <c r="D114" s="334">
        <v>0.505</v>
      </c>
      <c r="E114" s="2298"/>
      <c r="J114" s="2">
        <v>0</v>
      </c>
      <c r="K114" s="2">
        <v>0.5</v>
      </c>
      <c r="L114" s="2">
        <v>-6.0000000000000001E-3</v>
      </c>
      <c r="M114" s="2">
        <v>0.505</v>
      </c>
      <c r="O114" s="333">
        <v>0</v>
      </c>
      <c r="P114" s="334">
        <v>0.5</v>
      </c>
      <c r="Q114" s="334">
        <v>-6.0000000000000001E-3</v>
      </c>
      <c r="R114" s="1345">
        <v>0.505</v>
      </c>
      <c r="S114" s="2298"/>
    </row>
    <row r="115" spans="1:19" ht="16.5" outlineLevel="1" thickBot="1">
      <c r="A115" s="333">
        <v>0</v>
      </c>
      <c r="B115" s="334">
        <v>1</v>
      </c>
      <c r="C115" s="334">
        <v>-1.2E-2</v>
      </c>
      <c r="D115" s="334">
        <v>1.012</v>
      </c>
      <c r="E115" s="2298"/>
      <c r="J115" s="2">
        <v>0</v>
      </c>
      <c r="K115" s="2">
        <v>1</v>
      </c>
      <c r="L115" s="2">
        <v>-1.2E-2</v>
      </c>
      <c r="M115" s="2">
        <v>1.012</v>
      </c>
      <c r="O115" s="333">
        <v>0</v>
      </c>
      <c r="P115" s="334">
        <v>1</v>
      </c>
      <c r="Q115" s="334">
        <v>-1.2E-2</v>
      </c>
      <c r="R115" s="1345">
        <v>1.012</v>
      </c>
      <c r="S115" s="2298"/>
    </row>
    <row r="116" spans="1:19" ht="16.5" outlineLevel="1" thickBot="1">
      <c r="A116" s="333">
        <v>0.1</v>
      </c>
      <c r="B116" s="334">
        <v>0.1</v>
      </c>
      <c r="C116" s="334">
        <v>0.10100000000000001</v>
      </c>
      <c r="D116" s="334">
        <v>0.1</v>
      </c>
      <c r="E116" s="2298"/>
      <c r="J116" s="2">
        <v>0.1</v>
      </c>
      <c r="K116" s="2">
        <v>0.1</v>
      </c>
      <c r="L116" s="2">
        <v>0.10100000000000001</v>
      </c>
      <c r="M116" s="2">
        <v>0.1</v>
      </c>
      <c r="O116" s="333">
        <v>0.1</v>
      </c>
      <c r="P116" s="334">
        <v>0.1</v>
      </c>
      <c r="Q116" s="334">
        <v>0.10100000000000001</v>
      </c>
      <c r="R116" s="1345">
        <v>0.1</v>
      </c>
      <c r="S116" s="2298"/>
    </row>
    <row r="117" spans="1:19" ht="15" thickBot="1">
      <c r="A117" t="s">
        <v>3366</v>
      </c>
      <c r="J117" s="702" t="s">
        <v>2315</v>
      </c>
      <c r="O117" s="702" t="s">
        <v>2314</v>
      </c>
    </row>
    <row r="118" spans="1:19" ht="15.75" customHeight="1" thickBot="1">
      <c r="A118" s="3828" t="s">
        <v>3367</v>
      </c>
      <c r="B118" s="3829"/>
      <c r="C118" s="3829"/>
      <c r="D118" s="3829"/>
      <c r="E118" s="2"/>
      <c r="J118" s="3828" t="s">
        <v>578</v>
      </c>
      <c r="K118" s="3829"/>
      <c r="L118" s="3829"/>
      <c r="M118" s="3829"/>
      <c r="O118" s="3828" t="s">
        <v>578</v>
      </c>
      <c r="P118" s="3829"/>
      <c r="Q118" s="3829"/>
      <c r="R118" s="3829"/>
      <c r="S118" s="2"/>
    </row>
    <row r="119" spans="1:19" ht="15" customHeight="1" thickBot="1">
      <c r="A119" s="3830" t="s">
        <v>3368</v>
      </c>
      <c r="B119" s="3831"/>
      <c r="C119" s="3830" t="s">
        <v>3369</v>
      </c>
      <c r="D119" s="3831"/>
      <c r="E119" s="2952" t="s">
        <v>2618</v>
      </c>
      <c r="J119" s="3830" t="s">
        <v>3368</v>
      </c>
      <c r="K119" s="3831"/>
      <c r="L119" s="3830" t="s">
        <v>3369</v>
      </c>
      <c r="M119" s="3831"/>
      <c r="O119" s="3830" t="s">
        <v>3368</v>
      </c>
      <c r="P119" s="3831"/>
      <c r="Q119" s="3830" t="s">
        <v>3369</v>
      </c>
      <c r="R119" s="3831"/>
      <c r="S119" s="2952" t="s">
        <v>2618</v>
      </c>
    </row>
    <row r="120" spans="1:19" ht="15" thickBot="1">
      <c r="A120" s="331" t="s">
        <v>3370</v>
      </c>
      <c r="B120" s="332" t="s">
        <v>3371</v>
      </c>
      <c r="C120" s="332" t="s">
        <v>3372</v>
      </c>
      <c r="D120" s="332" t="s">
        <v>3373</v>
      </c>
      <c r="E120" s="2952"/>
      <c r="J120" s="331" t="s">
        <v>3370</v>
      </c>
      <c r="K120" s="332" t="s">
        <v>3371</v>
      </c>
      <c r="L120" s="332" t="s">
        <v>3372</v>
      </c>
      <c r="M120" s="332" t="s">
        <v>3373</v>
      </c>
      <c r="O120" s="331" t="s">
        <v>3370</v>
      </c>
      <c r="P120" s="332" t="s">
        <v>3371</v>
      </c>
      <c r="Q120" s="332" t="s">
        <v>3372</v>
      </c>
      <c r="R120" s="332" t="s">
        <v>3373</v>
      </c>
      <c r="S120" s="2952"/>
    </row>
    <row r="121" spans="1:19" ht="16.5" thickBot="1">
      <c r="A121" s="333">
        <v>0.01</v>
      </c>
      <c r="B121" s="334">
        <v>0</v>
      </c>
      <c r="C121" s="334">
        <v>0.01</v>
      </c>
      <c r="D121" s="334">
        <v>0</v>
      </c>
      <c r="E121" s="1749" t="s">
        <v>3493</v>
      </c>
      <c r="J121" s="333">
        <v>0.01</v>
      </c>
      <c r="K121" s="334">
        <v>0</v>
      </c>
      <c r="L121" s="334">
        <v>0.01</v>
      </c>
      <c r="M121" s="334">
        <v>0</v>
      </c>
      <c r="O121" s="333">
        <v>0.01</v>
      </c>
      <c r="P121" s="334">
        <v>0</v>
      </c>
      <c r="Q121" s="334">
        <v>0.01</v>
      </c>
      <c r="R121" s="334">
        <v>0</v>
      </c>
      <c r="S121" s="1749" t="s">
        <v>3501</v>
      </c>
    </row>
    <row r="122" spans="1:19" ht="16.5" thickBot="1">
      <c r="A122" s="333">
        <v>0.03</v>
      </c>
      <c r="B122" s="334">
        <v>0</v>
      </c>
      <c r="C122" s="334">
        <v>0.03</v>
      </c>
      <c r="D122" s="334">
        <v>0</v>
      </c>
      <c r="E122" s="2298"/>
      <c r="J122" s="333">
        <v>0.03</v>
      </c>
      <c r="K122" s="334">
        <v>0</v>
      </c>
      <c r="L122" s="334">
        <v>0.03</v>
      </c>
      <c r="M122" s="334">
        <v>0</v>
      </c>
      <c r="O122" s="333">
        <v>0.03</v>
      </c>
      <c r="P122" s="334">
        <v>0</v>
      </c>
      <c r="Q122" s="334">
        <v>0.03</v>
      </c>
      <c r="R122" s="334">
        <v>0</v>
      </c>
      <c r="S122" s="2298"/>
    </row>
    <row r="123" spans="1:19" ht="16.5" thickBot="1">
      <c r="A123" s="333">
        <v>0.05</v>
      </c>
      <c r="B123" s="334">
        <v>0</v>
      </c>
      <c r="C123" s="334">
        <v>0.05</v>
      </c>
      <c r="D123" s="334">
        <v>0</v>
      </c>
      <c r="E123" s="2298"/>
      <c r="J123" s="333">
        <v>0.05</v>
      </c>
      <c r="K123" s="334">
        <v>0</v>
      </c>
      <c r="L123" s="334">
        <v>0.05</v>
      </c>
      <c r="M123" s="334">
        <v>0</v>
      </c>
      <c r="O123" s="333">
        <v>0.05</v>
      </c>
      <c r="P123" s="334">
        <v>0</v>
      </c>
      <c r="Q123" s="334">
        <v>0.05</v>
      </c>
      <c r="R123" s="334">
        <v>0</v>
      </c>
      <c r="S123" s="2298"/>
    </row>
    <row r="124" spans="1:19" ht="16.5" thickBot="1">
      <c r="A124" s="333">
        <v>7.0000000000000007E-2</v>
      </c>
      <c r="B124" s="334">
        <v>0</v>
      </c>
      <c r="C124" s="334">
        <v>7.0000000000000007E-2</v>
      </c>
      <c r="D124" s="334">
        <v>-0.01</v>
      </c>
      <c r="E124" s="2298"/>
      <c r="J124" s="333">
        <v>7.0000000000000007E-2</v>
      </c>
      <c r="K124" s="334">
        <v>0</v>
      </c>
      <c r="L124" s="334">
        <v>7.0000000000000007E-2</v>
      </c>
      <c r="M124" s="334">
        <v>-0.01</v>
      </c>
      <c r="O124" s="333">
        <v>7.0000000000000007E-2</v>
      </c>
      <c r="P124" s="334">
        <v>0</v>
      </c>
      <c r="Q124" s="334">
        <v>7.0000000000000007E-2</v>
      </c>
      <c r="R124" s="334">
        <v>-0.01</v>
      </c>
      <c r="S124" s="2298"/>
    </row>
    <row r="125" spans="1:19" ht="16.5" thickBot="1">
      <c r="A125" s="333">
        <v>0.1</v>
      </c>
      <c r="B125" s="334">
        <v>0</v>
      </c>
      <c r="C125" s="334">
        <v>0.1</v>
      </c>
      <c r="D125" s="334">
        <v>0</v>
      </c>
      <c r="E125" s="2298"/>
      <c r="J125" s="333">
        <v>0.1</v>
      </c>
      <c r="K125" s="334">
        <v>0</v>
      </c>
      <c r="L125" s="334">
        <v>0.1</v>
      </c>
      <c r="M125" s="334">
        <v>0</v>
      </c>
      <c r="O125" s="333">
        <v>0.1</v>
      </c>
      <c r="P125" s="334">
        <v>0</v>
      </c>
      <c r="Q125" s="334">
        <v>0.1</v>
      </c>
      <c r="R125" s="334">
        <v>0</v>
      </c>
      <c r="S125" s="2298"/>
    </row>
    <row r="126" spans="1:19" ht="16.5" thickBot="1">
      <c r="A126" s="333">
        <v>0.3</v>
      </c>
      <c r="B126" s="334">
        <v>0</v>
      </c>
      <c r="C126" s="334">
        <v>0.31</v>
      </c>
      <c r="D126" s="334">
        <v>-0.01</v>
      </c>
      <c r="E126" s="2298"/>
      <c r="J126" s="333">
        <v>0.3</v>
      </c>
      <c r="K126" s="334">
        <v>0</v>
      </c>
      <c r="L126" s="334">
        <v>0.31</v>
      </c>
      <c r="M126" s="334">
        <v>-0.01</v>
      </c>
      <c r="O126" s="333">
        <v>0.3</v>
      </c>
      <c r="P126" s="334">
        <v>0</v>
      </c>
      <c r="Q126" s="334">
        <v>0.31</v>
      </c>
      <c r="R126" s="334">
        <v>-0.01</v>
      </c>
      <c r="S126" s="2298"/>
    </row>
    <row r="127" spans="1:19" ht="16.5" thickBot="1">
      <c r="A127" s="333">
        <v>0.5</v>
      </c>
      <c r="B127" s="334">
        <v>0</v>
      </c>
      <c r="C127" s="334">
        <v>0.51</v>
      </c>
      <c r="D127" s="334">
        <v>-0.01</v>
      </c>
      <c r="E127" s="2298"/>
      <c r="J127" s="333">
        <v>0.5</v>
      </c>
      <c r="K127" s="334">
        <v>0</v>
      </c>
      <c r="L127" s="334">
        <v>0.51</v>
      </c>
      <c r="M127" s="334">
        <v>-0.01</v>
      </c>
      <c r="O127" s="333">
        <v>0.5</v>
      </c>
      <c r="P127" s="334">
        <v>0</v>
      </c>
      <c r="Q127" s="334">
        <v>0.51</v>
      </c>
      <c r="R127" s="334">
        <v>-0.01</v>
      </c>
      <c r="S127" s="2298"/>
    </row>
    <row r="128" spans="1:19" ht="16.5" thickBot="1">
      <c r="A128" s="333">
        <v>1</v>
      </c>
      <c r="B128" s="334">
        <v>0</v>
      </c>
      <c r="C128" s="334">
        <v>1.02</v>
      </c>
      <c r="D128" s="334">
        <v>-0.02</v>
      </c>
      <c r="E128" s="2298"/>
      <c r="J128" s="333">
        <v>1</v>
      </c>
      <c r="K128" s="334">
        <v>0</v>
      </c>
      <c r="L128" s="334">
        <v>1.02</v>
      </c>
      <c r="M128" s="334">
        <v>-0.02</v>
      </c>
      <c r="O128" s="333">
        <v>1</v>
      </c>
      <c r="P128" s="334">
        <v>0</v>
      </c>
      <c r="Q128" s="334">
        <v>1.02</v>
      </c>
      <c r="R128" s="334">
        <v>-0.02</v>
      </c>
      <c r="S128" s="2298"/>
    </row>
    <row r="129" spans="1:19" ht="16.5" thickBot="1">
      <c r="A129" s="333">
        <v>0</v>
      </c>
      <c r="B129" s="334">
        <v>0.01</v>
      </c>
      <c r="C129" s="334">
        <v>0</v>
      </c>
      <c r="D129" s="334">
        <v>0.01</v>
      </c>
      <c r="E129" s="2298"/>
      <c r="J129" s="333">
        <v>0</v>
      </c>
      <c r="K129" s="334">
        <v>0.01</v>
      </c>
      <c r="L129" s="334">
        <v>0</v>
      </c>
      <c r="M129" s="334">
        <v>0.01</v>
      </c>
      <c r="O129" s="333">
        <v>0</v>
      </c>
      <c r="P129" s="334">
        <v>0.01</v>
      </c>
      <c r="Q129" s="334">
        <v>0</v>
      </c>
      <c r="R129" s="334">
        <v>0.01</v>
      </c>
      <c r="S129" s="2298"/>
    </row>
    <row r="130" spans="1:19" ht="16.5" thickBot="1">
      <c r="A130" s="333">
        <v>0</v>
      </c>
      <c r="B130" s="334">
        <v>0.03</v>
      </c>
      <c r="C130" s="334">
        <v>0</v>
      </c>
      <c r="D130" s="334">
        <v>2.3E-2</v>
      </c>
      <c r="E130" s="2298"/>
      <c r="J130" s="333">
        <v>0</v>
      </c>
      <c r="K130" s="334">
        <v>0.03</v>
      </c>
      <c r="L130" s="334">
        <v>0</v>
      </c>
      <c r="M130" s="334">
        <v>2.3E-2</v>
      </c>
      <c r="O130" s="333">
        <v>0</v>
      </c>
      <c r="P130" s="334">
        <v>0.03</v>
      </c>
      <c r="Q130" s="334">
        <v>0</v>
      </c>
      <c r="R130" s="334">
        <v>2.3E-2</v>
      </c>
      <c r="S130" s="2298"/>
    </row>
    <row r="131" spans="1:19" ht="16.5" thickBot="1">
      <c r="A131" s="333">
        <v>0</v>
      </c>
      <c r="B131" s="334">
        <v>0.05</v>
      </c>
      <c r="C131" s="334">
        <v>0</v>
      </c>
      <c r="D131" s="334">
        <v>0.05</v>
      </c>
      <c r="E131" s="2298"/>
      <c r="J131" s="333">
        <v>0</v>
      </c>
      <c r="K131" s="334">
        <v>0.05</v>
      </c>
      <c r="L131" s="334">
        <v>0</v>
      </c>
      <c r="M131" s="334">
        <v>0.05</v>
      </c>
      <c r="O131" s="333">
        <v>0</v>
      </c>
      <c r="P131" s="334">
        <v>0.05</v>
      </c>
      <c r="Q131" s="334">
        <v>0</v>
      </c>
      <c r="R131" s="334">
        <v>0.05</v>
      </c>
      <c r="S131" s="2298"/>
    </row>
    <row r="132" spans="1:19" ht="16.5" thickBot="1">
      <c r="A132" s="333">
        <v>0</v>
      </c>
      <c r="B132" s="334">
        <v>7.0000000000000007E-2</v>
      </c>
      <c r="C132" s="334">
        <v>0</v>
      </c>
      <c r="D132" s="334">
        <v>7.0000000000000007E-2</v>
      </c>
      <c r="E132" s="2298"/>
      <c r="J132" s="333">
        <v>0</v>
      </c>
      <c r="K132" s="334">
        <v>7.0000000000000007E-2</v>
      </c>
      <c r="L132" s="334">
        <v>0</v>
      </c>
      <c r="M132" s="334">
        <v>7.0000000000000007E-2</v>
      </c>
      <c r="O132" s="333">
        <v>0</v>
      </c>
      <c r="P132" s="334">
        <v>7.0000000000000007E-2</v>
      </c>
      <c r="Q132" s="334">
        <v>0</v>
      </c>
      <c r="R132" s="334">
        <v>7.0000000000000007E-2</v>
      </c>
      <c r="S132" s="2298"/>
    </row>
    <row r="133" spans="1:19" ht="16.5" thickBot="1">
      <c r="A133" s="333">
        <v>0</v>
      </c>
      <c r="B133" s="334">
        <v>0.1</v>
      </c>
      <c r="C133" s="334">
        <v>0</v>
      </c>
      <c r="D133" s="334">
        <v>0.1</v>
      </c>
      <c r="E133" s="2298"/>
      <c r="J133" s="333">
        <v>0</v>
      </c>
      <c r="K133" s="334">
        <v>0.1</v>
      </c>
      <c r="L133" s="334">
        <v>0</v>
      </c>
      <c r="M133" s="334">
        <v>0.1</v>
      </c>
      <c r="O133" s="333">
        <v>0</v>
      </c>
      <c r="P133" s="334">
        <v>0.1</v>
      </c>
      <c r="Q133" s="334">
        <v>0</v>
      </c>
      <c r="R133" s="334">
        <v>0.1</v>
      </c>
      <c r="S133" s="2298"/>
    </row>
    <row r="134" spans="1:19" ht="16.5" thickBot="1">
      <c r="A134" s="333">
        <v>0</v>
      </c>
      <c r="B134" s="334">
        <v>0.3</v>
      </c>
      <c r="C134" s="334">
        <v>0</v>
      </c>
      <c r="D134" s="334">
        <v>0.3</v>
      </c>
      <c r="E134" s="2298"/>
      <c r="J134" s="333">
        <v>0</v>
      </c>
      <c r="K134" s="334">
        <v>0.3</v>
      </c>
      <c r="L134" s="334">
        <v>0</v>
      </c>
      <c r="M134" s="334">
        <v>0.3</v>
      </c>
      <c r="O134" s="333">
        <v>0</v>
      </c>
      <c r="P134" s="334">
        <v>0.3</v>
      </c>
      <c r="Q134" s="334">
        <v>0</v>
      </c>
      <c r="R134" s="334">
        <v>0.3</v>
      </c>
      <c r="S134" s="2298"/>
    </row>
    <row r="135" spans="1:19" ht="16.5" thickBot="1">
      <c r="A135" s="333">
        <v>0</v>
      </c>
      <c r="B135" s="334">
        <v>0.5</v>
      </c>
      <c r="C135" s="334">
        <v>0</v>
      </c>
      <c r="D135" s="334">
        <v>0.5</v>
      </c>
      <c r="E135" s="2298"/>
      <c r="J135" s="333">
        <v>0</v>
      </c>
      <c r="K135" s="334">
        <v>0.5</v>
      </c>
      <c r="L135" s="334">
        <v>0</v>
      </c>
      <c r="M135" s="334">
        <v>0.5</v>
      </c>
      <c r="O135" s="333">
        <v>0</v>
      </c>
      <c r="P135" s="334">
        <v>0.5</v>
      </c>
      <c r="Q135" s="334">
        <v>0</v>
      </c>
      <c r="R135" s="334">
        <v>0.5</v>
      </c>
      <c r="S135" s="2298"/>
    </row>
    <row r="136" spans="1:19" ht="16.5" thickBot="1">
      <c r="A136" s="333">
        <v>0</v>
      </c>
      <c r="B136" s="334">
        <v>1</v>
      </c>
      <c r="C136" s="334">
        <v>0</v>
      </c>
      <c r="D136" s="334">
        <v>1.01</v>
      </c>
      <c r="E136" s="2298"/>
      <c r="J136" s="333">
        <v>0</v>
      </c>
      <c r="K136" s="334">
        <v>1</v>
      </c>
      <c r="L136" s="334">
        <v>0</v>
      </c>
      <c r="M136" s="334">
        <v>1.01</v>
      </c>
      <c r="O136" s="333">
        <v>0</v>
      </c>
      <c r="P136" s="334">
        <v>1</v>
      </c>
      <c r="Q136" s="334">
        <v>0</v>
      </c>
      <c r="R136" s="334">
        <v>1.01</v>
      </c>
      <c r="S136" s="2298"/>
    </row>
    <row r="137" spans="1:19" ht="16.5" thickBot="1">
      <c r="A137" s="333">
        <v>0.1</v>
      </c>
      <c r="B137" s="334">
        <v>0.1</v>
      </c>
      <c r="C137" s="334">
        <v>0.1</v>
      </c>
      <c r="D137" s="334">
        <v>0.1</v>
      </c>
      <c r="E137" s="2298"/>
      <c r="J137" s="333">
        <v>0.1</v>
      </c>
      <c r="K137" s="334">
        <v>0.1</v>
      </c>
      <c r="L137" s="334">
        <v>0.1</v>
      </c>
      <c r="M137" s="334">
        <v>0.1</v>
      </c>
      <c r="O137" s="333">
        <v>0.1</v>
      </c>
      <c r="P137" s="334">
        <v>0.1</v>
      </c>
      <c r="Q137" s="334">
        <v>0.1</v>
      </c>
      <c r="R137" s="334">
        <v>0.1</v>
      </c>
      <c r="S137" s="2298"/>
    </row>
  </sheetData>
  <mergeCells count="105">
    <mergeCell ref="A119:B119"/>
    <mergeCell ref="C119:D119"/>
    <mergeCell ref="J56:K56"/>
    <mergeCell ref="B56:C56"/>
    <mergeCell ref="F56:G56"/>
    <mergeCell ref="H56:I56"/>
    <mergeCell ref="E96:E97"/>
    <mergeCell ref="J96:M97"/>
    <mergeCell ref="E100:E116"/>
    <mergeCell ref="M67:P79"/>
    <mergeCell ref="G99:I106"/>
    <mergeCell ref="G108:I110"/>
    <mergeCell ref="A118:D118"/>
    <mergeCell ref="O96:R97"/>
    <mergeCell ref="E23:F23"/>
    <mergeCell ref="I23:K26"/>
    <mergeCell ref="E24:F24"/>
    <mergeCell ref="E25:F25"/>
    <mergeCell ref="E26:F26"/>
    <mergeCell ref="E35:F35"/>
    <mergeCell ref="A28:C28"/>
    <mergeCell ref="E28:F28"/>
    <mergeCell ref="I28:K28"/>
    <mergeCell ref="A29:C33"/>
    <mergeCell ref="E29:F29"/>
    <mergeCell ref="I29:K33"/>
    <mergeCell ref="E30:F30"/>
    <mergeCell ref="E31:F31"/>
    <mergeCell ref="E32:F32"/>
    <mergeCell ref="E33:F33"/>
    <mergeCell ref="E34:F34"/>
    <mergeCell ref="I34:K38"/>
    <mergeCell ref="E36:F36"/>
    <mergeCell ref="E37:F37"/>
    <mergeCell ref="E38:F38"/>
    <mergeCell ref="A34:C38"/>
    <mergeCell ref="A3:C3"/>
    <mergeCell ref="A18:C18"/>
    <mergeCell ref="E18:F18"/>
    <mergeCell ref="I18:K18"/>
    <mergeCell ref="A19:C22"/>
    <mergeCell ref="E19:F19"/>
    <mergeCell ref="I19:K22"/>
    <mergeCell ref="E20:F20"/>
    <mergeCell ref="E21:F21"/>
    <mergeCell ref="E22:F22"/>
    <mergeCell ref="S96:S97"/>
    <mergeCell ref="E98:E99"/>
    <mergeCell ref="J98:K98"/>
    <mergeCell ref="L98:M98"/>
    <mergeCell ref="O98:P98"/>
    <mergeCell ref="Q98:R98"/>
    <mergeCell ref="S98:S99"/>
    <mergeCell ref="U19:U21"/>
    <mergeCell ref="L34:L38"/>
    <mergeCell ref="M41:N41"/>
    <mergeCell ref="I42:J42"/>
    <mergeCell ref="M42:N42"/>
    <mergeCell ref="E49:H49"/>
    <mergeCell ref="F46:H46"/>
    <mergeCell ref="I46:L46"/>
    <mergeCell ref="I41:J41"/>
    <mergeCell ref="A93:I94"/>
    <mergeCell ref="A96:D97"/>
    <mergeCell ref="A98:B98"/>
    <mergeCell ref="C98:D98"/>
    <mergeCell ref="F50:H50"/>
    <mergeCell ref="E51:H51"/>
    <mergeCell ref="F53:I53"/>
    <mergeCell ref="A23:C26"/>
    <mergeCell ref="E121:E137"/>
    <mergeCell ref="S121:S137"/>
    <mergeCell ref="S100:S116"/>
    <mergeCell ref="J118:M118"/>
    <mergeCell ref="O118:R118"/>
    <mergeCell ref="E119:E120"/>
    <mergeCell ref="J119:K119"/>
    <mergeCell ref="L119:M119"/>
    <mergeCell ref="O119:P119"/>
    <mergeCell ref="Q119:R119"/>
    <mergeCell ref="S119:S120"/>
    <mergeCell ref="AC52:AD52"/>
    <mergeCell ref="AE52:AF52"/>
    <mergeCell ref="Z54:Z78"/>
    <mergeCell ref="AG52:AG53"/>
    <mergeCell ref="AG54:AG78"/>
    <mergeCell ref="D5:E5"/>
    <mergeCell ref="D6:E6"/>
    <mergeCell ref="D7:E7"/>
    <mergeCell ref="D11:E11"/>
    <mergeCell ref="L56:L57"/>
    <mergeCell ref="L58:L90"/>
    <mergeCell ref="Z52:Z53"/>
    <mergeCell ref="AA52:AB52"/>
    <mergeCell ref="A49:D49"/>
    <mergeCell ref="B46:C46"/>
    <mergeCell ref="F54:I54"/>
    <mergeCell ref="A56:A57"/>
    <mergeCell ref="L29:L33"/>
    <mergeCell ref="L23:L26"/>
    <mergeCell ref="L19:L22"/>
    <mergeCell ref="A47:D47"/>
    <mergeCell ref="E47:H47"/>
    <mergeCell ref="A48:D48"/>
    <mergeCell ref="E48:H48"/>
  </mergeCells>
  <phoneticPr fontId="2" type="noConversion"/>
  <conditionalFormatting sqref="H58:I58">
    <cfRule type="expression" dxfId="11" priority="1" stopIfTrue="1">
      <formula>ABS(H58)&gt;=J58</formula>
    </cfRule>
  </conditionalFormatting>
  <conditionalFormatting sqref="H59:I90">
    <cfRule type="expression" dxfId="10" priority="2" stopIfTrue="1">
      <formula>ABS(H59)&gt;J59</formula>
    </cfRule>
  </conditionalFormatting>
  <pageMargins left="0.75" right="0.75" top="1" bottom="1" header="0.5" footer="0.5"/>
  <drawing r:id="rId1"/>
  <legacyDrawing r:id="rId2"/>
  <oleObjects>
    <oleObject progId="Equation.3" shapeId="83618" r:id="rId3"/>
    <oleObject progId="Equation.3" shapeId="83619" r:id="rId4"/>
    <oleObject progId="Equation.3" shapeId="83620" r:id="rId5"/>
  </oleObjects>
</worksheet>
</file>

<file path=xl/worksheets/sheet74.xml><?xml version="1.0" encoding="utf-8"?>
<worksheet xmlns="http://schemas.openxmlformats.org/spreadsheetml/2006/main" xmlns:r="http://schemas.openxmlformats.org/officeDocument/2006/relationships">
  <dimension ref="A1:AB43"/>
  <sheetViews>
    <sheetView workbookViewId="0"/>
  </sheetViews>
  <sheetFormatPr defaultColWidth="9" defaultRowHeight="14.25"/>
  <cols>
    <col min="3" max="3" width="13.25" customWidth="1"/>
    <col min="4" max="4" width="11.625" bestFit="1" customWidth="1"/>
    <col min="5" max="5" width="13.875" customWidth="1"/>
    <col min="6" max="6" width="21.5" customWidth="1"/>
    <col min="7" max="7" width="19.875" customWidth="1"/>
    <col min="9" max="9" width="10.5" bestFit="1" customWidth="1"/>
    <col min="11" max="11" width="11.625" bestFit="1" customWidth="1"/>
  </cols>
  <sheetData>
    <row r="1" spans="1:27">
      <c r="A1" s="454" t="s">
        <v>1139</v>
      </c>
      <c r="B1" s="435" t="s">
        <v>1140</v>
      </c>
      <c r="C1" s="661" t="s">
        <v>1781</v>
      </c>
      <c r="D1" s="494"/>
      <c r="E1" s="494"/>
      <c r="F1" s="8"/>
      <c r="G1" s="315"/>
      <c r="H1" s="315"/>
      <c r="I1" s="315"/>
      <c r="J1" s="315"/>
      <c r="K1" s="315"/>
      <c r="L1" s="329"/>
      <c r="M1" s="329"/>
      <c r="N1" s="329"/>
      <c r="O1" s="329"/>
      <c r="P1" s="329"/>
      <c r="Q1" s="329"/>
      <c r="R1" s="329"/>
      <c r="S1" s="329"/>
      <c r="T1" s="329"/>
      <c r="U1" s="329"/>
      <c r="V1" s="329"/>
      <c r="W1" s="329"/>
      <c r="X1" s="329"/>
      <c r="Y1" s="329"/>
      <c r="Z1" s="329"/>
      <c r="AA1" s="329"/>
    </row>
    <row r="2" spans="1:27">
      <c r="A2" s="13"/>
      <c r="B2" s="664" t="s">
        <v>1782</v>
      </c>
      <c r="C2" s="665" t="s">
        <v>1792</v>
      </c>
      <c r="D2" s="395"/>
      <c r="E2" s="395"/>
      <c r="F2" s="496"/>
      <c r="G2" s="315"/>
      <c r="H2" s="315"/>
      <c r="I2" s="315"/>
      <c r="J2" s="315"/>
      <c r="K2" s="315"/>
      <c r="L2" s="13"/>
      <c r="M2" s="13"/>
      <c r="N2" s="13"/>
      <c r="O2" s="13"/>
      <c r="P2" s="13"/>
      <c r="Q2" s="13"/>
      <c r="R2" s="13"/>
      <c r="S2" s="13"/>
      <c r="T2" s="13"/>
      <c r="U2" s="13"/>
      <c r="V2" s="13"/>
      <c r="W2" s="13"/>
      <c r="X2" s="13"/>
      <c r="Y2" s="13"/>
      <c r="Z2" s="13"/>
      <c r="AA2" s="13"/>
    </row>
    <row r="3" spans="1:27" ht="14.25" customHeight="1">
      <c r="A3" s="13"/>
      <c r="B3" s="664" t="s">
        <v>1794</v>
      </c>
      <c r="C3" s="1749" t="s">
        <v>1795</v>
      </c>
      <c r="D3" s="1699"/>
      <c r="E3" s="1699"/>
      <c r="F3" s="1699"/>
      <c r="G3" s="1699"/>
      <c r="H3" s="315"/>
      <c r="I3" s="315"/>
      <c r="J3" s="315"/>
      <c r="K3" s="315"/>
      <c r="L3" s="13"/>
      <c r="M3" s="13"/>
      <c r="N3" s="13"/>
      <c r="O3" s="13"/>
      <c r="P3" s="13"/>
      <c r="Q3" s="13"/>
      <c r="R3" s="13"/>
      <c r="S3" s="13"/>
      <c r="T3" s="13"/>
      <c r="U3" s="13"/>
      <c r="V3" s="13"/>
      <c r="W3" s="13"/>
      <c r="X3" s="13"/>
      <c r="Y3" s="13"/>
      <c r="Z3" s="13"/>
      <c r="AA3" s="13"/>
    </row>
    <row r="4" spans="1:27">
      <c r="A4" s="13"/>
      <c r="B4" s="497" t="s">
        <v>1141</v>
      </c>
      <c r="C4" s="13"/>
      <c r="D4" s="13" t="s">
        <v>1142</v>
      </c>
      <c r="E4" s="13"/>
      <c r="F4" s="13"/>
      <c r="G4" s="13"/>
      <c r="H4" s="13"/>
      <c r="I4" s="13"/>
      <c r="J4" s="13"/>
      <c r="K4" s="13"/>
      <c r="L4" s="13"/>
      <c r="M4" s="13"/>
      <c r="N4" s="13"/>
      <c r="O4" s="13"/>
      <c r="P4" s="13"/>
      <c r="Q4" s="13"/>
      <c r="R4" s="13"/>
      <c r="S4" s="13"/>
      <c r="T4" s="13"/>
      <c r="U4" s="13"/>
      <c r="V4" s="13"/>
      <c r="W4" s="13"/>
      <c r="X4" s="13"/>
      <c r="Y4" s="13"/>
      <c r="Z4" s="13"/>
      <c r="AA4" s="13"/>
    </row>
    <row r="5" spans="1:27" ht="15.75">
      <c r="A5" s="13"/>
      <c r="B5" s="347" t="s">
        <v>1143</v>
      </c>
      <c r="C5" s="347" t="s">
        <v>1144</v>
      </c>
      <c r="D5" s="347" t="s">
        <v>1145</v>
      </c>
      <c r="E5" s="347" t="s">
        <v>1146</v>
      </c>
      <c r="F5" s="448" t="s">
        <v>1147</v>
      </c>
      <c r="G5" s="449"/>
      <c r="H5" s="390"/>
      <c r="I5" s="482"/>
      <c r="J5" s="482"/>
      <c r="K5" s="390"/>
      <c r="L5" s="13"/>
      <c r="M5" s="13"/>
      <c r="N5" s="13"/>
      <c r="O5" s="13"/>
      <c r="P5" s="13"/>
      <c r="Q5" s="13"/>
      <c r="R5" s="13"/>
      <c r="S5" s="13"/>
      <c r="T5" s="13"/>
      <c r="U5" s="13"/>
      <c r="V5" s="13"/>
      <c r="W5" s="13"/>
      <c r="X5" s="13"/>
      <c r="Y5" s="13"/>
      <c r="Z5" s="13"/>
      <c r="AA5" s="13"/>
    </row>
    <row r="6" spans="1:27" ht="15">
      <c r="A6" s="13"/>
      <c r="B6" s="349">
        <v>0.99447300000000005</v>
      </c>
      <c r="C6" s="349">
        <v>0.99545300000000003</v>
      </c>
      <c r="D6" s="349">
        <v>0.99447300000000005</v>
      </c>
      <c r="E6" s="349">
        <v>0.99545300000000003</v>
      </c>
      <c r="F6" s="450">
        <v>0.99447300000000005</v>
      </c>
      <c r="G6" s="451"/>
      <c r="H6" s="417"/>
      <c r="I6" s="417"/>
      <c r="J6" s="417"/>
      <c r="K6" s="417"/>
      <c r="L6" s="13"/>
      <c r="M6" s="13"/>
      <c r="N6" s="13"/>
      <c r="O6" s="13"/>
      <c r="P6" s="13"/>
      <c r="Q6" s="13"/>
      <c r="R6" s="13"/>
      <c r="S6" s="13"/>
      <c r="T6" s="13"/>
      <c r="U6" s="13"/>
      <c r="V6" s="13"/>
      <c r="W6" s="13"/>
      <c r="X6" s="13"/>
      <c r="Y6" s="13"/>
      <c r="Z6" s="13"/>
      <c r="AA6" s="13"/>
    </row>
    <row r="7" spans="1:27" ht="15">
      <c r="A7" s="13"/>
      <c r="B7" s="349">
        <v>0.99545300000000003</v>
      </c>
      <c r="C7" s="349">
        <v>0.99447300000000005</v>
      </c>
      <c r="D7" s="349">
        <v>0.99545300000000003</v>
      </c>
      <c r="E7" s="349">
        <v>0.99447300000000005</v>
      </c>
      <c r="F7" s="450">
        <v>0.99545300000000003</v>
      </c>
      <c r="G7" s="451"/>
      <c r="H7" s="417"/>
      <c r="I7" s="417"/>
      <c r="J7" s="417"/>
      <c r="K7" s="417"/>
      <c r="L7" s="13"/>
      <c r="M7" s="13"/>
      <c r="N7" s="13"/>
      <c r="O7" s="13"/>
      <c r="P7" s="13"/>
      <c r="Q7" s="13"/>
      <c r="R7" s="13"/>
      <c r="S7" s="13"/>
      <c r="T7" s="13"/>
      <c r="U7" s="13"/>
      <c r="V7" s="13"/>
      <c r="W7" s="13"/>
      <c r="X7" s="13"/>
      <c r="Y7" s="13"/>
      <c r="Z7" s="13"/>
      <c r="AA7" s="13"/>
    </row>
    <row r="8" spans="1:27" ht="18.75">
      <c r="A8" s="13"/>
      <c r="B8" s="394" t="s">
        <v>1148</v>
      </c>
      <c r="C8" s="481"/>
      <c r="D8" s="14"/>
      <c r="E8" s="14"/>
      <c r="F8" s="14"/>
      <c r="G8" s="498"/>
      <c r="H8" s="424"/>
      <c r="I8" s="424"/>
      <c r="J8" s="424"/>
      <c r="K8" s="424"/>
      <c r="L8" s="13"/>
      <c r="M8" s="13"/>
      <c r="N8" s="13"/>
      <c r="O8" s="13"/>
      <c r="P8" s="13"/>
      <c r="Q8" s="13"/>
      <c r="R8" s="13"/>
      <c r="S8" s="13"/>
      <c r="T8" s="13"/>
      <c r="U8" s="13"/>
      <c r="V8" s="13"/>
      <c r="W8" s="13"/>
      <c r="X8" s="13"/>
      <c r="Y8" s="13"/>
      <c r="Z8" s="13"/>
      <c r="AA8" s="13"/>
    </row>
    <row r="9" spans="1:27">
      <c r="A9" s="13"/>
      <c r="B9" s="499"/>
      <c r="C9" s="499"/>
      <c r="D9" s="499"/>
      <c r="E9" s="499"/>
      <c r="F9" s="499"/>
      <c r="G9" s="499"/>
      <c r="H9" s="499"/>
      <c r="I9" s="499"/>
      <c r="J9" s="499"/>
      <c r="K9" s="499"/>
      <c r="L9" s="13"/>
      <c r="M9" s="13"/>
      <c r="N9" s="13"/>
      <c r="O9" s="13"/>
      <c r="P9" s="13"/>
      <c r="Q9" s="13"/>
      <c r="R9" s="13"/>
      <c r="S9" s="13"/>
      <c r="T9" s="13"/>
      <c r="U9" s="13"/>
      <c r="V9" s="13"/>
      <c r="W9" s="13"/>
      <c r="X9" s="13"/>
      <c r="Y9" s="13"/>
      <c r="Z9" s="13"/>
      <c r="AA9" s="13"/>
    </row>
    <row r="10" spans="1:27">
      <c r="A10" s="13"/>
      <c r="B10" s="499"/>
      <c r="C10" s="499"/>
      <c r="D10" s="499"/>
      <c r="E10" s="499"/>
      <c r="F10" s="499"/>
      <c r="G10" s="499"/>
      <c r="H10" s="499"/>
      <c r="I10" s="499"/>
      <c r="J10" s="499"/>
      <c r="K10" s="499"/>
      <c r="L10" s="13"/>
      <c r="M10" s="13"/>
      <c r="N10" s="13"/>
      <c r="O10" s="13"/>
      <c r="P10" s="13"/>
      <c r="Q10" s="13"/>
      <c r="R10" s="13"/>
      <c r="S10" s="13"/>
      <c r="T10" s="13"/>
      <c r="U10" s="13"/>
      <c r="V10" s="13"/>
      <c r="W10" s="13"/>
      <c r="X10" s="13"/>
      <c r="Y10" s="13"/>
      <c r="Z10" s="13"/>
      <c r="AA10" s="13"/>
    </row>
    <row r="11" spans="1:27" ht="15.75" customHeight="1">
      <c r="A11" s="500" t="s">
        <v>1149</v>
      </c>
      <c r="B11" s="153" t="s">
        <v>1150</v>
      </c>
      <c r="V11" s="13"/>
      <c r="W11" s="13"/>
      <c r="X11" s="13"/>
      <c r="Y11" s="13"/>
      <c r="Z11" s="13"/>
      <c r="AA11" s="13"/>
    </row>
    <row r="12" spans="1:27" ht="15.75" customHeight="1">
      <c r="A12" s="500"/>
      <c r="B12" s="41" t="s">
        <v>608</v>
      </c>
      <c r="C12" s="1" t="s">
        <v>1152</v>
      </c>
      <c r="D12" s="1" t="s">
        <v>1153</v>
      </c>
      <c r="E12" s="1" t="s">
        <v>1154</v>
      </c>
      <c r="F12" s="41" t="s">
        <v>921</v>
      </c>
      <c r="G12" s="1" t="s">
        <v>607</v>
      </c>
      <c r="V12" s="13"/>
      <c r="W12" s="13"/>
      <c r="X12" s="13"/>
      <c r="Y12" s="13"/>
      <c r="Z12" s="13"/>
      <c r="AA12" s="13"/>
    </row>
    <row r="13" spans="1:27" ht="36" customHeight="1">
      <c r="A13" s="500"/>
      <c r="B13" s="7">
        <v>1</v>
      </c>
      <c r="C13" s="666" t="s">
        <v>1783</v>
      </c>
      <c r="D13" s="668">
        <v>2.0000000000000002E-5</v>
      </c>
      <c r="E13" s="663"/>
      <c r="F13" s="6">
        <v>1.732</v>
      </c>
      <c r="G13" s="667">
        <f>D13/SQRT(3)</f>
        <v>1.1547005383792517E-5</v>
      </c>
      <c r="V13" s="13"/>
      <c r="W13" s="13"/>
      <c r="X13" s="13"/>
      <c r="Y13" s="13"/>
      <c r="Z13" s="13"/>
      <c r="AA13" s="13"/>
    </row>
    <row r="14" spans="1:27" ht="36" customHeight="1">
      <c r="A14" s="500"/>
      <c r="B14" s="7">
        <v>2</v>
      </c>
      <c r="C14" s="666" t="s">
        <v>1784</v>
      </c>
      <c r="D14" s="668">
        <v>3.9999999999999998E-6</v>
      </c>
      <c r="E14" s="41"/>
      <c r="F14" s="6">
        <v>2</v>
      </c>
      <c r="G14" s="667">
        <f>D14/2</f>
        <v>1.9999999999999999E-6</v>
      </c>
      <c r="V14" s="13"/>
      <c r="W14" s="13"/>
      <c r="X14" s="13"/>
      <c r="Y14" s="13"/>
      <c r="Z14" s="13"/>
      <c r="AA14" s="13"/>
    </row>
    <row r="15" spans="1:27" ht="15.75" customHeight="1">
      <c r="A15" s="500"/>
      <c r="B15" s="41" t="s">
        <v>1158</v>
      </c>
      <c r="C15" s="1969"/>
      <c r="D15" s="1970"/>
      <c r="E15" s="1970"/>
      <c r="F15" s="1970"/>
      <c r="G15" s="1832"/>
      <c r="V15" s="13"/>
      <c r="W15" s="13"/>
      <c r="X15" s="13"/>
      <c r="Y15" s="13"/>
      <c r="Z15" s="13"/>
      <c r="AA15" s="13"/>
    </row>
    <row r="16" spans="1:27">
      <c r="A16" s="13"/>
      <c r="B16" s="157" t="s">
        <v>1159</v>
      </c>
      <c r="V16" s="13"/>
      <c r="W16" s="13"/>
      <c r="X16" s="13"/>
      <c r="Y16" s="13"/>
      <c r="Z16" s="13"/>
      <c r="AA16" s="13"/>
    </row>
    <row r="17" spans="1:27" ht="18.75">
      <c r="A17" s="13"/>
      <c r="B17" s="502" t="s">
        <v>1160</v>
      </c>
      <c r="C17" s="503"/>
      <c r="V17" s="13"/>
      <c r="W17" s="13"/>
      <c r="X17" s="13"/>
      <c r="Y17" s="13"/>
      <c r="Z17" s="13"/>
      <c r="AA17" s="13"/>
    </row>
    <row r="18" spans="1:27">
      <c r="B18" s="157" t="s">
        <v>1161</v>
      </c>
      <c r="C18" s="28"/>
    </row>
    <row r="19" spans="1:27" ht="15.75">
      <c r="B19" s="504" t="s">
        <v>1162</v>
      </c>
      <c r="C19" s="392"/>
      <c r="D19" s="391"/>
      <c r="E19" s="392"/>
      <c r="F19" s="391"/>
      <c r="G19" s="393"/>
      <c r="H19" s="390"/>
      <c r="I19" s="390"/>
      <c r="J19" s="390"/>
      <c r="K19" s="390"/>
    </row>
    <row r="20" spans="1:27">
      <c r="B20" s="13" t="s">
        <v>1137</v>
      </c>
      <c r="C20" s="13"/>
      <c r="D20" s="13"/>
      <c r="E20" s="13"/>
      <c r="F20" s="13"/>
      <c r="G20" s="13"/>
      <c r="H20" s="13"/>
      <c r="I20" s="13"/>
      <c r="J20" s="13"/>
      <c r="K20" s="13"/>
    </row>
    <row r="21" spans="1:27">
      <c r="B21" s="662" t="s">
        <v>1779</v>
      </c>
      <c r="D21" s="669">
        <v>3.0000000000000001E-5</v>
      </c>
    </row>
    <row r="23" spans="1:27">
      <c r="A23" s="454" t="s">
        <v>1139</v>
      </c>
      <c r="B23" s="435" t="s">
        <v>1140</v>
      </c>
      <c r="C23" s="661" t="s">
        <v>1781</v>
      </c>
      <c r="D23" s="494"/>
      <c r="E23" s="494"/>
      <c r="F23" s="8"/>
      <c r="G23" s="315"/>
      <c r="H23" s="315"/>
      <c r="I23" s="315"/>
      <c r="J23" s="315"/>
      <c r="K23" s="315"/>
      <c r="L23" s="329"/>
      <c r="M23" s="329"/>
      <c r="N23" s="329"/>
      <c r="O23" s="329"/>
      <c r="P23" s="329"/>
      <c r="Q23" s="329"/>
      <c r="R23" s="329"/>
      <c r="S23" s="329"/>
      <c r="T23" s="329"/>
      <c r="U23" s="329"/>
      <c r="V23" s="329"/>
      <c r="W23" s="329"/>
      <c r="X23" s="329"/>
      <c r="Y23" s="329"/>
      <c r="Z23" s="329"/>
      <c r="AA23" s="329"/>
    </row>
    <row r="24" spans="1:27">
      <c r="A24" s="13"/>
      <c r="B24" s="664" t="s">
        <v>1782</v>
      </c>
      <c r="C24" s="665" t="s">
        <v>1785</v>
      </c>
      <c r="D24" s="395"/>
      <c r="E24" s="395"/>
      <c r="F24" s="496"/>
      <c r="G24" s="315"/>
      <c r="H24" s="315"/>
      <c r="I24" s="315"/>
      <c r="J24" s="315"/>
      <c r="K24" s="315"/>
      <c r="L24" s="13"/>
      <c r="M24" s="13"/>
      <c r="N24" s="13"/>
      <c r="O24" s="13"/>
      <c r="P24" s="13"/>
      <c r="Q24" s="13"/>
      <c r="R24" s="13"/>
      <c r="S24" s="13"/>
      <c r="T24" s="13"/>
      <c r="U24" s="13"/>
      <c r="V24" s="13"/>
      <c r="W24" s="13"/>
      <c r="X24" s="13"/>
      <c r="Y24" s="13"/>
      <c r="Z24" s="13"/>
      <c r="AA24" s="13"/>
    </row>
    <row r="25" spans="1:27">
      <c r="A25" s="13"/>
      <c r="B25" s="664" t="s">
        <v>1793</v>
      </c>
      <c r="C25" s="1749" t="s">
        <v>1796</v>
      </c>
      <c r="D25" s="1749"/>
      <c r="E25" s="1749"/>
      <c r="F25" s="1749"/>
      <c r="G25" s="1749"/>
      <c r="H25" s="315"/>
      <c r="I25" s="315"/>
      <c r="J25" s="315"/>
      <c r="K25" s="315"/>
      <c r="L25" s="13"/>
      <c r="M25" s="13"/>
      <c r="N25" s="13"/>
      <c r="O25" s="13"/>
      <c r="P25" s="13"/>
      <c r="Q25" s="13"/>
      <c r="R25" s="13"/>
      <c r="S25" s="13"/>
      <c r="T25" s="13"/>
      <c r="U25" s="13"/>
      <c r="V25" s="13"/>
      <c r="W25" s="13"/>
      <c r="X25" s="13"/>
      <c r="Y25" s="13"/>
      <c r="Z25" s="13"/>
      <c r="AA25" s="13"/>
    </row>
    <row r="26" spans="1:27">
      <c r="A26" s="13"/>
      <c r="B26" s="497" t="s">
        <v>1141</v>
      </c>
      <c r="C26" s="13"/>
      <c r="D26" s="13" t="s">
        <v>1142</v>
      </c>
      <c r="E26" s="13"/>
      <c r="F26" s="13"/>
      <c r="G26" s="13"/>
      <c r="H26" s="13"/>
      <c r="I26" s="13"/>
      <c r="J26" s="13"/>
      <c r="K26" s="13"/>
      <c r="L26" s="13"/>
      <c r="M26" s="13"/>
      <c r="N26" s="13"/>
      <c r="O26" s="13"/>
      <c r="P26" s="13"/>
      <c r="Q26" s="13"/>
      <c r="R26" s="13"/>
      <c r="S26" s="13"/>
      <c r="T26" s="13"/>
      <c r="U26" s="13"/>
      <c r="V26" s="13"/>
      <c r="W26" s="13"/>
      <c r="X26" s="13"/>
      <c r="Y26" s="13"/>
      <c r="Z26" s="13"/>
      <c r="AA26" s="13"/>
    </row>
    <row r="27" spans="1:27" ht="15.75">
      <c r="A27" s="13"/>
      <c r="B27" s="347" t="s">
        <v>1143</v>
      </c>
      <c r="C27" s="347" t="s">
        <v>1144</v>
      </c>
      <c r="D27" s="347" t="s">
        <v>1145</v>
      </c>
      <c r="E27" s="347" t="s">
        <v>1146</v>
      </c>
      <c r="F27" s="448" t="s">
        <v>1147</v>
      </c>
      <c r="G27" s="449"/>
      <c r="H27" s="390"/>
      <c r="I27" s="482"/>
      <c r="J27" s="482"/>
      <c r="K27" s="390"/>
      <c r="L27" s="13"/>
      <c r="M27" s="13"/>
      <c r="N27" s="13"/>
      <c r="O27" s="13"/>
      <c r="P27" s="13"/>
      <c r="Q27" s="13"/>
      <c r="R27" s="13"/>
      <c r="S27" s="13"/>
      <c r="T27" s="13"/>
      <c r="U27" s="13"/>
      <c r="V27" s="13"/>
      <c r="W27" s="13"/>
      <c r="X27" s="13"/>
      <c r="Y27" s="13"/>
      <c r="Z27" s="13"/>
      <c r="AA27" s="13"/>
    </row>
    <row r="28" spans="1:27" ht="15">
      <c r="A28" s="13"/>
      <c r="B28" s="349">
        <v>0.99447300000000005</v>
      </c>
      <c r="C28" s="349">
        <v>0.99545300000000003</v>
      </c>
      <c r="D28" s="349">
        <v>0.99447300000000005</v>
      </c>
      <c r="E28" s="349">
        <v>0.99545300000000003</v>
      </c>
      <c r="F28" s="450">
        <v>0.99447300000000005</v>
      </c>
      <c r="G28" s="451"/>
      <c r="H28" s="417"/>
      <c r="I28" s="417"/>
      <c r="J28" s="417"/>
      <c r="K28" s="417"/>
      <c r="L28" s="13"/>
      <c r="M28" s="13"/>
      <c r="N28" s="13"/>
      <c r="O28" s="13"/>
      <c r="P28" s="13"/>
      <c r="Q28" s="13"/>
      <c r="R28" s="13"/>
      <c r="S28" s="13"/>
      <c r="T28" s="13"/>
      <c r="U28" s="13"/>
      <c r="V28" s="13"/>
      <c r="W28" s="13"/>
      <c r="X28" s="13"/>
      <c r="Y28" s="13"/>
      <c r="Z28" s="13"/>
      <c r="AA28" s="13"/>
    </row>
    <row r="29" spans="1:27" ht="15">
      <c r="A29" s="13"/>
      <c r="B29" s="349">
        <v>0.99545300000000003</v>
      </c>
      <c r="C29" s="349">
        <v>0.99447300000000005</v>
      </c>
      <c r="D29" s="349">
        <v>0.99545300000000003</v>
      </c>
      <c r="E29" s="349">
        <v>0.99447300000000005</v>
      </c>
      <c r="F29" s="450">
        <v>0.99545300000000003</v>
      </c>
      <c r="G29" s="451"/>
      <c r="H29" s="417"/>
      <c r="I29" s="417"/>
      <c r="J29" s="417"/>
      <c r="K29" s="417"/>
      <c r="L29" s="13"/>
      <c r="M29" s="13"/>
      <c r="N29" s="13"/>
      <c r="O29" s="13"/>
      <c r="P29" s="13"/>
      <c r="Q29" s="13"/>
      <c r="R29" s="13"/>
      <c r="S29" s="13"/>
      <c r="T29" s="13"/>
      <c r="U29" s="13"/>
      <c r="V29" s="13"/>
      <c r="W29" s="13"/>
      <c r="X29" s="13"/>
      <c r="Y29" s="13"/>
      <c r="Z29" s="13"/>
      <c r="AA29" s="13"/>
    </row>
    <row r="30" spans="1:27" ht="18.75">
      <c r="A30" s="13"/>
      <c r="B30" s="394" t="s">
        <v>1148</v>
      </c>
      <c r="C30" s="481"/>
      <c r="D30" s="14"/>
      <c r="E30" s="14"/>
      <c r="F30" s="14"/>
      <c r="G30" s="498"/>
      <c r="H30" s="424"/>
      <c r="I30" s="424"/>
      <c r="J30" s="424"/>
      <c r="K30" s="424"/>
      <c r="L30" s="13"/>
      <c r="M30" s="13"/>
      <c r="N30" s="13"/>
      <c r="O30" s="13"/>
      <c r="P30" s="13"/>
      <c r="Q30" s="13"/>
      <c r="R30" s="13"/>
      <c r="S30" s="13"/>
      <c r="T30" s="13"/>
      <c r="U30" s="13"/>
      <c r="V30" s="13"/>
      <c r="W30" s="13"/>
      <c r="X30" s="13"/>
      <c r="Y30" s="13"/>
      <c r="Z30" s="13"/>
      <c r="AA30" s="13"/>
    </row>
    <row r="31" spans="1:27">
      <c r="A31" s="13"/>
      <c r="B31" s="499"/>
      <c r="C31" s="499"/>
      <c r="D31" s="499"/>
      <c r="E31" s="499"/>
      <c r="F31" s="499"/>
      <c r="G31" s="499"/>
      <c r="H31" s="499"/>
      <c r="I31" s="499"/>
      <c r="J31" s="499"/>
      <c r="K31" s="499"/>
      <c r="L31" s="13"/>
      <c r="M31" s="13"/>
      <c r="N31" s="13"/>
      <c r="O31" s="13"/>
      <c r="P31" s="13"/>
      <c r="Q31" s="13"/>
      <c r="R31" s="13"/>
      <c r="S31" s="13"/>
      <c r="T31" s="13"/>
      <c r="U31" s="13"/>
      <c r="V31" s="13"/>
      <c r="W31" s="13"/>
      <c r="X31" s="13"/>
      <c r="Y31" s="13"/>
      <c r="Z31" s="13"/>
      <c r="AA31" s="13"/>
    </row>
    <row r="32" spans="1:27">
      <c r="A32" s="13"/>
      <c r="B32" s="499"/>
      <c r="C32" s="499"/>
      <c r="D32" s="499"/>
      <c r="E32" s="499"/>
      <c r="F32" s="499"/>
      <c r="G32" s="499"/>
      <c r="H32" s="499"/>
      <c r="I32" s="499"/>
      <c r="J32" s="499"/>
      <c r="K32" s="499"/>
      <c r="L32" s="13"/>
      <c r="M32" s="13"/>
      <c r="N32" s="13"/>
      <c r="O32" s="13"/>
      <c r="P32" s="13"/>
      <c r="Q32" s="13"/>
      <c r="R32" s="13"/>
      <c r="S32" s="13"/>
      <c r="T32" s="13"/>
      <c r="U32" s="13"/>
      <c r="V32" s="13"/>
      <c r="W32" s="13"/>
      <c r="X32" s="13"/>
      <c r="Y32" s="13"/>
      <c r="Z32" s="13"/>
      <c r="AA32" s="13"/>
    </row>
    <row r="33" spans="1:28" ht="15.75" customHeight="1">
      <c r="A33" s="500" t="s">
        <v>1149</v>
      </c>
      <c r="B33" s="153" t="s">
        <v>1150</v>
      </c>
      <c r="V33" s="13"/>
      <c r="W33" s="13"/>
      <c r="X33" s="13"/>
      <c r="Y33" s="13"/>
      <c r="Z33" s="13"/>
      <c r="AA33" s="13"/>
    </row>
    <row r="34" spans="1:28" ht="15.75" customHeight="1">
      <c r="A34" s="500"/>
      <c r="B34" s="41" t="s">
        <v>608</v>
      </c>
      <c r="C34" s="1" t="s">
        <v>1152</v>
      </c>
      <c r="D34" s="2327" t="s">
        <v>1153</v>
      </c>
      <c r="E34" s="1714"/>
      <c r="F34" s="1" t="s">
        <v>1154</v>
      </c>
      <c r="G34" s="41" t="s">
        <v>921</v>
      </c>
      <c r="H34" s="1749" t="s">
        <v>1790</v>
      </c>
      <c r="I34" s="1832"/>
      <c r="W34" s="13"/>
      <c r="X34" s="13"/>
      <c r="Y34" s="13"/>
      <c r="Z34" s="13"/>
      <c r="AA34" s="13"/>
      <c r="AB34" s="13"/>
    </row>
    <row r="35" spans="1:28" ht="36" customHeight="1">
      <c r="A35" s="500"/>
      <c r="B35" s="7">
        <v>1</v>
      </c>
      <c r="C35" s="666" t="s">
        <v>1783</v>
      </c>
      <c r="D35">
        <v>6.88E-2</v>
      </c>
      <c r="E35" t="s">
        <v>1786</v>
      </c>
      <c r="F35" s="663"/>
      <c r="G35" s="6">
        <v>1.732</v>
      </c>
      <c r="H35">
        <f>D35/SQRT(3)</f>
        <v>3.9721698520246256E-2</v>
      </c>
      <c r="I35" t="s">
        <v>1791</v>
      </c>
      <c r="W35" s="13"/>
      <c r="X35" s="13"/>
      <c r="Y35" s="13"/>
      <c r="Z35" s="13"/>
      <c r="AA35" s="13"/>
      <c r="AB35" s="13"/>
    </row>
    <row r="36" spans="1:28" ht="36" customHeight="1">
      <c r="A36" s="500"/>
      <c r="B36" s="7">
        <v>2</v>
      </c>
      <c r="C36" s="666" t="s">
        <v>1784</v>
      </c>
      <c r="D36">
        <v>1.6500000000000001E-2</v>
      </c>
      <c r="E36" t="s">
        <v>1786</v>
      </c>
      <c r="F36" s="41"/>
      <c r="G36" s="6">
        <v>2</v>
      </c>
      <c r="H36">
        <f>D36/2</f>
        <v>8.2500000000000004E-3</v>
      </c>
      <c r="I36" t="s">
        <v>1791</v>
      </c>
      <c r="W36" s="13"/>
      <c r="X36" s="13"/>
      <c r="Y36" s="13"/>
      <c r="Z36" s="13"/>
      <c r="AA36" s="13"/>
      <c r="AB36" s="13"/>
    </row>
    <row r="37" spans="1:28" ht="15.75" customHeight="1">
      <c r="A37" s="500"/>
      <c r="B37" s="41" t="s">
        <v>1158</v>
      </c>
      <c r="C37" s="1749" t="s">
        <v>1787</v>
      </c>
      <c r="D37" s="1970"/>
      <c r="E37" s="1970"/>
      <c r="F37" s="1970"/>
      <c r="G37" s="1970"/>
      <c r="H37" s="105"/>
      <c r="I37" s="638"/>
      <c r="V37" s="13"/>
      <c r="W37" s="13"/>
      <c r="X37" s="13"/>
      <c r="Y37" s="13"/>
      <c r="Z37" s="13"/>
      <c r="AA37" s="13"/>
    </row>
    <row r="38" spans="1:28">
      <c r="A38" s="13"/>
      <c r="B38" s="157" t="s">
        <v>1159</v>
      </c>
      <c r="V38" s="13"/>
      <c r="W38" s="13"/>
      <c r="X38" s="13"/>
      <c r="Y38" s="13"/>
      <c r="Z38" s="13"/>
      <c r="AA38" s="13"/>
    </row>
    <row r="39" spans="1:28" ht="18.75">
      <c r="A39" s="13"/>
      <c r="B39" s="502" t="s">
        <v>1160</v>
      </c>
      <c r="C39" t="s">
        <v>1787</v>
      </c>
      <c r="V39" s="13"/>
      <c r="W39" s="13"/>
      <c r="X39" s="13"/>
      <c r="Y39" s="13"/>
      <c r="Z39" s="13"/>
      <c r="AA39" s="13"/>
    </row>
    <row r="40" spans="1:28">
      <c r="B40" s="157" t="s">
        <v>1161</v>
      </c>
      <c r="C40" s="28"/>
    </row>
    <row r="41" spans="1:28" ht="15.75">
      <c r="B41" s="504" t="s">
        <v>1162</v>
      </c>
      <c r="C41" t="s">
        <v>1788</v>
      </c>
      <c r="D41" s="391"/>
      <c r="E41" s="392"/>
      <c r="F41" s="391"/>
      <c r="G41" s="393"/>
      <c r="H41" s="390"/>
      <c r="I41" s="390"/>
      <c r="J41" s="390"/>
      <c r="K41" s="390"/>
    </row>
    <row r="42" spans="1:28">
      <c r="B42" s="13" t="s">
        <v>1137</v>
      </c>
      <c r="C42" s="13"/>
      <c r="D42" s="13"/>
      <c r="E42" s="13"/>
      <c r="F42" s="13"/>
      <c r="G42" s="13"/>
      <c r="H42" s="13"/>
      <c r="I42" s="13"/>
      <c r="J42" s="13"/>
      <c r="K42" s="13"/>
    </row>
    <row r="43" spans="1:28">
      <c r="B43" s="662" t="s">
        <v>1779</v>
      </c>
      <c r="D43" s="669" t="s">
        <v>1789</v>
      </c>
    </row>
  </sheetData>
  <mergeCells count="6">
    <mergeCell ref="C15:G15"/>
    <mergeCell ref="C37:G37"/>
    <mergeCell ref="H34:I34"/>
    <mergeCell ref="D34:E34"/>
    <mergeCell ref="C3:G3"/>
    <mergeCell ref="C25:G25"/>
  </mergeCells>
  <phoneticPr fontId="136" type="noConversion"/>
  <pageMargins left="0.75" right="0.75" top="1" bottom="1" header="0.5" footer="0.5"/>
  <legacyDrawing r:id="rId1"/>
  <oleObjects>
    <oleObject progId="Equation.3" shapeId="186369" r:id="rId2"/>
    <oleObject progId="Equation.3" shapeId="186370" r:id="rId3"/>
    <oleObject progId="Equation.3" shapeId="186371" r:id="rId4"/>
    <oleObject progId="Equation.3" shapeId="186380" r:id="rId5"/>
    <oleObject progId="Equation.3" shapeId="186381" r:id="rId6"/>
    <oleObject progId="Equation.3" shapeId="186382" r:id="rId7"/>
  </oleObjects>
</worksheet>
</file>

<file path=xl/worksheets/sheet75.xml><?xml version="1.0" encoding="utf-8"?>
<worksheet xmlns="http://schemas.openxmlformats.org/spreadsheetml/2006/main" xmlns:r="http://schemas.openxmlformats.org/officeDocument/2006/relationships">
  <sheetPr>
    <tabColor rgb="FFC00000"/>
  </sheetPr>
  <dimension ref="A1:AE177"/>
  <sheetViews>
    <sheetView topLeftCell="B1" workbookViewId="0"/>
  </sheetViews>
  <sheetFormatPr defaultRowHeight="14.25" outlineLevelRow="1"/>
  <cols>
    <col min="1" max="1" width="28" customWidth="1"/>
    <col min="2" max="2" width="14" customWidth="1"/>
    <col min="3" max="3" width="11.5" customWidth="1"/>
    <col min="4" max="4" width="23.125" customWidth="1"/>
    <col min="7" max="7" width="12.75" customWidth="1"/>
  </cols>
  <sheetData>
    <row r="1" spans="1:22">
      <c r="B1" s="1594" t="s">
        <v>3805</v>
      </c>
      <c r="F1" s="702" t="s">
        <v>3374</v>
      </c>
    </row>
    <row r="2" spans="1:22">
      <c r="A2" s="2298" t="s">
        <v>32</v>
      </c>
      <c r="B2" s="2298"/>
      <c r="C2" s="2298"/>
      <c r="D2" s="2"/>
    </row>
    <row r="3" spans="1:22" ht="18.75">
      <c r="A3" s="699" t="s">
        <v>1920</v>
      </c>
      <c r="B3" s="6" t="s">
        <v>69</v>
      </c>
      <c r="C3" s="6" t="s">
        <v>70</v>
      </c>
      <c r="D3" s="700" t="s">
        <v>3208</v>
      </c>
    </row>
    <row r="4" spans="1:22">
      <c r="A4" s="698" t="s">
        <v>3375</v>
      </c>
      <c r="B4" s="6" t="s">
        <v>509</v>
      </c>
      <c r="C4" s="6" t="s">
        <v>509</v>
      </c>
      <c r="D4" s="227" t="s">
        <v>3210</v>
      </c>
    </row>
    <row r="5" spans="1:22">
      <c r="A5" s="698" t="s">
        <v>3211</v>
      </c>
      <c r="B5" s="6" t="s">
        <v>509</v>
      </c>
      <c r="C5" s="6" t="s">
        <v>509</v>
      </c>
      <c r="D5" s="227" t="s">
        <v>3210</v>
      </c>
    </row>
    <row r="6" spans="1:22">
      <c r="A6" s="698" t="s">
        <v>3376</v>
      </c>
      <c r="B6" s="6" t="s">
        <v>509</v>
      </c>
      <c r="C6" s="6" t="s">
        <v>509</v>
      </c>
      <c r="D6" s="1265" t="s">
        <v>3377</v>
      </c>
    </row>
    <row r="7" spans="1:22">
      <c r="A7" s="6"/>
      <c r="B7" s="6"/>
      <c r="C7" s="6"/>
      <c r="D7" s="2"/>
    </row>
    <row r="8" spans="1:22">
      <c r="A8" s="6"/>
      <c r="B8" s="6"/>
      <c r="C8" s="6"/>
      <c r="D8" s="2"/>
    </row>
    <row r="9" spans="1:22">
      <c r="A9" s="6"/>
      <c r="B9" s="6"/>
      <c r="C9" s="6"/>
      <c r="D9" s="2"/>
      <c r="E9" s="702" t="s">
        <v>3378</v>
      </c>
      <c r="F9" t="s">
        <v>1522</v>
      </c>
    </row>
    <row r="10" spans="1:22">
      <c r="A10" s="6"/>
      <c r="B10" s="6"/>
      <c r="C10" s="6"/>
      <c r="D10" s="2"/>
      <c r="E10" s="702" t="s">
        <v>3379</v>
      </c>
      <c r="F10" s="1603" t="s">
        <v>3820</v>
      </c>
    </row>
    <row r="11" spans="1:22">
      <c r="A11" s="6"/>
      <c r="B11" s="6"/>
      <c r="C11" s="6"/>
      <c r="D11" s="2"/>
    </row>
    <row r="12" spans="1:22">
      <c r="A12" s="6"/>
      <c r="B12" s="6"/>
      <c r="C12" s="6"/>
      <c r="D12" s="2"/>
    </row>
    <row r="13" spans="1:22">
      <c r="A13" s="6"/>
      <c r="B13" s="6"/>
      <c r="C13" s="6"/>
      <c r="D13" s="2"/>
    </row>
    <row r="14" spans="1:22">
      <c r="A14" t="s">
        <v>73</v>
      </c>
    </row>
    <row r="15" spans="1:22">
      <c r="A15" s="702" t="s">
        <v>3378</v>
      </c>
      <c r="O15" s="2840" t="s">
        <v>3253</v>
      </c>
      <c r="V15" s="2840" t="s">
        <v>3254</v>
      </c>
    </row>
    <row r="16" spans="1:22">
      <c r="A16" s="702" t="s">
        <v>3380</v>
      </c>
      <c r="B16" s="702" t="s">
        <v>3381</v>
      </c>
      <c r="O16" s="2840"/>
      <c r="V16" s="2840"/>
    </row>
    <row r="17" spans="1:28" outlineLevel="1">
      <c r="A17" s="3897" t="s">
        <v>3382</v>
      </c>
      <c r="B17" s="3904" t="s">
        <v>3809</v>
      </c>
      <c r="C17" s="3905" t="s">
        <v>3383</v>
      </c>
      <c r="D17" s="3906"/>
      <c r="E17" s="3907"/>
      <c r="F17" s="3905" t="s">
        <v>3384</v>
      </c>
      <c r="G17" s="3906"/>
      <c r="H17" s="3907"/>
      <c r="I17" s="3915" t="s">
        <v>3385</v>
      </c>
      <c r="J17" s="3908" t="s">
        <v>3386</v>
      </c>
      <c r="K17" s="2434" t="s">
        <v>2609</v>
      </c>
      <c r="O17" s="3899" t="s">
        <v>3387</v>
      </c>
      <c r="P17" s="3898" t="s">
        <v>3388</v>
      </c>
      <c r="Q17" s="1349" t="s">
        <v>3389</v>
      </c>
      <c r="R17" s="1349" t="s">
        <v>3390</v>
      </c>
      <c r="S17" s="2735"/>
      <c r="T17" s="3899" t="s">
        <v>3391</v>
      </c>
      <c r="V17" s="3899" t="s">
        <v>3387</v>
      </c>
      <c r="W17" s="3898" t="s">
        <v>3388</v>
      </c>
      <c r="X17" s="1349" t="s">
        <v>3389</v>
      </c>
      <c r="Y17" s="1349" t="s">
        <v>3390</v>
      </c>
      <c r="Z17" s="2735"/>
      <c r="AA17" s="3899" t="s">
        <v>3391</v>
      </c>
      <c r="AB17" s="3899" t="s">
        <v>3099</v>
      </c>
    </row>
    <row r="18" spans="1:28" ht="27" outlineLevel="1">
      <c r="A18" s="3897"/>
      <c r="B18" s="3897"/>
      <c r="C18" s="1348" t="s">
        <v>3392</v>
      </c>
      <c r="D18" s="1598" t="s">
        <v>3808</v>
      </c>
      <c r="E18" s="1348"/>
      <c r="F18" s="1348" t="s">
        <v>3392</v>
      </c>
      <c r="G18" s="1598" t="s">
        <v>3808</v>
      </c>
      <c r="H18" s="1348"/>
      <c r="I18" s="3916"/>
      <c r="J18" s="3909"/>
      <c r="K18" s="2434"/>
      <c r="O18" s="3900"/>
      <c r="P18" s="3898"/>
      <c r="Q18" s="1349" t="s">
        <v>549</v>
      </c>
      <c r="R18" s="1349" t="s">
        <v>549</v>
      </c>
      <c r="S18" s="2736"/>
      <c r="T18" s="3900"/>
      <c r="V18" s="3900"/>
      <c r="W18" s="3898"/>
      <c r="X18" s="1349" t="s">
        <v>549</v>
      </c>
      <c r="Y18" s="1349" t="s">
        <v>549</v>
      </c>
      <c r="Z18" s="2736"/>
      <c r="AA18" s="3900"/>
      <c r="AB18" s="3900"/>
    </row>
    <row r="19" spans="1:28" outlineLevel="1">
      <c r="A19" s="3910">
        <v>1.25</v>
      </c>
      <c r="B19" s="1350">
        <v>20</v>
      </c>
      <c r="C19" s="1351">
        <v>9.8000000000000004E-2</v>
      </c>
      <c r="D19" s="1352">
        <f>100*(C19*0.001*$J$3*$J$3-A19*$I$19)/(A19*$I$19)</f>
        <v>-100</v>
      </c>
      <c r="E19" s="1353"/>
      <c r="F19" s="1351">
        <v>-7.4999999999999997E-2</v>
      </c>
      <c r="G19" s="1352" t="e">
        <f>100*((ABS(F19)*0.001*$J$3*$J$3-$A$3*0.6))/($A$3*0.6)</f>
        <v>#VALUE!</v>
      </c>
      <c r="H19" s="1353"/>
      <c r="I19" s="3910">
        <v>0.8</v>
      </c>
      <c r="J19" s="3913">
        <v>100</v>
      </c>
      <c r="K19" s="2508" t="s">
        <v>3394</v>
      </c>
      <c r="O19" s="3901"/>
      <c r="P19" s="3898"/>
      <c r="Q19" s="1349" t="s">
        <v>3395</v>
      </c>
      <c r="R19" s="1349" t="s">
        <v>3395</v>
      </c>
      <c r="S19" s="2737"/>
      <c r="T19" s="3901"/>
      <c r="V19" s="3901"/>
      <c r="W19" s="3898"/>
      <c r="X19" s="1349" t="s">
        <v>3395</v>
      </c>
      <c r="Y19" s="1349" t="s">
        <v>3395</v>
      </c>
      <c r="Z19" s="2737"/>
      <c r="AA19" s="3901"/>
      <c r="AB19" s="3901"/>
    </row>
    <row r="20" spans="1:28" ht="14.25" customHeight="1" outlineLevel="1">
      <c r="A20" s="3911"/>
      <c r="B20" s="1350">
        <v>100</v>
      </c>
      <c r="C20" s="1351">
        <v>9.7000000000000003E-2</v>
      </c>
      <c r="D20" s="1352" t="e">
        <f t="shared" ref="D20:D39" si="0">100*(C20*0.001*$J$3*$J$3-A20*$I$19)/(A20*$I$19)</f>
        <v>#DIV/0!</v>
      </c>
      <c r="E20" s="1353"/>
      <c r="F20" s="1351">
        <v>-7.4999999999999997E-2</v>
      </c>
      <c r="G20" s="1352" t="e">
        <f>100*((ABS(F20)*0.001*$J$3*$J$3-$A$3*0.6))/($A$3*0.6)</f>
        <v>#VALUE!</v>
      </c>
      <c r="H20" s="1353"/>
      <c r="I20" s="3911"/>
      <c r="J20" s="3914"/>
      <c r="K20" s="3902"/>
      <c r="O20" s="2431">
        <v>1.25</v>
      </c>
      <c r="P20" s="731">
        <v>20</v>
      </c>
      <c r="Q20" s="731">
        <v>-2</v>
      </c>
      <c r="R20" s="731">
        <v>0</v>
      </c>
      <c r="S20" s="2431">
        <v>0.8</v>
      </c>
      <c r="T20" s="2509">
        <v>100</v>
      </c>
      <c r="V20" s="2431">
        <v>1.25</v>
      </c>
      <c r="W20" s="731">
        <v>20</v>
      </c>
      <c r="X20" s="731">
        <v>-2</v>
      </c>
      <c r="Y20" s="731">
        <v>0</v>
      </c>
      <c r="Z20" s="2431">
        <v>0.8</v>
      </c>
      <c r="AA20" s="2509">
        <v>100</v>
      </c>
      <c r="AB20" s="1749" t="s">
        <v>3502</v>
      </c>
    </row>
    <row r="21" spans="1:28" outlineLevel="1">
      <c r="A21" s="3912"/>
      <c r="B21" s="1350">
        <v>120</v>
      </c>
      <c r="C21" s="1351">
        <v>9.7000000000000003E-2</v>
      </c>
      <c r="D21" s="1352" t="e">
        <f t="shared" si="0"/>
        <v>#DIV/0!</v>
      </c>
      <c r="E21" s="1353"/>
      <c r="F21" s="1351">
        <v>-7.4999999999999997E-2</v>
      </c>
      <c r="G21" s="1352" t="e">
        <f>100*((ABS(F21)*0.001*$J$3*$J$3-$A$3*0.6))/($A$3*0.6)</f>
        <v>#VALUE!</v>
      </c>
      <c r="H21" s="1353"/>
      <c r="I21" s="3911"/>
      <c r="J21" s="3914"/>
      <c r="K21" s="3902"/>
      <c r="O21" s="2431"/>
      <c r="P21" s="731">
        <v>100</v>
      </c>
      <c r="Q21" s="731">
        <v>-2</v>
      </c>
      <c r="R21" s="731">
        <v>0</v>
      </c>
      <c r="S21" s="2431"/>
      <c r="T21" s="2509"/>
      <c r="V21" s="2431"/>
      <c r="W21" s="731">
        <v>100</v>
      </c>
      <c r="X21" s="731">
        <v>-2</v>
      </c>
      <c r="Y21" s="731">
        <v>0</v>
      </c>
      <c r="Z21" s="2431"/>
      <c r="AA21" s="2509"/>
      <c r="AB21" s="3902"/>
    </row>
    <row r="22" spans="1:28" outlineLevel="1">
      <c r="A22" s="3910">
        <v>2.5</v>
      </c>
      <c r="B22" s="1348">
        <v>20</v>
      </c>
      <c r="C22" s="1354">
        <v>0.19800000000000001</v>
      </c>
      <c r="D22" s="1352">
        <f t="shared" si="0"/>
        <v>-100</v>
      </c>
      <c r="E22" s="1355"/>
      <c r="F22" s="1354">
        <v>-0.151</v>
      </c>
      <c r="G22" s="1356" t="e">
        <f>100*((ABS(F22)*0.001*$J$3*$J$3-$A$6*0.6))/($A$6*0.6)</f>
        <v>#VALUE!</v>
      </c>
      <c r="H22" s="1355"/>
      <c r="I22" s="3911"/>
      <c r="J22" s="3914"/>
      <c r="K22" s="3902"/>
      <c r="O22" s="2431"/>
      <c r="P22" s="731">
        <v>120</v>
      </c>
      <c r="Q22" s="731">
        <v>-2</v>
      </c>
      <c r="R22" s="731">
        <v>0</v>
      </c>
      <c r="S22" s="2431"/>
      <c r="T22" s="2509"/>
      <c r="V22" s="2431"/>
      <c r="W22" s="731">
        <v>120</v>
      </c>
      <c r="X22" s="731">
        <v>-2</v>
      </c>
      <c r="Y22" s="731">
        <v>0</v>
      </c>
      <c r="Z22" s="2431"/>
      <c r="AA22" s="2509"/>
      <c r="AB22" s="3902"/>
    </row>
    <row r="23" spans="1:28" outlineLevel="1">
      <c r="A23" s="3911"/>
      <c r="B23" s="1348">
        <v>100</v>
      </c>
      <c r="C23" s="1354">
        <v>0.19700000000000001</v>
      </c>
      <c r="D23" s="1352" t="e">
        <f t="shared" si="0"/>
        <v>#DIV/0!</v>
      </c>
      <c r="E23" s="1355"/>
      <c r="F23" s="1354">
        <v>-0.151</v>
      </c>
      <c r="G23" s="1356" t="e">
        <f>100*((ABS(F23)*0.001*$J$3*$J$3-$A$6*0.6))/($A$6*0.6)</f>
        <v>#VALUE!</v>
      </c>
      <c r="H23" s="1355"/>
      <c r="I23" s="3911"/>
      <c r="J23" s="3914"/>
      <c r="K23" s="3902"/>
      <c r="O23" s="2431">
        <v>2.5</v>
      </c>
      <c r="P23" s="731">
        <v>20</v>
      </c>
      <c r="Q23" s="731">
        <v>-0.5</v>
      </c>
      <c r="R23" s="731">
        <v>0</v>
      </c>
      <c r="S23" s="2431"/>
      <c r="T23" s="2509"/>
      <c r="V23" s="2431">
        <v>2.5</v>
      </c>
      <c r="W23" s="731">
        <v>20</v>
      </c>
      <c r="X23" s="731">
        <v>-0.5</v>
      </c>
      <c r="Y23" s="731">
        <v>0</v>
      </c>
      <c r="Z23" s="2431"/>
      <c r="AA23" s="2509"/>
      <c r="AB23" s="3902"/>
    </row>
    <row r="24" spans="1:28" ht="15" outlineLevel="1" thickBot="1">
      <c r="A24" s="3912"/>
      <c r="B24" s="1348">
        <v>120</v>
      </c>
      <c r="C24" s="1354">
        <v>0.19700000000000001</v>
      </c>
      <c r="D24" s="1352" t="e">
        <f t="shared" si="0"/>
        <v>#DIV/0!</v>
      </c>
      <c r="E24" s="1355"/>
      <c r="F24" s="1354">
        <v>-0.151</v>
      </c>
      <c r="G24" s="1356" t="e">
        <f>100*((ABS(F24)*0.001*$J$3*$J$3-$A$6*0.6))/($A$6*0.6)</f>
        <v>#VALUE!</v>
      </c>
      <c r="H24" s="1355"/>
      <c r="I24" s="3911"/>
      <c r="J24" s="3914"/>
      <c r="K24" s="3902"/>
      <c r="O24" s="2431"/>
      <c r="P24" s="731">
        <v>100</v>
      </c>
      <c r="Q24" s="731">
        <v>-0.5</v>
      </c>
      <c r="R24" s="731">
        <v>0</v>
      </c>
      <c r="S24" s="2431"/>
      <c r="T24" s="2509"/>
      <c r="V24" s="2431"/>
      <c r="W24" s="731">
        <v>100</v>
      </c>
      <c r="X24" s="731">
        <v>-0.5</v>
      </c>
      <c r="Y24" s="731">
        <v>0</v>
      </c>
      <c r="Z24" s="2431"/>
      <c r="AA24" s="2509"/>
      <c r="AB24" s="3902"/>
    </row>
    <row r="25" spans="1:28" outlineLevel="1">
      <c r="A25" s="3910">
        <v>5</v>
      </c>
      <c r="B25" s="1348">
        <v>20</v>
      </c>
      <c r="C25" s="1354" t="s">
        <v>2032</v>
      </c>
      <c r="D25" s="1352" t="e">
        <f t="shared" si="0"/>
        <v>#VALUE!</v>
      </c>
      <c r="E25" s="1354"/>
      <c r="F25" s="1354" t="s">
        <v>2032</v>
      </c>
      <c r="G25" s="1354" t="s">
        <v>2032</v>
      </c>
      <c r="H25" s="1354"/>
      <c r="I25" s="3911"/>
      <c r="J25" s="3914"/>
      <c r="K25" s="3902"/>
      <c r="L25" s="3889" t="s">
        <v>3396</v>
      </c>
      <c r="M25" s="3839"/>
      <c r="N25" s="3839"/>
      <c r="O25" s="2431"/>
      <c r="P25" s="731">
        <v>120</v>
      </c>
      <c r="Q25" s="731">
        <v>-0.5</v>
      </c>
      <c r="R25" s="731">
        <v>0</v>
      </c>
      <c r="S25" s="2431"/>
      <c r="T25" s="2509"/>
      <c r="V25" s="2431"/>
      <c r="W25" s="731">
        <v>120</v>
      </c>
      <c r="X25" s="731">
        <v>-0.5</v>
      </c>
      <c r="Y25" s="731">
        <v>0</v>
      </c>
      <c r="Z25" s="2431"/>
      <c r="AA25" s="2509"/>
      <c r="AB25" s="3902"/>
    </row>
    <row r="26" spans="1:28" outlineLevel="1">
      <c r="A26" s="3911"/>
      <c r="B26" s="1348">
        <v>100</v>
      </c>
      <c r="C26" s="1354" t="s">
        <v>2032</v>
      </c>
      <c r="D26" s="1352" t="e">
        <f t="shared" si="0"/>
        <v>#VALUE!</v>
      </c>
      <c r="E26" s="1354"/>
      <c r="F26" s="1354" t="s">
        <v>2032</v>
      </c>
      <c r="G26" s="1354" t="s">
        <v>2032</v>
      </c>
      <c r="H26" s="1354"/>
      <c r="I26" s="3911"/>
      <c r="J26" s="3914"/>
      <c r="K26" s="3902"/>
      <c r="L26" s="3890"/>
      <c r="M26" s="3890"/>
      <c r="N26" s="3890"/>
      <c r="O26" s="2431">
        <v>3.75</v>
      </c>
      <c r="P26" s="731">
        <v>20</v>
      </c>
      <c r="Q26" s="731">
        <v>-0.7</v>
      </c>
      <c r="R26" s="731">
        <v>0</v>
      </c>
      <c r="S26" s="2431"/>
      <c r="T26" s="2509"/>
      <c r="V26" s="2431">
        <v>3.75</v>
      </c>
      <c r="W26" s="731">
        <v>20</v>
      </c>
      <c r="X26" s="731">
        <v>-0.7</v>
      </c>
      <c r="Y26" s="731">
        <v>0</v>
      </c>
      <c r="Z26" s="2431"/>
      <c r="AA26" s="2509"/>
      <c r="AB26" s="3902"/>
    </row>
    <row r="27" spans="1:28" outlineLevel="1">
      <c r="A27" s="3912"/>
      <c r="B27" s="1348">
        <v>120</v>
      </c>
      <c r="C27" s="1354" t="s">
        <v>2032</v>
      </c>
      <c r="D27" s="1352" t="e">
        <f t="shared" si="0"/>
        <v>#VALUE!</v>
      </c>
      <c r="E27" s="1354"/>
      <c r="F27" s="1354" t="s">
        <v>2032</v>
      </c>
      <c r="G27" s="1354" t="s">
        <v>2032</v>
      </c>
      <c r="H27" s="1354"/>
      <c r="I27" s="3911"/>
      <c r="J27" s="3914"/>
      <c r="K27" s="3902"/>
      <c r="L27" s="3890"/>
      <c r="M27" s="3890"/>
      <c r="N27" s="3890"/>
      <c r="O27" s="2431"/>
      <c r="P27" s="731">
        <v>100</v>
      </c>
      <c r="Q27" s="731">
        <v>-1</v>
      </c>
      <c r="R27" s="731">
        <v>0.4</v>
      </c>
      <c r="S27" s="2431"/>
      <c r="T27" s="2509"/>
      <c r="V27" s="2431"/>
      <c r="W27" s="731">
        <v>100</v>
      </c>
      <c r="X27" s="731">
        <v>-1</v>
      </c>
      <c r="Y27" s="731">
        <v>0.4</v>
      </c>
      <c r="Z27" s="2431"/>
      <c r="AA27" s="2509"/>
      <c r="AB27" s="3902"/>
    </row>
    <row r="28" spans="1:28" outlineLevel="1">
      <c r="A28" s="3910">
        <v>10</v>
      </c>
      <c r="B28" s="1348">
        <v>20</v>
      </c>
      <c r="C28" s="1354">
        <v>0.8</v>
      </c>
      <c r="D28" s="1352">
        <f t="shared" si="0"/>
        <v>-100</v>
      </c>
      <c r="E28" s="1355"/>
      <c r="F28" s="1354">
        <v>-0.60299999999999998</v>
      </c>
      <c r="G28" s="1356" t="e">
        <f>100*((ABS(F28)*0.001*$J$3*$J$3-$A$12*0.6))/($A$12*0.6)</f>
        <v>#DIV/0!</v>
      </c>
      <c r="H28" s="1355"/>
      <c r="I28" s="3911"/>
      <c r="J28" s="3914"/>
      <c r="K28" s="3902"/>
      <c r="L28" s="3890"/>
      <c r="M28" s="3890"/>
      <c r="N28" s="3890"/>
      <c r="O28" s="2431"/>
      <c r="P28" s="731">
        <v>120</v>
      </c>
      <c r="Q28" s="731">
        <v>-1</v>
      </c>
      <c r="R28" s="731">
        <v>0.4</v>
      </c>
      <c r="S28" s="2431"/>
      <c r="T28" s="2509"/>
      <c r="V28" s="2431"/>
      <c r="W28" s="731">
        <v>120</v>
      </c>
      <c r="X28" s="731">
        <v>-1</v>
      </c>
      <c r="Y28" s="731">
        <v>0.4</v>
      </c>
      <c r="Z28" s="2431"/>
      <c r="AA28" s="2509"/>
      <c r="AB28" s="3902"/>
    </row>
    <row r="29" spans="1:28" outlineLevel="1">
      <c r="A29" s="3911"/>
      <c r="B29" s="1348">
        <v>100</v>
      </c>
      <c r="C29" s="1354">
        <v>0.79700000000000004</v>
      </c>
      <c r="D29" s="1352" t="e">
        <f t="shared" si="0"/>
        <v>#DIV/0!</v>
      </c>
      <c r="E29" s="1355"/>
      <c r="F29" s="1354">
        <v>-0.60499999999999998</v>
      </c>
      <c r="G29" s="1356" t="e">
        <f>100*((ABS(F29)*0.001*$J$3*$J$3-$A$12*0.6))/($A$12*0.6)</f>
        <v>#DIV/0!</v>
      </c>
      <c r="H29" s="1355"/>
      <c r="I29" s="3911"/>
      <c r="J29" s="3914"/>
      <c r="K29" s="3902" t="s">
        <v>3397</v>
      </c>
      <c r="L29" s="3890"/>
      <c r="M29" s="3890"/>
      <c r="N29" s="3890"/>
      <c r="O29" s="2431">
        <v>5</v>
      </c>
      <c r="P29" s="731">
        <v>20</v>
      </c>
      <c r="Q29" s="731">
        <v>-0.7</v>
      </c>
      <c r="R29" s="731">
        <v>0.3</v>
      </c>
      <c r="S29" s="2431"/>
      <c r="T29" s="2509"/>
      <c r="V29" s="2431">
        <v>5</v>
      </c>
      <c r="W29" s="731">
        <v>20</v>
      </c>
      <c r="X29" s="731">
        <v>-0.7</v>
      </c>
      <c r="Y29" s="731">
        <v>0.3</v>
      </c>
      <c r="Z29" s="2431"/>
      <c r="AA29" s="2509"/>
      <c r="AB29" s="3902"/>
    </row>
    <row r="30" spans="1:28" outlineLevel="1">
      <c r="A30" s="3912"/>
      <c r="B30" s="1348">
        <v>120</v>
      </c>
      <c r="C30" s="1354">
        <v>0.79800000000000004</v>
      </c>
      <c r="D30" s="1352" t="e">
        <f t="shared" si="0"/>
        <v>#DIV/0!</v>
      </c>
      <c r="E30" s="1355"/>
      <c r="F30" s="1354">
        <v>-0.60499999999999998</v>
      </c>
      <c r="G30" s="1356" t="e">
        <f>100*((ABS(F30)*0.001*$J$3*$J$3-$A$12*0.6))/($A$12*0.6)</f>
        <v>#DIV/0!</v>
      </c>
      <c r="H30" s="1355"/>
      <c r="I30" s="3911"/>
      <c r="J30" s="3914"/>
      <c r="K30" s="3902"/>
      <c r="L30" s="3890"/>
      <c r="M30" s="3890"/>
      <c r="N30" s="3890"/>
      <c r="O30" s="2431"/>
      <c r="P30" s="731">
        <v>100</v>
      </c>
      <c r="Q30" s="731">
        <v>-1.3</v>
      </c>
      <c r="R30" s="731">
        <v>0.3</v>
      </c>
      <c r="S30" s="2431"/>
      <c r="T30" s="2509"/>
      <c r="V30" s="2431"/>
      <c r="W30" s="731">
        <v>100</v>
      </c>
      <c r="X30" s="731">
        <v>-1.3</v>
      </c>
      <c r="Y30" s="731">
        <v>0.3</v>
      </c>
      <c r="Z30" s="2431"/>
      <c r="AA30" s="2509"/>
      <c r="AB30" s="3902" t="s">
        <v>3397</v>
      </c>
    </row>
    <row r="31" spans="1:28" ht="15" outlineLevel="1" thickBot="1">
      <c r="A31" s="3910">
        <v>20</v>
      </c>
      <c r="B31" s="1348">
        <v>20</v>
      </c>
      <c r="C31" s="1354">
        <v>1.595</v>
      </c>
      <c r="D31" s="1352">
        <f t="shared" si="0"/>
        <v>-100</v>
      </c>
      <c r="E31" s="1355"/>
      <c r="F31" s="1354">
        <v>-1.2050000000000001</v>
      </c>
      <c r="G31" s="1356" t="e">
        <f>100*((ABS(F31)*0.001*$J$3*$J$3-$A$15*0.6))/($A$15*0.6)</f>
        <v>#VALUE!</v>
      </c>
      <c r="H31" s="1355"/>
      <c r="I31" s="3911"/>
      <c r="J31" s="3914"/>
      <c r="K31" s="3902"/>
      <c r="L31" s="3842"/>
      <c r="M31" s="3842"/>
      <c r="N31" s="3842"/>
      <c r="O31" s="2431"/>
      <c r="P31" s="731">
        <v>120</v>
      </c>
      <c r="Q31" s="731">
        <v>-1.3</v>
      </c>
      <c r="R31" s="731">
        <v>0.3</v>
      </c>
      <c r="S31" s="2431"/>
      <c r="T31" s="2509"/>
      <c r="V31" s="2431"/>
      <c r="W31" s="731">
        <v>120</v>
      </c>
      <c r="X31" s="731">
        <v>-1.3</v>
      </c>
      <c r="Y31" s="731">
        <v>0.3</v>
      </c>
      <c r="Z31" s="2431"/>
      <c r="AA31" s="2509"/>
      <c r="AB31" s="3902"/>
    </row>
    <row r="32" spans="1:28" outlineLevel="1">
      <c r="A32" s="3911"/>
      <c r="B32" s="1348">
        <v>100</v>
      </c>
      <c r="C32" s="1354">
        <v>1.59</v>
      </c>
      <c r="D32" s="1352" t="e">
        <f t="shared" si="0"/>
        <v>#DIV/0!</v>
      </c>
      <c r="E32" s="1355"/>
      <c r="F32" s="1354">
        <v>-1.2090000000000001</v>
      </c>
      <c r="G32" s="1356" t="e">
        <f>100*((ABS(F32)*0.001*$J$3*$J$3-$A$15*0.6))/($A$15*0.6)</f>
        <v>#VALUE!</v>
      </c>
      <c r="H32" s="1355"/>
      <c r="I32" s="3911"/>
      <c r="J32" s="3914"/>
      <c r="K32" s="3902"/>
      <c r="O32" s="2431">
        <v>6.25</v>
      </c>
      <c r="P32" s="731">
        <v>20</v>
      </c>
      <c r="Q32" s="731">
        <v>-0.6</v>
      </c>
      <c r="R32" s="731">
        <v>0.3</v>
      </c>
      <c r="S32" s="2431"/>
      <c r="T32" s="2509"/>
      <c r="V32" s="2431">
        <v>6.25</v>
      </c>
      <c r="W32" s="731">
        <v>20</v>
      </c>
      <c r="X32" s="731">
        <v>-0.6</v>
      </c>
      <c r="Y32" s="731">
        <v>0.3</v>
      </c>
      <c r="Z32" s="2431"/>
      <c r="AA32" s="2509"/>
      <c r="AB32" s="3902"/>
    </row>
    <row r="33" spans="1:28" outlineLevel="1">
      <c r="A33" s="3912"/>
      <c r="B33" s="1348">
        <v>120</v>
      </c>
      <c r="C33" s="1354">
        <v>1.591</v>
      </c>
      <c r="D33" s="1352" t="e">
        <f t="shared" si="0"/>
        <v>#DIV/0!</v>
      </c>
      <c r="E33" s="1355"/>
      <c r="F33" s="1354">
        <v>-1.2090000000000001</v>
      </c>
      <c r="G33" s="1356" t="e">
        <f>100*((ABS(F33)*0.001*$J$3*$J$3-$A$15*0.6))/($A$15*0.6)</f>
        <v>#VALUE!</v>
      </c>
      <c r="H33" s="1355"/>
      <c r="I33" s="3911"/>
      <c r="J33" s="3914"/>
      <c r="K33" s="3902"/>
      <c r="O33" s="2431"/>
      <c r="P33" s="731">
        <v>100</v>
      </c>
      <c r="Q33" s="731">
        <v>-1</v>
      </c>
      <c r="R33" s="731">
        <v>0.5</v>
      </c>
      <c r="S33" s="2431"/>
      <c r="T33" s="2509"/>
      <c r="V33" s="2431"/>
      <c r="W33" s="731">
        <v>100</v>
      </c>
      <c r="X33" s="731">
        <v>-1</v>
      </c>
      <c r="Y33" s="731">
        <v>0.5</v>
      </c>
      <c r="Z33" s="2431"/>
      <c r="AA33" s="2509"/>
      <c r="AB33" s="3902"/>
    </row>
    <row r="34" spans="1:28" outlineLevel="1">
      <c r="A34" s="3910">
        <v>40</v>
      </c>
      <c r="B34" s="1348">
        <v>20</v>
      </c>
      <c r="C34" s="1356">
        <v>3.14</v>
      </c>
      <c r="D34" s="1352">
        <f t="shared" si="0"/>
        <v>-100</v>
      </c>
      <c r="E34" s="1355"/>
      <c r="F34" s="1356">
        <v>-2.41</v>
      </c>
      <c r="G34" s="1356">
        <f>100*((ABS(F34)*0.001*$J$3*$J$3-$A$19*0.6))/($A$19*0.6)</f>
        <v>-100</v>
      </c>
      <c r="H34" s="1355"/>
      <c r="I34" s="3911"/>
      <c r="J34" s="3914"/>
      <c r="K34" s="3902"/>
      <c r="O34" s="2431"/>
      <c r="P34" s="731">
        <v>120</v>
      </c>
      <c r="Q34" s="731">
        <v>-1</v>
      </c>
      <c r="R34" s="731">
        <v>0.8</v>
      </c>
      <c r="S34" s="2431"/>
      <c r="T34" s="2509"/>
      <c r="V34" s="2431"/>
      <c r="W34" s="731">
        <v>120</v>
      </c>
      <c r="X34" s="731">
        <v>-1</v>
      </c>
      <c r="Y34" s="731">
        <v>0.8</v>
      </c>
      <c r="Z34" s="2431"/>
      <c r="AA34" s="2509"/>
      <c r="AB34" s="3902"/>
    </row>
    <row r="35" spans="1:28" outlineLevel="1">
      <c r="A35" s="3911"/>
      <c r="B35" s="1348">
        <v>100</v>
      </c>
      <c r="C35" s="1356">
        <v>3.15</v>
      </c>
      <c r="D35" s="1352" t="e">
        <f t="shared" si="0"/>
        <v>#DIV/0!</v>
      </c>
      <c r="E35" s="1355"/>
      <c r="F35" s="1356">
        <v>-2.41</v>
      </c>
      <c r="G35" s="1356">
        <f>100*((ABS(F35)*0.001*$J$3*$J$3-$A$19*0.6))/($A$19*0.6)</f>
        <v>-100</v>
      </c>
      <c r="H35" s="1355"/>
      <c r="I35" s="3911"/>
      <c r="J35" s="3914"/>
      <c r="K35" s="3902"/>
      <c r="O35" s="2431">
        <v>7.5</v>
      </c>
      <c r="P35" s="731">
        <v>20</v>
      </c>
      <c r="Q35" s="731">
        <v>-0.3</v>
      </c>
      <c r="R35" s="731">
        <v>0</v>
      </c>
      <c r="S35" s="2431"/>
      <c r="T35" s="2509"/>
      <c r="V35" s="2431">
        <v>7.5</v>
      </c>
      <c r="W35" s="731">
        <v>20</v>
      </c>
      <c r="X35" s="731">
        <v>-0.3</v>
      </c>
      <c r="Y35" s="731">
        <v>0</v>
      </c>
      <c r="Z35" s="2431"/>
      <c r="AA35" s="2509"/>
      <c r="AB35" s="3902"/>
    </row>
    <row r="36" spans="1:28" outlineLevel="1">
      <c r="A36" s="3912"/>
      <c r="B36" s="1348">
        <v>120</v>
      </c>
      <c r="C36" s="1356">
        <v>3.15</v>
      </c>
      <c r="D36" s="1352" t="e">
        <f t="shared" si="0"/>
        <v>#DIV/0!</v>
      </c>
      <c r="E36" s="1355"/>
      <c r="F36" s="1356">
        <v>-2.41</v>
      </c>
      <c r="G36" s="1356">
        <f>100*((ABS(F36)*0.001*$J$3*$J$3-$A$19*0.6))/($A$19*0.6)</f>
        <v>-100</v>
      </c>
      <c r="H36" s="1355"/>
      <c r="I36" s="3911"/>
      <c r="J36" s="3914"/>
      <c r="K36" s="3902"/>
      <c r="O36" s="2431"/>
      <c r="P36" s="731">
        <v>100</v>
      </c>
      <c r="Q36" s="731">
        <v>-0.7</v>
      </c>
      <c r="R36" s="731">
        <v>0.4</v>
      </c>
      <c r="S36" s="2431"/>
      <c r="T36" s="2509"/>
      <c r="V36" s="2431"/>
      <c r="W36" s="731">
        <v>100</v>
      </c>
      <c r="X36" s="731">
        <v>-0.7</v>
      </c>
      <c r="Y36" s="731">
        <v>0.4</v>
      </c>
      <c r="Z36" s="2431"/>
      <c r="AA36" s="2509"/>
      <c r="AB36" s="3902"/>
    </row>
    <row r="37" spans="1:28" outlineLevel="1">
      <c r="A37" s="3910">
        <v>80</v>
      </c>
      <c r="B37" s="1348">
        <v>20</v>
      </c>
      <c r="C37" s="1356">
        <v>6.38</v>
      </c>
      <c r="D37" s="1352">
        <f t="shared" si="0"/>
        <v>-100</v>
      </c>
      <c r="E37" s="1355"/>
      <c r="F37" s="1356">
        <v>-4.83</v>
      </c>
      <c r="G37" s="1356">
        <f>100*((ABS(F37)*0.001*$J$3*$J$3-$A$22*0.6))/($A$22*0.6)</f>
        <v>-100</v>
      </c>
      <c r="H37" s="1355"/>
      <c r="I37" s="3911"/>
      <c r="J37" s="3914"/>
      <c r="K37" s="3902"/>
      <c r="O37" s="2431"/>
      <c r="P37" s="731">
        <v>120</v>
      </c>
      <c r="Q37" s="731">
        <v>-0.7</v>
      </c>
      <c r="R37" s="731">
        <v>0.4</v>
      </c>
      <c r="S37" s="2431"/>
      <c r="T37" s="2509"/>
      <c r="V37" s="2431"/>
      <c r="W37" s="731">
        <v>120</v>
      </c>
      <c r="X37" s="731">
        <v>-0.7</v>
      </c>
      <c r="Y37" s="731">
        <v>0.4</v>
      </c>
      <c r="Z37" s="2431"/>
      <c r="AA37" s="2509"/>
      <c r="AB37" s="3902"/>
    </row>
    <row r="38" spans="1:28" outlineLevel="1">
      <c r="A38" s="3911"/>
      <c r="B38" s="1348">
        <v>100</v>
      </c>
      <c r="C38" s="1356">
        <v>6.38</v>
      </c>
      <c r="D38" s="1352" t="e">
        <f t="shared" si="0"/>
        <v>#DIV/0!</v>
      </c>
      <c r="E38" s="1355"/>
      <c r="F38" s="1356">
        <v>-4.84</v>
      </c>
      <c r="G38" s="1356">
        <f>100*((ABS(F38)*0.001*$J$3*$J$3-$A$22*0.6))/($A$22*0.6)</f>
        <v>-100</v>
      </c>
      <c r="H38" s="1355"/>
      <c r="I38" s="3911"/>
      <c r="J38" s="1357"/>
      <c r="K38" s="3902"/>
      <c r="O38" s="2431">
        <v>10</v>
      </c>
      <c r="P38" s="731">
        <v>20</v>
      </c>
      <c r="Q38" s="731">
        <v>-0.2</v>
      </c>
      <c r="R38" s="731">
        <v>0.5</v>
      </c>
      <c r="S38" s="2431"/>
      <c r="T38" s="2509"/>
      <c r="V38" s="2431">
        <v>10</v>
      </c>
      <c r="W38" s="731">
        <v>20</v>
      </c>
      <c r="X38" s="731">
        <v>-0.2</v>
      </c>
      <c r="Y38" s="731">
        <v>0.5</v>
      </c>
      <c r="Z38" s="2431"/>
      <c r="AA38" s="2509"/>
      <c r="AB38" s="3902"/>
    </row>
    <row r="39" spans="1:28" outlineLevel="1">
      <c r="A39" s="3912"/>
      <c r="B39" s="1348">
        <v>120</v>
      </c>
      <c r="C39" s="1356">
        <v>6.39</v>
      </c>
      <c r="D39" s="1352" t="e">
        <f t="shared" si="0"/>
        <v>#DIV/0!</v>
      </c>
      <c r="E39" s="1355"/>
      <c r="F39" s="1356">
        <v>-4.84</v>
      </c>
      <c r="G39" s="1356">
        <f>100*((ABS(F39)*0.001*$J$3*$J$3-$A$22*0.6))/($A$22*0.6)</f>
        <v>-100</v>
      </c>
      <c r="H39" s="1355"/>
      <c r="I39" s="3912"/>
      <c r="J39" s="974"/>
      <c r="K39" s="3903"/>
      <c r="O39" s="2431"/>
      <c r="P39" s="731">
        <v>100</v>
      </c>
      <c r="Q39" s="731">
        <v>-1</v>
      </c>
      <c r="R39" s="731">
        <v>0.8</v>
      </c>
      <c r="S39" s="2431"/>
      <c r="T39" s="2509"/>
      <c r="V39" s="2431"/>
      <c r="W39" s="731">
        <v>100</v>
      </c>
      <c r="X39" s="731">
        <v>-1</v>
      </c>
      <c r="Y39" s="731">
        <v>0.8</v>
      </c>
      <c r="Z39" s="2431"/>
      <c r="AA39" s="2509"/>
      <c r="AB39" s="3902"/>
    </row>
    <row r="40" spans="1:28">
      <c r="O40" s="2431"/>
      <c r="P40" s="731">
        <v>120</v>
      </c>
      <c r="Q40" s="731">
        <v>-1</v>
      </c>
      <c r="R40" s="731">
        <v>0.8</v>
      </c>
      <c r="S40" s="2431"/>
      <c r="T40" s="2509"/>
      <c r="V40" s="2431"/>
      <c r="W40" s="731">
        <v>120</v>
      </c>
      <c r="X40" s="731">
        <v>-1</v>
      </c>
      <c r="Y40" s="731">
        <v>0.8</v>
      </c>
      <c r="Z40" s="2431"/>
      <c r="AA40" s="2509"/>
      <c r="AB40" s="3903"/>
    </row>
    <row r="41" spans="1:28">
      <c r="A41" s="702" t="s">
        <v>3398</v>
      </c>
      <c r="L41" s="29"/>
      <c r="M41" s="29"/>
      <c r="N41" s="29"/>
      <c r="O41" s="29"/>
      <c r="P41" s="29"/>
      <c r="Q41" s="29"/>
      <c r="R41" s="29"/>
      <c r="S41" s="29"/>
      <c r="T41" s="29"/>
      <c r="U41" s="29"/>
    </row>
    <row r="42" spans="1:28" s="4" customFormat="1" ht="14.25" customHeight="1" outlineLevel="1">
      <c r="A42" s="3918" t="s">
        <v>3399</v>
      </c>
      <c r="B42" s="3919" t="s">
        <v>3817</v>
      </c>
      <c r="C42" s="3918" t="s">
        <v>3400</v>
      </c>
      <c r="D42" s="3918"/>
      <c r="E42" s="3918"/>
      <c r="F42" s="3918" t="s">
        <v>3401</v>
      </c>
      <c r="G42" s="3918"/>
      <c r="H42" s="3918"/>
      <c r="I42" s="2257" t="s">
        <v>3402</v>
      </c>
      <c r="J42" s="3918" t="s">
        <v>3386</v>
      </c>
      <c r="K42" s="2434" t="s">
        <v>2609</v>
      </c>
      <c r="L42" s="29"/>
      <c r="M42" s="29"/>
      <c r="N42" s="29"/>
      <c r="O42" s="29"/>
      <c r="P42" s="29"/>
      <c r="Q42" s="29"/>
      <c r="R42" s="29"/>
      <c r="S42" s="29"/>
      <c r="T42" s="29"/>
      <c r="U42" s="29"/>
    </row>
    <row r="43" spans="1:28" s="4" customFormat="1" ht="24" outlineLevel="1">
      <c r="A43" s="3918"/>
      <c r="B43" s="3918"/>
      <c r="C43" s="1294" t="s">
        <v>3392</v>
      </c>
      <c r="D43" s="1294" t="s">
        <v>3393</v>
      </c>
      <c r="E43" s="1294"/>
      <c r="F43" s="1294" t="s">
        <v>3392</v>
      </c>
      <c r="G43" s="1294" t="s">
        <v>3393</v>
      </c>
      <c r="H43" s="1294"/>
      <c r="I43" s="2249"/>
      <c r="J43" s="3918"/>
      <c r="K43" s="2434"/>
      <c r="L43" s="29"/>
      <c r="M43" s="29"/>
      <c r="N43" s="29"/>
      <c r="O43" s="3917" t="s">
        <v>3403</v>
      </c>
      <c r="P43" s="3917"/>
      <c r="Q43" s="3917"/>
      <c r="R43" s="3917"/>
      <c r="S43" s="3917"/>
      <c r="T43" s="29"/>
      <c r="U43" s="29"/>
    </row>
    <row r="44" spans="1:28" outlineLevel="1">
      <c r="A44" s="2234">
        <v>1.25</v>
      </c>
      <c r="B44" s="1154">
        <v>20</v>
      </c>
      <c r="C44" s="2">
        <v>0.29899999999999999</v>
      </c>
      <c r="D44" s="2" t="e">
        <f>100*(C44*0.001*$J$3*$J$3-$A$3*$I$44)/($A$3*$I$44)</f>
        <v>#VALUE!</v>
      </c>
      <c r="E44" s="2"/>
      <c r="F44" s="2">
        <v>-0.22700000000000001</v>
      </c>
      <c r="G44" s="2" t="e">
        <f>100*((ABS(F44)*0.001*$J$3*$J$3-$A$3*0.6))/($A$3*0.6)</f>
        <v>#VALUE!</v>
      </c>
      <c r="H44" s="2"/>
      <c r="I44" s="2234">
        <v>0.8</v>
      </c>
      <c r="J44" s="2234">
        <v>57.7</v>
      </c>
      <c r="K44" s="2298"/>
      <c r="L44" s="29"/>
      <c r="M44" s="29"/>
      <c r="N44" s="29"/>
      <c r="O44" s="29"/>
      <c r="P44" s="29"/>
      <c r="Q44" s="29"/>
      <c r="R44" s="29"/>
      <c r="S44" s="29"/>
      <c r="T44" s="29"/>
      <c r="U44" s="29"/>
    </row>
    <row r="45" spans="1:28" outlineLevel="1">
      <c r="A45" s="2234"/>
      <c r="B45" s="1154">
        <v>100</v>
      </c>
      <c r="C45" s="2">
        <v>0.29699999999999999</v>
      </c>
      <c r="D45" s="2" t="e">
        <f t="shared" ref="D45:D88" si="1">100*(C45*0.001*$J$3*$J$3-$A$3*$I$44)/($A$3*$I$44)</f>
        <v>#VALUE!</v>
      </c>
      <c r="E45" s="2"/>
      <c r="F45" s="2">
        <v>-0.22700000000000001</v>
      </c>
      <c r="G45" s="2" t="e">
        <f>100*((ABS(F45)*0.001*$J$3*$J$3-$A$3*0.6))/($A$3*0.6)</f>
        <v>#VALUE!</v>
      </c>
      <c r="H45" s="2"/>
      <c r="I45" s="2234"/>
      <c r="J45" s="2234"/>
      <c r="K45" s="2298"/>
      <c r="L45" s="29"/>
      <c r="M45" s="29"/>
      <c r="N45" s="29"/>
      <c r="O45" s="29"/>
      <c r="P45" s="29"/>
      <c r="Q45" s="29"/>
      <c r="R45" s="29"/>
      <c r="S45" s="29"/>
      <c r="T45" s="29"/>
      <c r="U45" s="29"/>
    </row>
    <row r="46" spans="1:28" outlineLevel="1">
      <c r="A46" s="2234"/>
      <c r="B46" s="1154">
        <v>120</v>
      </c>
      <c r="C46" s="2">
        <v>0.29699999999999999</v>
      </c>
      <c r="D46" s="2" t="e">
        <f t="shared" si="1"/>
        <v>#VALUE!</v>
      </c>
      <c r="E46" s="2"/>
      <c r="F46" s="2">
        <v>-0.22700000000000001</v>
      </c>
      <c r="G46" s="2" t="e">
        <f>100*((ABS(F46)*0.001*$J$3*$J$3-$A$3*0.6))/($A$3*0.6)</f>
        <v>#VALUE!</v>
      </c>
      <c r="H46" s="2"/>
      <c r="I46" s="2234"/>
      <c r="J46" s="2234"/>
      <c r="K46" s="2298"/>
      <c r="L46" s="29"/>
      <c r="M46" s="29"/>
      <c r="N46" s="29"/>
      <c r="O46" s="29"/>
      <c r="P46" s="29"/>
      <c r="Q46" s="29"/>
      <c r="R46" s="29"/>
      <c r="S46" s="29"/>
      <c r="T46" s="29"/>
      <c r="U46" s="29"/>
    </row>
    <row r="47" spans="1:28" outlineLevel="1">
      <c r="A47" s="2234">
        <v>2.5</v>
      </c>
      <c r="B47" s="1154">
        <v>20</v>
      </c>
      <c r="C47" s="2">
        <v>0.59899999999999998</v>
      </c>
      <c r="D47" s="2" t="e">
        <f t="shared" si="1"/>
        <v>#VALUE!</v>
      </c>
      <c r="E47" s="2"/>
      <c r="F47" s="2">
        <v>-0.45200000000000001</v>
      </c>
      <c r="G47" s="2" t="e">
        <f>100*((ABS(F47)*0.001*$J$3*$J$3-$A$6*0.6))/($A$6*0.6)</f>
        <v>#VALUE!</v>
      </c>
      <c r="H47" s="2"/>
      <c r="I47" s="2234"/>
      <c r="J47" s="2234"/>
      <c r="K47" s="2298"/>
    </row>
    <row r="48" spans="1:28" outlineLevel="1">
      <c r="A48" s="2234"/>
      <c r="B48" s="1154">
        <v>100</v>
      </c>
      <c r="C48" s="2">
        <v>0.59699999999999998</v>
      </c>
      <c r="D48" s="2" t="e">
        <f t="shared" si="1"/>
        <v>#VALUE!</v>
      </c>
      <c r="E48" s="2"/>
      <c r="F48" s="2">
        <v>-0.45300000000000001</v>
      </c>
      <c r="G48" s="2" t="e">
        <f>100*((ABS(F48)*0.001*$J$3*$J$3-$A$6*0.6))/($A$6*0.6)</f>
        <v>#VALUE!</v>
      </c>
      <c r="H48" s="2"/>
      <c r="I48" s="2234"/>
      <c r="J48" s="2234"/>
      <c r="K48" s="2298"/>
    </row>
    <row r="49" spans="1:11" outlineLevel="1">
      <c r="A49" s="2234"/>
      <c r="B49" s="1154">
        <v>120</v>
      </c>
      <c r="C49" s="2">
        <v>0.59799999999999998</v>
      </c>
      <c r="D49" s="2" t="e">
        <f t="shared" si="1"/>
        <v>#VALUE!</v>
      </c>
      <c r="E49" s="2"/>
      <c r="F49" s="2">
        <v>-0.45300000000000001</v>
      </c>
      <c r="G49" s="2" t="e">
        <f>100*((ABS(F49)*0.001*$J$3*$J$3-$A$6*0.6))/($A$6*0.6)</f>
        <v>#VALUE!</v>
      </c>
      <c r="H49" s="2"/>
      <c r="I49" s="2234"/>
      <c r="J49" s="2234"/>
      <c r="K49" s="2298"/>
    </row>
    <row r="50" spans="1:11" outlineLevel="1">
      <c r="A50" s="2234">
        <v>3.75</v>
      </c>
      <c r="B50" s="1154">
        <v>20</v>
      </c>
      <c r="C50" s="2">
        <v>0.9</v>
      </c>
      <c r="D50" s="2" t="e">
        <f t="shared" si="1"/>
        <v>#VALUE!</v>
      </c>
      <c r="E50" s="2"/>
      <c r="F50" s="2">
        <v>-0.67900000000000005</v>
      </c>
      <c r="G50" s="2" t="e">
        <f>100*((ABS(F50)*0.001*$J$3*$J$3-$A$9*0.6))/($A$9*0.6)</f>
        <v>#DIV/0!</v>
      </c>
      <c r="H50" s="2"/>
      <c r="I50" s="2234"/>
      <c r="J50" s="2234"/>
      <c r="K50" s="2298"/>
    </row>
    <row r="51" spans="1:11" outlineLevel="1">
      <c r="A51" s="2234"/>
      <c r="B51" s="1154">
        <v>100</v>
      </c>
      <c r="C51" s="2">
        <v>0.89700000000000002</v>
      </c>
      <c r="D51" s="2" t="e">
        <f t="shared" si="1"/>
        <v>#VALUE!</v>
      </c>
      <c r="E51" s="2"/>
      <c r="F51" s="2">
        <v>-0.68100000000000005</v>
      </c>
      <c r="G51" s="2" t="e">
        <f>100*((ABS(F51)*0.001*$J$3*$J$3-$A$9*0.6))/($A$9*0.6)</f>
        <v>#DIV/0!</v>
      </c>
      <c r="H51" s="2"/>
      <c r="I51" s="2234"/>
      <c r="J51" s="2234"/>
      <c r="K51" s="2298"/>
    </row>
    <row r="52" spans="1:11" outlineLevel="1">
      <c r="A52" s="2234"/>
      <c r="B52" s="1154">
        <v>120</v>
      </c>
      <c r="C52" s="2">
        <v>0.89700000000000002</v>
      </c>
      <c r="D52" s="2" t="e">
        <f t="shared" si="1"/>
        <v>#VALUE!</v>
      </c>
      <c r="E52" s="2"/>
      <c r="F52" s="2">
        <v>-0.68100000000000005</v>
      </c>
      <c r="G52" s="2" t="e">
        <f>100*((ABS(F52)*0.001*$J$3*$J$3-$A$9*0.6))/($A$9*0.6)</f>
        <v>#DIV/0!</v>
      </c>
      <c r="H52" s="2"/>
      <c r="I52" s="2234"/>
      <c r="J52" s="2234"/>
      <c r="K52" s="2298"/>
    </row>
    <row r="53" spans="1:11" outlineLevel="1">
      <c r="A53" s="2234">
        <v>5</v>
      </c>
      <c r="B53" s="1154">
        <v>20</v>
      </c>
      <c r="C53" s="2">
        <v>1.204</v>
      </c>
      <c r="D53" s="2" t="e">
        <f t="shared" si="1"/>
        <v>#VALUE!</v>
      </c>
      <c r="E53" s="2"/>
      <c r="F53" s="2">
        <v>-0.90100000000000002</v>
      </c>
      <c r="G53" s="2" t="e">
        <f>100*((ABS(F53)*0.001*$J$3*$J$3-$A$12*0.6))/($A$12*0.6)</f>
        <v>#DIV/0!</v>
      </c>
      <c r="H53" s="2"/>
      <c r="I53" s="2234"/>
      <c r="J53" s="2234"/>
      <c r="K53" s="2298"/>
    </row>
    <row r="54" spans="1:11" outlineLevel="1">
      <c r="A54" s="2234"/>
      <c r="B54" s="1154">
        <v>100</v>
      </c>
      <c r="C54" s="2">
        <v>1.1950000000000001</v>
      </c>
      <c r="D54" s="2" t="e">
        <f t="shared" si="1"/>
        <v>#VALUE!</v>
      </c>
      <c r="E54" s="2"/>
      <c r="F54" s="2">
        <v>-0.90200000000000002</v>
      </c>
      <c r="G54" s="2" t="e">
        <f>100*((ABS(F54)*0.001*$J$3*$J$3-$A$12*0.6))/($A$12*0.6)</f>
        <v>#DIV/0!</v>
      </c>
      <c r="H54" s="2"/>
      <c r="I54" s="2234"/>
      <c r="J54" s="2234"/>
      <c r="K54" s="2298"/>
    </row>
    <row r="55" spans="1:11" outlineLevel="1">
      <c r="A55" s="2234"/>
      <c r="B55" s="1154">
        <v>120</v>
      </c>
      <c r="C55" s="2">
        <v>1.1950000000000001</v>
      </c>
      <c r="D55" s="2" t="e">
        <f t="shared" si="1"/>
        <v>#VALUE!</v>
      </c>
      <c r="E55" s="2"/>
      <c r="F55" s="2">
        <v>-0.90200000000000002</v>
      </c>
      <c r="G55" s="2" t="e">
        <f>100*((ABS(F55)*0.001*$J$3*$J$3-$A$12*0.6))/($A$12*0.6)</f>
        <v>#DIV/0!</v>
      </c>
      <c r="H55" s="2"/>
      <c r="I55" s="2234"/>
      <c r="J55" s="2234"/>
      <c r="K55" s="2298"/>
    </row>
    <row r="56" spans="1:11" outlineLevel="1">
      <c r="A56" s="2234">
        <v>6.25</v>
      </c>
      <c r="B56" s="1154">
        <v>20</v>
      </c>
      <c r="C56" s="2">
        <v>1.4950000000000001</v>
      </c>
      <c r="D56" s="2" t="e">
        <f t="shared" si="1"/>
        <v>#VALUE!</v>
      </c>
      <c r="E56" s="2"/>
      <c r="F56" s="2">
        <v>-1.123</v>
      </c>
      <c r="G56" s="2" t="e">
        <f>100*((ABS(F56)*0.001*$J$3*$J$3-$A$15*0.6))/($A$15*0.6)</f>
        <v>#VALUE!</v>
      </c>
      <c r="H56" s="2"/>
      <c r="I56" s="2234"/>
      <c r="J56" s="2234"/>
      <c r="K56" s="2298"/>
    </row>
    <row r="57" spans="1:11" outlineLevel="1">
      <c r="A57" s="2234"/>
      <c r="B57" s="1154">
        <v>100</v>
      </c>
      <c r="C57" s="2">
        <v>1.4850000000000001</v>
      </c>
      <c r="D57" s="2" t="e">
        <f t="shared" si="1"/>
        <v>#VALUE!</v>
      </c>
      <c r="E57" s="2"/>
      <c r="F57" s="2">
        <v>-1.131</v>
      </c>
      <c r="G57" s="2" t="e">
        <f>100*((ABS(F57)*0.001*$J$3*$J$3-$A$15*0.6))/($A$15*0.6)</f>
        <v>#VALUE!</v>
      </c>
      <c r="H57" s="2"/>
      <c r="I57" s="2234"/>
      <c r="J57" s="2234"/>
      <c r="K57" s="2298"/>
    </row>
    <row r="58" spans="1:11" outlineLevel="1">
      <c r="A58" s="2234"/>
      <c r="B58" s="1154">
        <v>120</v>
      </c>
      <c r="C58" s="2">
        <v>1.4850000000000001</v>
      </c>
      <c r="D58" s="2" t="e">
        <f t="shared" si="1"/>
        <v>#VALUE!</v>
      </c>
      <c r="E58" s="2"/>
      <c r="F58" s="2">
        <v>-1.131</v>
      </c>
      <c r="G58" s="2" t="e">
        <f>100*((ABS(F58)*0.001*$J$3*$J$3-$A$15*0.6))/($A$15*0.6)</f>
        <v>#VALUE!</v>
      </c>
      <c r="H58" s="2"/>
      <c r="I58" s="2234"/>
      <c r="J58" s="2234"/>
      <c r="K58" s="2298"/>
    </row>
    <row r="59" spans="1:11" outlineLevel="1">
      <c r="A59" s="2234">
        <v>7.5</v>
      </c>
      <c r="B59" s="1154">
        <v>20</v>
      </c>
      <c r="C59" s="2">
        <v>1.7909999999999999</v>
      </c>
      <c r="D59" s="2" t="e">
        <f t="shared" si="1"/>
        <v>#VALUE!</v>
      </c>
      <c r="E59" s="2"/>
      <c r="F59" s="2">
        <v>-1.3460000000000001</v>
      </c>
      <c r="G59" s="2">
        <f>100*((ABS(F59)*0.001*$J$3*$J$3-$A$19*0.6))/($A$19*0.6)</f>
        <v>-100</v>
      </c>
      <c r="H59" s="2"/>
      <c r="I59" s="2234"/>
      <c r="J59" s="2234"/>
      <c r="K59" s="2298"/>
    </row>
    <row r="60" spans="1:11" outlineLevel="1">
      <c r="A60" s="2234"/>
      <c r="B60" s="1154">
        <v>100</v>
      </c>
      <c r="C60" s="2">
        <v>1.778</v>
      </c>
      <c r="D60" s="2" t="e">
        <f t="shared" si="1"/>
        <v>#VALUE!</v>
      </c>
      <c r="E60" s="2"/>
      <c r="F60" s="2">
        <v>-1.3540000000000001</v>
      </c>
      <c r="G60" s="2">
        <f>100*((ABS(F60)*0.001*$J$3*$J$3-$A$19*0.6))/($A$19*0.6)</f>
        <v>-100</v>
      </c>
      <c r="H60" s="2"/>
      <c r="I60" s="2234"/>
      <c r="J60" s="2234"/>
      <c r="K60" s="2298"/>
    </row>
    <row r="61" spans="1:11" outlineLevel="1">
      <c r="A61" s="2234"/>
      <c r="B61" s="1154">
        <v>120</v>
      </c>
      <c r="C61" s="2">
        <v>1.776</v>
      </c>
      <c r="D61" s="2" t="e">
        <f t="shared" si="1"/>
        <v>#VALUE!</v>
      </c>
      <c r="E61" s="2"/>
      <c r="F61" s="2">
        <v>-1.353</v>
      </c>
      <c r="G61" s="2">
        <f>100*((ABS(F61)*0.001*$J$3*$J$3-$A$19*0.6))/($A$19*0.6)</f>
        <v>-100</v>
      </c>
      <c r="H61" s="2"/>
      <c r="I61" s="2234"/>
      <c r="J61" s="2234"/>
      <c r="K61" s="2298"/>
    </row>
    <row r="62" spans="1:11" outlineLevel="1">
      <c r="A62" s="2234">
        <v>10</v>
      </c>
      <c r="B62" s="1154">
        <v>20</v>
      </c>
      <c r="C62" s="2">
        <v>2.37</v>
      </c>
      <c r="D62" s="2" t="e">
        <f t="shared" si="1"/>
        <v>#VALUE!</v>
      </c>
      <c r="E62" s="2"/>
      <c r="F62" s="2">
        <v>-1.8</v>
      </c>
      <c r="G62" s="2">
        <f>100*((ABS(F62)*0.001*$J$3*$J$3-$A$22*0.6))/($A$22*0.6)</f>
        <v>-100</v>
      </c>
      <c r="H62" s="2"/>
      <c r="I62" s="2234"/>
      <c r="J62" s="2234"/>
      <c r="K62" s="2298"/>
    </row>
    <row r="63" spans="1:11" outlineLevel="1">
      <c r="A63" s="2234"/>
      <c r="B63" s="1154">
        <v>100</v>
      </c>
      <c r="C63" s="2">
        <v>2.3199999999999998</v>
      </c>
      <c r="D63" s="2" t="e">
        <f t="shared" si="1"/>
        <v>#VALUE!</v>
      </c>
      <c r="E63" s="2"/>
      <c r="F63" s="2">
        <v>-1.8</v>
      </c>
      <c r="G63" s="2">
        <f>100*((ABS(F63)*0.001*$J$3*$J$3-$A$22*0.6))/($A$22*0.6)</f>
        <v>-100</v>
      </c>
      <c r="H63" s="2"/>
      <c r="I63" s="2234"/>
      <c r="J63" s="2234"/>
      <c r="K63" s="2298"/>
    </row>
    <row r="64" spans="1:11" outlineLevel="1">
      <c r="A64" s="2234"/>
      <c r="B64" s="1154">
        <v>120</v>
      </c>
      <c r="C64" s="2">
        <v>2.3199999999999998</v>
      </c>
      <c r="D64" s="2" t="e">
        <f t="shared" si="1"/>
        <v>#VALUE!</v>
      </c>
      <c r="E64" s="2"/>
      <c r="F64" s="2">
        <v>-1.8</v>
      </c>
      <c r="G64" s="2">
        <f>100*((ABS(F64)*0.001*$J$3*$J$3-$A$22*0.6))/($A$22*0.6)</f>
        <v>-100</v>
      </c>
      <c r="H64" s="2"/>
      <c r="I64" s="2234"/>
      <c r="J64" s="2234"/>
      <c r="K64" s="2298"/>
    </row>
    <row r="65" spans="1:11" outlineLevel="1">
      <c r="A65" s="2234">
        <v>12.5</v>
      </c>
      <c r="B65" s="1154">
        <v>20</v>
      </c>
      <c r="C65" s="2">
        <v>2.93</v>
      </c>
      <c r="D65" s="2" t="e">
        <f t="shared" si="1"/>
        <v>#VALUE!</v>
      </c>
      <c r="E65" s="2"/>
      <c r="F65" s="2">
        <v>-2.2599999999999998</v>
      </c>
      <c r="G65" s="2">
        <f>100*((ABS(F65)*0.001*$J$3*$J$3-$A$25*0.6))/($A$25*0.6)</f>
        <v>-100</v>
      </c>
      <c r="H65" s="2"/>
      <c r="I65" s="2234"/>
      <c r="J65" s="2234"/>
      <c r="K65" s="2298"/>
    </row>
    <row r="66" spans="1:11" outlineLevel="1">
      <c r="A66" s="2234"/>
      <c r="B66" s="1154">
        <v>100</v>
      </c>
      <c r="C66" s="2">
        <v>2.87</v>
      </c>
      <c r="D66" s="2" t="e">
        <f t="shared" si="1"/>
        <v>#VALUE!</v>
      </c>
      <c r="E66" s="2"/>
      <c r="F66" s="2">
        <v>-2.2400000000000002</v>
      </c>
      <c r="G66" s="2">
        <f>100*((ABS(F66)*0.001*$J$3*$J$3-$A$25*0.6))/($A$25*0.6)</f>
        <v>-100</v>
      </c>
      <c r="H66" s="2"/>
      <c r="I66" s="2234"/>
      <c r="J66" s="2234"/>
      <c r="K66" s="2298"/>
    </row>
    <row r="67" spans="1:11" outlineLevel="1">
      <c r="A67" s="2234"/>
      <c r="B67" s="1154">
        <v>120</v>
      </c>
      <c r="C67" s="2">
        <v>2.87</v>
      </c>
      <c r="D67" s="2" t="e">
        <f t="shared" si="1"/>
        <v>#VALUE!</v>
      </c>
      <c r="E67" s="2"/>
      <c r="F67" s="2">
        <v>-2.25</v>
      </c>
      <c r="G67" s="2">
        <f>100*((ABS(F67)*0.001*$J$3*$J$3-$A$25*0.6))/($A$25*0.6)</f>
        <v>-100</v>
      </c>
      <c r="H67" s="2"/>
      <c r="I67" s="2234"/>
      <c r="J67" s="2234"/>
      <c r="K67" s="2298"/>
    </row>
    <row r="68" spans="1:11" outlineLevel="1">
      <c r="A68" s="2234">
        <v>15</v>
      </c>
      <c r="B68" s="1154">
        <v>20</v>
      </c>
      <c r="C68" s="2">
        <v>3.58</v>
      </c>
      <c r="D68" s="2" t="e">
        <f t="shared" si="1"/>
        <v>#VALUE!</v>
      </c>
      <c r="E68" s="2"/>
      <c r="F68" s="2">
        <v>-2.71</v>
      </c>
      <c r="G68" s="2">
        <f>100*((ABS(F68)*0.001*$J$3*$J$3-$A$28*0.6))/($A$28*0.6)</f>
        <v>-100</v>
      </c>
      <c r="H68" s="2"/>
      <c r="I68" s="2234"/>
      <c r="J68" s="2234"/>
      <c r="K68" s="2298"/>
    </row>
    <row r="69" spans="1:11" outlineLevel="1">
      <c r="A69" s="2234"/>
      <c r="B69" s="1154">
        <v>100</v>
      </c>
      <c r="C69" s="2">
        <v>3.55</v>
      </c>
      <c r="D69" s="2" t="e">
        <f t="shared" si="1"/>
        <v>#VALUE!</v>
      </c>
      <c r="E69" s="2"/>
      <c r="F69" s="2">
        <v>-2.72</v>
      </c>
      <c r="G69" s="2">
        <f>100*((ABS(F69)*0.001*$J$3*$J$3-$A$28*0.6))/($A$28*0.6)</f>
        <v>-100</v>
      </c>
      <c r="H69" s="2"/>
      <c r="I69" s="2234"/>
      <c r="J69" s="2234"/>
      <c r="K69" s="2298"/>
    </row>
    <row r="70" spans="1:11" outlineLevel="1">
      <c r="A70" s="2234"/>
      <c r="B70" s="1154">
        <v>120</v>
      </c>
      <c r="C70" s="2">
        <v>3.55</v>
      </c>
      <c r="D70" s="2" t="e">
        <f t="shared" si="1"/>
        <v>#VALUE!</v>
      </c>
      <c r="E70" s="2"/>
      <c r="F70" s="2">
        <v>-2.72</v>
      </c>
      <c r="G70" s="2">
        <f>100*((ABS(F70)*0.001*$J$3*$J$3-$A$28*0.6))/($A$28*0.6)</f>
        <v>-100</v>
      </c>
      <c r="H70" s="2"/>
      <c r="I70" s="2234"/>
      <c r="J70" s="2234"/>
      <c r="K70" s="2298"/>
    </row>
    <row r="71" spans="1:11" outlineLevel="1">
      <c r="A71" s="2234">
        <v>20</v>
      </c>
      <c r="B71" s="1154">
        <v>20</v>
      </c>
      <c r="C71" s="2">
        <v>4.78</v>
      </c>
      <c r="D71" s="2" t="e">
        <f t="shared" si="1"/>
        <v>#VALUE!</v>
      </c>
      <c r="E71" s="2"/>
      <c r="F71" s="2">
        <v>-3.62</v>
      </c>
      <c r="G71" s="2">
        <f>100*((ABS(F71)*0.001*$J$3*$J$3-$A$31*0.6))/($A$31*0.6)</f>
        <v>-100</v>
      </c>
      <c r="H71" s="2"/>
      <c r="I71" s="2234"/>
      <c r="J71" s="2234"/>
      <c r="K71" s="2298"/>
    </row>
    <row r="72" spans="1:11" outlineLevel="1">
      <c r="A72" s="2234"/>
      <c r="B72" s="1154">
        <v>100</v>
      </c>
      <c r="C72" s="2">
        <v>4.75</v>
      </c>
      <c r="D72" s="2" t="e">
        <f t="shared" si="1"/>
        <v>#VALUE!</v>
      </c>
      <c r="E72" s="2"/>
      <c r="F72" s="2">
        <v>-3.63</v>
      </c>
      <c r="G72" s="2">
        <f>100*((ABS(F72)*0.001*$J$3*$J$3-$A$31*0.6))/($A$31*0.6)</f>
        <v>-100</v>
      </c>
      <c r="H72" s="2"/>
      <c r="I72" s="2234"/>
      <c r="J72" s="2234"/>
      <c r="K72" s="2298"/>
    </row>
    <row r="73" spans="1:11" outlineLevel="1">
      <c r="A73" s="2234"/>
      <c r="B73" s="1154">
        <v>120</v>
      </c>
      <c r="C73" s="2">
        <v>4.75</v>
      </c>
      <c r="D73" s="2" t="e">
        <f t="shared" si="1"/>
        <v>#VALUE!</v>
      </c>
      <c r="E73" s="2"/>
      <c r="F73" s="2">
        <v>-3.63</v>
      </c>
      <c r="G73" s="2">
        <f>100*((ABS(F73)*0.001*$J$3*$J$3-$A$31*0.6))/($A$31*0.6)</f>
        <v>-100</v>
      </c>
      <c r="H73" s="2"/>
      <c r="I73" s="2234"/>
      <c r="J73" s="2234"/>
      <c r="K73" s="2298"/>
    </row>
    <row r="74" spans="1:11" outlineLevel="1">
      <c r="A74" s="2234">
        <v>25</v>
      </c>
      <c r="B74" s="1154">
        <v>20</v>
      </c>
      <c r="C74" s="2">
        <v>5.96</v>
      </c>
      <c r="D74" s="2" t="e">
        <f t="shared" si="1"/>
        <v>#VALUE!</v>
      </c>
      <c r="E74" s="2"/>
      <c r="F74" s="2">
        <v>-4.5199999999999996</v>
      </c>
      <c r="G74" s="2">
        <f>100*((ABS(F74)*0.001*$J$3*$J$3-$A$34*0.6))/($A$34*0.6)</f>
        <v>-100</v>
      </c>
      <c r="H74" s="2"/>
      <c r="I74" s="2234"/>
      <c r="J74" s="2234"/>
      <c r="K74" s="2298"/>
    </row>
    <row r="75" spans="1:11" outlineLevel="1">
      <c r="A75" s="2234"/>
      <c r="B75" s="1154">
        <v>100</v>
      </c>
      <c r="C75" s="2">
        <v>5.92</v>
      </c>
      <c r="D75" s="2" t="e">
        <f t="shared" si="1"/>
        <v>#VALUE!</v>
      </c>
      <c r="E75" s="2"/>
      <c r="F75" s="2">
        <v>-4.53</v>
      </c>
      <c r="G75" s="2">
        <f>100*((ABS(F75)*0.001*$J$3*$J$3-$A$34*0.6))/($A$34*0.6)</f>
        <v>-100</v>
      </c>
      <c r="H75" s="2"/>
      <c r="I75" s="2234"/>
      <c r="J75" s="2234"/>
      <c r="K75" s="2298"/>
    </row>
    <row r="76" spans="1:11" outlineLevel="1">
      <c r="A76" s="2234"/>
      <c r="B76" s="1154">
        <v>120</v>
      </c>
      <c r="C76" s="2">
        <v>5.92</v>
      </c>
      <c r="D76" s="2" t="e">
        <f t="shared" si="1"/>
        <v>#VALUE!</v>
      </c>
      <c r="E76" s="2"/>
      <c r="F76" s="2">
        <v>-4.53</v>
      </c>
      <c r="G76" s="2">
        <f>100*((ABS(F76)*0.001*$J$3*$J$3-$A$34*0.6))/($A$34*0.6)</f>
        <v>-100</v>
      </c>
      <c r="H76" s="2"/>
      <c r="I76" s="2234"/>
      <c r="J76" s="2234"/>
      <c r="K76" s="2298"/>
    </row>
    <row r="77" spans="1:11" outlineLevel="1">
      <c r="A77" s="2234">
        <v>30</v>
      </c>
      <c r="B77" s="1154">
        <v>20</v>
      </c>
      <c r="C77" s="2">
        <v>7.13</v>
      </c>
      <c r="D77" s="2" t="e">
        <f t="shared" si="1"/>
        <v>#VALUE!</v>
      </c>
      <c r="E77" s="2"/>
      <c r="F77" s="2">
        <v>-5.45</v>
      </c>
      <c r="G77" s="2">
        <f>100*((ABS(F77)*0.001*$J$3*$J$3-$A$37*0.6))/($A$37*0.6)</f>
        <v>-100</v>
      </c>
      <c r="H77" s="2"/>
      <c r="I77" s="2234"/>
      <c r="J77" s="2234"/>
      <c r="K77" s="2298"/>
    </row>
    <row r="78" spans="1:11" outlineLevel="1">
      <c r="A78" s="2234"/>
      <c r="B78" s="1154">
        <v>100</v>
      </c>
      <c r="C78" s="2">
        <v>7.07</v>
      </c>
      <c r="D78" s="2" t="e">
        <f t="shared" si="1"/>
        <v>#VALUE!</v>
      </c>
      <c r="E78" s="2"/>
      <c r="F78" s="2">
        <v>-5.45</v>
      </c>
      <c r="G78" s="2">
        <f>100*((ABS(F78)*0.001*$J$3*$J$3-$A$37*0.6))/($A$37*0.6)</f>
        <v>-100</v>
      </c>
      <c r="H78" s="2"/>
      <c r="I78" s="2234"/>
      <c r="J78" s="2234"/>
      <c r="K78" s="2298"/>
    </row>
    <row r="79" spans="1:11" outlineLevel="1">
      <c r="A79" s="2234"/>
      <c r="B79" s="1154">
        <v>120</v>
      </c>
      <c r="C79" s="2">
        <v>7.07</v>
      </c>
      <c r="D79" s="2" t="e">
        <f t="shared" si="1"/>
        <v>#VALUE!</v>
      </c>
      <c r="E79" s="2"/>
      <c r="F79" s="2">
        <v>-5.45</v>
      </c>
      <c r="G79" s="2">
        <f>100*((ABS(F79)*0.001*$J$3*$J$3-$A$37*0.6))/($A$37*0.6)</f>
        <v>-100</v>
      </c>
      <c r="H79" s="2"/>
      <c r="I79" s="2234"/>
      <c r="J79" s="2234"/>
      <c r="K79" s="2298"/>
    </row>
    <row r="80" spans="1:11" outlineLevel="1">
      <c r="A80" s="2234">
        <v>40</v>
      </c>
      <c r="B80" s="1154">
        <v>20</v>
      </c>
      <c r="C80" s="2">
        <v>9.58</v>
      </c>
      <c r="D80" s="2" t="e">
        <f t="shared" si="1"/>
        <v>#VALUE!</v>
      </c>
      <c r="E80" s="2"/>
      <c r="F80" s="2">
        <v>-7.4</v>
      </c>
      <c r="G80" s="2" t="e">
        <f>100*((ABS(F80)*0.001*$J$3*$J$3-$A$40*0.6))/($A$40*0.6)</f>
        <v>#DIV/0!</v>
      </c>
      <c r="H80" s="2"/>
      <c r="I80" s="2234"/>
      <c r="J80" s="2234"/>
      <c r="K80" s="2298"/>
    </row>
    <row r="81" spans="1:31" outlineLevel="1">
      <c r="A81" s="2234"/>
      <c r="B81" s="1154">
        <v>100</v>
      </c>
      <c r="C81" s="2">
        <v>9.5299999999999994</v>
      </c>
      <c r="D81" s="2" t="e">
        <f t="shared" si="1"/>
        <v>#VALUE!</v>
      </c>
      <c r="E81" s="2"/>
      <c r="F81" s="2">
        <v>-7.33</v>
      </c>
      <c r="G81" s="2" t="e">
        <f>100*((ABS(F81)*0.001*$J$3*$J$3-$A$40*0.6))/($A$40*0.6)</f>
        <v>#DIV/0!</v>
      </c>
      <c r="H81" s="2"/>
      <c r="I81" s="2234"/>
      <c r="J81" s="2234"/>
      <c r="K81" s="2298"/>
    </row>
    <row r="82" spans="1:31" outlineLevel="1">
      <c r="A82" s="2234"/>
      <c r="B82" s="1154">
        <v>120</v>
      </c>
      <c r="C82" s="2">
        <v>9.5299999999999994</v>
      </c>
      <c r="D82" s="2" t="e">
        <f t="shared" si="1"/>
        <v>#VALUE!</v>
      </c>
      <c r="E82" s="2"/>
      <c r="F82" s="2">
        <v>-7.33</v>
      </c>
      <c r="G82" s="2" t="e">
        <f>100*((ABS(F82)*0.001*$J$3*$J$3-$A$40*0.6))/($A$40*0.6)</f>
        <v>#DIV/0!</v>
      </c>
      <c r="H82" s="2"/>
      <c r="I82" s="2234"/>
      <c r="J82" s="2234"/>
      <c r="K82" s="2298"/>
    </row>
    <row r="83" spans="1:31" outlineLevel="1">
      <c r="A83" s="2234">
        <v>50</v>
      </c>
      <c r="B83" s="1154">
        <v>20</v>
      </c>
      <c r="C83" s="2">
        <v>11.8</v>
      </c>
      <c r="D83" s="2" t="e">
        <f t="shared" si="1"/>
        <v>#VALUE!</v>
      </c>
      <c r="E83" s="2"/>
      <c r="F83" s="2">
        <v>-9.16</v>
      </c>
      <c r="G83" s="2">
        <f>100*((ABS(F83)*0.001*$J$3*$J$3-$A$44*0.6))/($A$44*0.6)</f>
        <v>-100</v>
      </c>
      <c r="H83" s="2"/>
      <c r="I83" s="2234"/>
      <c r="J83" s="2234"/>
      <c r="K83" s="2298"/>
    </row>
    <row r="84" spans="1:31" outlineLevel="1">
      <c r="A84" s="2234"/>
      <c r="B84" s="1154">
        <v>100</v>
      </c>
      <c r="C84" s="2">
        <v>11.75</v>
      </c>
      <c r="D84" s="2" t="e">
        <f t="shared" si="1"/>
        <v>#VALUE!</v>
      </c>
      <c r="E84" s="2"/>
      <c r="F84" s="2">
        <v>-9.2200000000000006</v>
      </c>
      <c r="G84" s="2">
        <f>100*((ABS(F84)*0.001*$J$3*$J$3-$A$44*0.6))/($A$44*0.6)</f>
        <v>-100</v>
      </c>
      <c r="H84" s="2"/>
      <c r="I84" s="2234"/>
      <c r="J84" s="2234"/>
      <c r="K84" s="2298"/>
    </row>
    <row r="85" spans="1:31" outlineLevel="1">
      <c r="A85" s="2234"/>
      <c r="B85" s="1154">
        <v>120</v>
      </c>
      <c r="C85" s="2">
        <v>11.78</v>
      </c>
      <c r="D85" s="2" t="e">
        <f t="shared" si="1"/>
        <v>#VALUE!</v>
      </c>
      <c r="E85" s="2"/>
      <c r="F85" s="2">
        <v>-9.2200000000000006</v>
      </c>
      <c r="G85" s="2">
        <f>100*((ABS(F85)*0.001*$J$3*$J$3-$A$44*0.6))/($A$44*0.6)</f>
        <v>-100</v>
      </c>
      <c r="H85" s="2"/>
      <c r="I85" s="2234"/>
      <c r="J85" s="2234"/>
      <c r="K85" s="2298"/>
    </row>
    <row r="86" spans="1:31" outlineLevel="1">
      <c r="A86" s="2234">
        <v>60</v>
      </c>
      <c r="B86" s="1154">
        <v>20</v>
      </c>
      <c r="C86" s="2">
        <v>14.17</v>
      </c>
      <c r="D86" s="2" t="e">
        <f t="shared" si="1"/>
        <v>#VALUE!</v>
      </c>
      <c r="E86" s="2"/>
      <c r="F86" s="2">
        <v>-10.86</v>
      </c>
      <c r="G86" s="2">
        <f>100*((ABS(F86)*0.001*$J$3*$J$3-$A$47*0.6))/($A$47*0.6)</f>
        <v>-100</v>
      </c>
      <c r="H86" s="2"/>
      <c r="I86" s="2234"/>
      <c r="J86" s="2234"/>
      <c r="K86" s="2298"/>
    </row>
    <row r="87" spans="1:31" outlineLevel="1">
      <c r="A87" s="2234"/>
      <c r="B87" s="1154">
        <v>100</v>
      </c>
      <c r="C87" s="2">
        <v>14.1</v>
      </c>
      <c r="D87" s="2" t="e">
        <f t="shared" si="1"/>
        <v>#VALUE!</v>
      </c>
      <c r="E87" s="2"/>
      <c r="F87" s="2">
        <v>-10.86</v>
      </c>
      <c r="G87" s="2">
        <f>100*((ABS(F87)*0.001*$J$3*$J$3-$A$47*0.6))/($A$47*0.6)</f>
        <v>-100</v>
      </c>
      <c r="H87" s="2"/>
      <c r="I87" s="2234"/>
      <c r="J87" s="2234"/>
      <c r="K87" s="2298"/>
    </row>
    <row r="88" spans="1:31" outlineLevel="1">
      <c r="A88" s="2234"/>
      <c r="B88" s="1154">
        <v>120</v>
      </c>
      <c r="C88" s="2">
        <v>14.12</v>
      </c>
      <c r="D88" s="2" t="e">
        <f t="shared" si="1"/>
        <v>#VALUE!</v>
      </c>
      <c r="E88" s="2"/>
      <c r="F88" s="2">
        <v>-10.86</v>
      </c>
      <c r="G88" s="2">
        <f>100*((ABS(F88)*0.001*$J$3*$J$3-$A$47*0.6))/($A$47*0.6)</f>
        <v>-100</v>
      </c>
      <c r="H88" s="2"/>
      <c r="I88" s="2234"/>
      <c r="J88" s="2234"/>
      <c r="K88" s="2298"/>
    </row>
    <row r="90" spans="1:31">
      <c r="A90" s="702" t="s">
        <v>3404</v>
      </c>
    </row>
    <row r="91" spans="1:31">
      <c r="A91" s="702" t="s">
        <v>3405</v>
      </c>
      <c r="P91" t="s">
        <v>2158</v>
      </c>
      <c r="X91" t="s">
        <v>2157</v>
      </c>
    </row>
    <row r="92" spans="1:31" ht="29.25" customHeight="1" outlineLevel="1">
      <c r="A92" s="3896" t="s">
        <v>3818</v>
      </c>
      <c r="B92" s="3896" t="s">
        <v>3811</v>
      </c>
      <c r="C92" s="314">
        <v>0.06</v>
      </c>
      <c r="D92" s="2952" t="s">
        <v>3400</v>
      </c>
      <c r="E92" s="2234"/>
      <c r="F92" s="2952"/>
      <c r="G92" s="2234" t="s">
        <v>3401</v>
      </c>
      <c r="H92" s="2234"/>
      <c r="I92" s="2234"/>
      <c r="J92" s="2234"/>
      <c r="K92" s="2234" t="s">
        <v>3406</v>
      </c>
      <c r="L92" s="2434" t="s">
        <v>3407</v>
      </c>
      <c r="M92" s="702" t="s">
        <v>3408</v>
      </c>
      <c r="Q92" s="2257" t="s">
        <v>3409</v>
      </c>
      <c r="R92" s="2257" t="s">
        <v>3410</v>
      </c>
      <c r="S92" s="1349" t="s">
        <v>3389</v>
      </c>
      <c r="T92" s="1349" t="s">
        <v>3390</v>
      </c>
      <c r="U92" s="2234"/>
      <c r="V92" s="3898" t="s">
        <v>3411</v>
      </c>
      <c r="Y92" s="2234" t="s">
        <v>3409</v>
      </c>
      <c r="Z92" s="2234" t="s">
        <v>3410</v>
      </c>
      <c r="AA92" s="1349" t="s">
        <v>3389</v>
      </c>
      <c r="AB92" s="1349" t="s">
        <v>3390</v>
      </c>
      <c r="AC92" s="2234"/>
      <c r="AD92" s="3898" t="s">
        <v>3411</v>
      </c>
      <c r="AE92" s="2234" t="s">
        <v>3407</v>
      </c>
    </row>
    <row r="93" spans="1:31" ht="24" outlineLevel="1">
      <c r="A93" s="2234"/>
      <c r="B93" s="2234"/>
      <c r="C93" s="1600" t="s">
        <v>3813</v>
      </c>
      <c r="D93" s="1154" t="s">
        <v>3412</v>
      </c>
      <c r="E93" s="1599" t="s">
        <v>3810</v>
      </c>
      <c r="F93" s="1154"/>
      <c r="G93" s="1154" t="s">
        <v>3412</v>
      </c>
      <c r="H93" s="1599" t="s">
        <v>3810</v>
      </c>
      <c r="I93" s="1154"/>
      <c r="J93" s="2234"/>
      <c r="K93" s="2234"/>
      <c r="L93" s="2434"/>
      <c r="M93" s="1177" t="s">
        <v>3413</v>
      </c>
      <c r="N93" s="247"/>
      <c r="O93" s="247"/>
      <c r="Q93" s="2258"/>
      <c r="R93" s="2258"/>
      <c r="S93" s="2" t="s">
        <v>549</v>
      </c>
      <c r="T93" s="2" t="s">
        <v>549</v>
      </c>
      <c r="U93" s="2234"/>
      <c r="V93" s="3898"/>
      <c r="Y93" s="2234"/>
      <c r="Z93" s="2234"/>
      <c r="AA93" s="2" t="s">
        <v>549</v>
      </c>
      <c r="AB93" s="2" t="s">
        <v>549</v>
      </c>
      <c r="AC93" s="2234"/>
      <c r="AD93" s="3898"/>
      <c r="AE93" s="2234"/>
    </row>
    <row r="94" spans="1:31" outlineLevel="1">
      <c r="A94" s="2234">
        <v>2.5</v>
      </c>
      <c r="B94" s="1154">
        <v>5</v>
      </c>
      <c r="C94" s="1154">
        <v>2.4E-2</v>
      </c>
      <c r="D94" s="6">
        <f>C94+$C$92</f>
        <v>8.3999999999999991E-2</v>
      </c>
      <c r="E94" s="2" t="e">
        <f>100*($A$3/($J$3^2)*$J$94-D94)/D94</f>
        <v>#VALUE!</v>
      </c>
      <c r="F94" s="2"/>
      <c r="G94" s="2">
        <v>5.8999999999999997E-2</v>
      </c>
      <c r="H94" s="2" t="e">
        <f>100*($A$3/($J$3^2)*0.6-G94)/G94</f>
        <v>#VALUE!</v>
      </c>
      <c r="I94" s="2"/>
      <c r="J94" s="2234">
        <v>0.8</v>
      </c>
      <c r="K94" s="2234">
        <v>5</v>
      </c>
      <c r="L94" s="2298"/>
      <c r="Q94" s="2249"/>
      <c r="R94" s="2249"/>
      <c r="S94" s="2" t="s">
        <v>3395</v>
      </c>
      <c r="T94" s="2" t="s">
        <v>3395</v>
      </c>
      <c r="U94" s="2234"/>
      <c r="V94" s="3898"/>
      <c r="Y94" s="2234"/>
      <c r="Z94" s="2234"/>
      <c r="AA94" s="2" t="s">
        <v>3395</v>
      </c>
      <c r="AB94" s="2" t="s">
        <v>3395</v>
      </c>
      <c r="AC94" s="2234"/>
      <c r="AD94" s="3898"/>
      <c r="AE94" s="2234"/>
    </row>
    <row r="95" spans="1:31" outlineLevel="1">
      <c r="A95" s="2234"/>
      <c r="B95" s="1154">
        <v>100</v>
      </c>
      <c r="C95" s="1154"/>
      <c r="D95" s="2" t="e">
        <f>#REF!+#REF!</f>
        <v>#REF!</v>
      </c>
      <c r="E95" s="2" t="e">
        <f>100*($A$3/($J$3^2)*0.8-D95)/D95</f>
        <v>#VALUE!</v>
      </c>
      <c r="F95" s="2"/>
      <c r="G95" s="2">
        <v>5.8999999999999997E-2</v>
      </c>
      <c r="H95" s="2" t="e">
        <f>100*($A$3/($J$3^2)*0.6-G95)/G95</f>
        <v>#VALUE!</v>
      </c>
      <c r="I95" s="2"/>
      <c r="J95" s="2234"/>
      <c r="K95" s="2234"/>
      <c r="L95" s="2298"/>
      <c r="Q95" s="2234">
        <v>1.25</v>
      </c>
      <c r="R95" s="731">
        <v>5</v>
      </c>
      <c r="S95" s="731">
        <v>0</v>
      </c>
      <c r="T95" s="731">
        <v>-0.2</v>
      </c>
      <c r="U95" s="2234">
        <v>0.8</v>
      </c>
      <c r="V95" s="2234">
        <v>5</v>
      </c>
      <c r="Y95" s="2234">
        <v>1.25</v>
      </c>
      <c r="Z95" s="731">
        <v>5</v>
      </c>
      <c r="AA95" s="731">
        <v>0</v>
      </c>
      <c r="AB95" s="731">
        <v>-0.2</v>
      </c>
      <c r="AC95" s="2234">
        <v>0.8</v>
      </c>
      <c r="AD95" s="2234">
        <v>5</v>
      </c>
      <c r="AE95" s="2234" t="s">
        <v>3503</v>
      </c>
    </row>
    <row r="96" spans="1:31" outlineLevel="1">
      <c r="A96" s="2234"/>
      <c r="B96" s="1154">
        <v>120</v>
      </c>
      <c r="C96" s="1154"/>
      <c r="D96" s="2" t="e">
        <f>#REF!+#REF!</f>
        <v>#REF!</v>
      </c>
      <c r="E96" s="2" t="e">
        <f>100*($A$3/($J$3^2)*0.8-D96)/D96</f>
        <v>#VALUE!</v>
      </c>
      <c r="F96" s="2"/>
      <c r="G96" s="2">
        <v>5.8999999999999997E-2</v>
      </c>
      <c r="H96" s="2" t="e">
        <f>100*($A$3/($J$3^2)*0.6-G96)/G96</f>
        <v>#VALUE!</v>
      </c>
      <c r="I96" s="2"/>
      <c r="J96" s="2234"/>
      <c r="K96" s="2234"/>
      <c r="L96" s="2298"/>
      <c r="Q96" s="2234"/>
      <c r="R96" s="731">
        <v>100</v>
      </c>
      <c r="S96" s="731">
        <v>0.6</v>
      </c>
      <c r="T96" s="731">
        <v>0.6</v>
      </c>
      <c r="U96" s="2234"/>
      <c r="V96" s="2234"/>
      <c r="Y96" s="2234"/>
      <c r="Z96" s="731">
        <v>100</v>
      </c>
      <c r="AA96" s="731">
        <v>0.6</v>
      </c>
      <c r="AB96" s="731">
        <v>0.6</v>
      </c>
      <c r="AC96" s="2234"/>
      <c r="AD96" s="2234"/>
      <c r="AE96" s="2338"/>
    </row>
    <row r="97" spans="1:31" outlineLevel="1">
      <c r="A97" s="2234">
        <v>3.75</v>
      </c>
      <c r="B97" s="1154">
        <v>5</v>
      </c>
      <c r="C97" s="1154"/>
      <c r="D97" s="2" t="e">
        <f>#REF!+#REF!</f>
        <v>#REF!</v>
      </c>
      <c r="E97" s="2" t="e">
        <f>100*($A$6/($J$3^2)*0.8-D97)/D97</f>
        <v>#VALUE!</v>
      </c>
      <c r="F97" s="2"/>
      <c r="G97" s="2">
        <v>8.7999999999999995E-2</v>
      </c>
      <c r="H97" s="2" t="e">
        <f>100*($A$6/($J$3^2)*0.6-G97)/G97</f>
        <v>#VALUE!</v>
      </c>
      <c r="I97" s="2"/>
      <c r="J97" s="2234"/>
      <c r="K97" s="2234"/>
      <c r="L97" s="2298"/>
      <c r="Q97" s="2234"/>
      <c r="R97" s="731">
        <v>120</v>
      </c>
      <c r="S97" s="731">
        <v>0.5</v>
      </c>
      <c r="T97" s="731">
        <v>0.6</v>
      </c>
      <c r="U97" s="2234"/>
      <c r="V97" s="2234"/>
      <c r="Y97" s="2234"/>
      <c r="Z97" s="731">
        <v>120</v>
      </c>
      <c r="AA97" s="731">
        <v>0.5</v>
      </c>
      <c r="AB97" s="731">
        <v>0.6</v>
      </c>
      <c r="AC97" s="2234"/>
      <c r="AD97" s="2234"/>
      <c r="AE97" s="2338"/>
    </row>
    <row r="98" spans="1:31" outlineLevel="1">
      <c r="A98" s="2234"/>
      <c r="B98" s="1154">
        <v>100</v>
      </c>
      <c r="C98" s="1154"/>
      <c r="D98" s="2" t="e">
        <f>#REF!+#REF!</f>
        <v>#REF!</v>
      </c>
      <c r="E98" s="2" t="e">
        <f>100*($A$6/($J$3^2)*0.8-D98)/D98</f>
        <v>#VALUE!</v>
      </c>
      <c r="F98" s="2"/>
      <c r="G98" s="2">
        <v>8.8999999999999996E-2</v>
      </c>
      <c r="H98" s="2" t="e">
        <f>100*($A$6/($J$3^2)*0.6-G98)/G98</f>
        <v>#VALUE!</v>
      </c>
      <c r="I98" s="2"/>
      <c r="J98" s="2234"/>
      <c r="K98" s="2234"/>
      <c r="L98" s="2298"/>
      <c r="Q98" s="2234">
        <v>2.5</v>
      </c>
      <c r="R98" s="731">
        <v>5</v>
      </c>
      <c r="S98" s="731">
        <v>1.9</v>
      </c>
      <c r="T98" s="731">
        <v>-0.2</v>
      </c>
      <c r="U98" s="2234"/>
      <c r="V98" s="2234"/>
      <c r="Y98" s="2234">
        <v>2.5</v>
      </c>
      <c r="Z98" s="731">
        <v>5</v>
      </c>
      <c r="AA98" s="731">
        <v>1.9</v>
      </c>
      <c r="AB98" s="731">
        <v>-0.2</v>
      </c>
      <c r="AC98" s="2234"/>
      <c r="AD98" s="2234"/>
      <c r="AE98" s="2338"/>
    </row>
    <row r="99" spans="1:31" outlineLevel="1">
      <c r="A99" s="2234"/>
      <c r="B99" s="1154">
        <v>120</v>
      </c>
      <c r="C99" s="1154"/>
      <c r="D99" s="2" t="e">
        <f>#REF!+#REF!</f>
        <v>#REF!</v>
      </c>
      <c r="E99" s="2" t="e">
        <f>100*($A$6/($J$3^2)*0.8-D99)/D99</f>
        <v>#VALUE!</v>
      </c>
      <c r="F99" s="2"/>
      <c r="G99" s="2">
        <v>8.8999999999999996E-2</v>
      </c>
      <c r="H99" s="2" t="e">
        <f>100*($A$6/($J$3^2)*0.6-G99)/G99</f>
        <v>#VALUE!</v>
      </c>
      <c r="I99" s="2"/>
      <c r="J99" s="2234"/>
      <c r="K99" s="2234"/>
      <c r="L99" s="2298"/>
      <c r="Q99" s="2234"/>
      <c r="R99" s="731">
        <v>100</v>
      </c>
      <c r="S99" s="731">
        <v>1.2</v>
      </c>
      <c r="T99" s="731">
        <v>0.6</v>
      </c>
      <c r="U99" s="2234"/>
      <c r="V99" s="2234"/>
      <c r="Y99" s="2234"/>
      <c r="Z99" s="731">
        <v>100</v>
      </c>
      <c r="AA99" s="731">
        <v>1.2</v>
      </c>
      <c r="AB99" s="731">
        <v>0.6</v>
      </c>
      <c r="AC99" s="2234"/>
      <c r="AD99" s="2234"/>
      <c r="AE99" s="2338"/>
    </row>
    <row r="100" spans="1:31" outlineLevel="1">
      <c r="A100" s="2234">
        <v>5</v>
      </c>
      <c r="B100" s="1154">
        <v>5</v>
      </c>
      <c r="C100" s="1154"/>
      <c r="D100" s="2" t="e">
        <f>#REF!+#REF!</f>
        <v>#REF!</v>
      </c>
      <c r="E100" s="2" t="e">
        <f>100*($A$9/($J$3^2)*0.8-D100)/D100</f>
        <v>#DIV/0!</v>
      </c>
      <c r="F100" s="2"/>
      <c r="G100" s="2">
        <v>0.11799999999999999</v>
      </c>
      <c r="H100" s="2" t="e">
        <f>100*($A$9/($J$3^2)*0.6-G100)/G100</f>
        <v>#DIV/0!</v>
      </c>
      <c r="I100" s="2"/>
      <c r="J100" s="2234"/>
      <c r="K100" s="2234"/>
      <c r="L100" s="2298"/>
      <c r="Q100" s="2234"/>
      <c r="R100" s="731">
        <v>120</v>
      </c>
      <c r="S100" s="731">
        <v>1.2</v>
      </c>
      <c r="T100" s="731">
        <v>0.7</v>
      </c>
      <c r="U100" s="2234"/>
      <c r="V100" s="2234"/>
      <c r="Y100" s="2234"/>
      <c r="Z100" s="731">
        <v>120</v>
      </c>
      <c r="AA100" s="731">
        <v>1.2</v>
      </c>
      <c r="AB100" s="731">
        <v>0.7</v>
      </c>
      <c r="AC100" s="2234"/>
      <c r="AD100" s="2234"/>
      <c r="AE100" s="2338"/>
    </row>
    <row r="101" spans="1:31" outlineLevel="1">
      <c r="A101" s="2234"/>
      <c r="B101" s="1154">
        <v>100</v>
      </c>
      <c r="C101" s="1154"/>
      <c r="D101" s="2" t="e">
        <f>#REF!+#REF!</f>
        <v>#REF!</v>
      </c>
      <c r="E101" s="2" t="e">
        <f>100*($A$9/($J$3^2)*0.8-D101)/D101</f>
        <v>#DIV/0!</v>
      </c>
      <c r="F101" s="2"/>
      <c r="G101" s="2">
        <v>0.11899999999999999</v>
      </c>
      <c r="H101" s="2" t="e">
        <f>100*($A$9/($J$3^2)*0.6-G101)/G101</f>
        <v>#DIV/0!</v>
      </c>
      <c r="I101" s="2"/>
      <c r="J101" s="2234"/>
      <c r="K101" s="2234"/>
      <c r="L101" s="2298"/>
      <c r="Q101" s="2234">
        <v>3.75</v>
      </c>
      <c r="R101" s="731">
        <v>5</v>
      </c>
      <c r="S101" s="731">
        <v>1.1000000000000001</v>
      </c>
      <c r="T101" s="731">
        <v>-0.8</v>
      </c>
      <c r="U101" s="2234"/>
      <c r="V101" s="2234"/>
      <c r="Y101" s="2234">
        <v>3.75</v>
      </c>
      <c r="Z101" s="731">
        <v>5</v>
      </c>
      <c r="AA101" s="731">
        <v>1.1000000000000001</v>
      </c>
      <c r="AB101" s="731">
        <v>-0.8</v>
      </c>
      <c r="AC101" s="2234"/>
      <c r="AD101" s="2234"/>
      <c r="AE101" s="2338"/>
    </row>
    <row r="102" spans="1:31" outlineLevel="1">
      <c r="A102" s="2234"/>
      <c r="B102" s="1154">
        <v>120</v>
      </c>
      <c r="C102" s="1154"/>
      <c r="D102" s="2" t="e">
        <f>#REF!+#REF!</f>
        <v>#REF!</v>
      </c>
      <c r="E102" s="2" t="e">
        <f>100*($A$9/($J$3^2)*0.8-D102)/D102</f>
        <v>#DIV/0!</v>
      </c>
      <c r="F102" s="2"/>
      <c r="G102" s="2">
        <v>0.11899999999999999</v>
      </c>
      <c r="H102" s="2" t="e">
        <f>100*($A$9/($J$3^2)*0.6-G102)/G102</f>
        <v>#DIV/0!</v>
      </c>
      <c r="I102" s="2"/>
      <c r="J102" s="2234"/>
      <c r="K102" s="2234"/>
      <c r="L102" s="2298"/>
      <c r="Q102" s="2234"/>
      <c r="R102" s="731">
        <v>100</v>
      </c>
      <c r="S102" s="731">
        <v>-0.5</v>
      </c>
      <c r="T102" s="731">
        <v>0.8</v>
      </c>
      <c r="U102" s="2234"/>
      <c r="V102" s="2234"/>
      <c r="Y102" s="2234"/>
      <c r="Z102" s="731">
        <v>100</v>
      </c>
      <c r="AA102" s="731">
        <v>-0.5</v>
      </c>
      <c r="AB102" s="731">
        <v>0.8</v>
      </c>
      <c r="AC102" s="2234"/>
      <c r="AD102" s="2234"/>
      <c r="AE102" s="2338"/>
    </row>
    <row r="103" spans="1:31" outlineLevel="1">
      <c r="A103" s="2234">
        <v>6.25</v>
      </c>
      <c r="B103" s="1154">
        <v>5</v>
      </c>
      <c r="C103" s="1154"/>
      <c r="D103" s="2" t="e">
        <f>#REF!+#REF!</f>
        <v>#REF!</v>
      </c>
      <c r="E103" s="2" t="e">
        <f>100*($A$12/($J$3^2)*0.8-D103)/D103</f>
        <v>#DIV/0!</v>
      </c>
      <c r="F103" s="2"/>
      <c r="G103" s="2">
        <v>0.14799999999999999</v>
      </c>
      <c r="H103" s="2" t="e">
        <f>100*($A$12/($J$3^2)*0.6-G103)/G103</f>
        <v>#DIV/0!</v>
      </c>
      <c r="I103" s="2"/>
      <c r="J103" s="2234"/>
      <c r="K103" s="2234"/>
      <c r="L103" s="2298"/>
      <c r="Q103" s="2234"/>
      <c r="R103" s="731">
        <v>120</v>
      </c>
      <c r="S103" s="731">
        <v>-0.5</v>
      </c>
      <c r="T103" s="731">
        <v>0.8</v>
      </c>
      <c r="U103" s="2234"/>
      <c r="V103" s="2234"/>
      <c r="Y103" s="2234"/>
      <c r="Z103" s="731">
        <v>120</v>
      </c>
      <c r="AA103" s="731">
        <v>-0.5</v>
      </c>
      <c r="AB103" s="731">
        <v>0.8</v>
      </c>
      <c r="AC103" s="2234"/>
      <c r="AD103" s="2234"/>
      <c r="AE103" s="2338"/>
    </row>
    <row r="104" spans="1:31" outlineLevel="1">
      <c r="A104" s="2234"/>
      <c r="B104" s="1154">
        <v>100</v>
      </c>
      <c r="C104" s="1154"/>
      <c r="D104" s="2" t="e">
        <f>#REF!+#REF!</f>
        <v>#REF!</v>
      </c>
      <c r="E104" s="2" t="e">
        <f>100*($A$12/($J$3^2)*0.8-D104)/D104</f>
        <v>#DIV/0!</v>
      </c>
      <c r="F104" s="2"/>
      <c r="G104" s="2">
        <v>0.15</v>
      </c>
      <c r="H104" s="2" t="e">
        <f>100*($A$12/($J$3^2)*0.6-G104)/G104</f>
        <v>#DIV/0!</v>
      </c>
      <c r="I104" s="2"/>
      <c r="J104" s="2234"/>
      <c r="K104" s="2234"/>
      <c r="L104" s="2298"/>
      <c r="Q104" s="2234">
        <v>5</v>
      </c>
      <c r="R104" s="731">
        <v>5</v>
      </c>
      <c r="S104" s="731">
        <v>0.6</v>
      </c>
      <c r="T104" s="731">
        <v>-1</v>
      </c>
      <c r="U104" s="2234"/>
      <c r="V104" s="2234"/>
      <c r="Y104" s="2234">
        <v>5</v>
      </c>
      <c r="Z104" s="731">
        <v>5</v>
      </c>
      <c r="AA104" s="731">
        <v>0.6</v>
      </c>
      <c r="AB104" s="731">
        <v>-1</v>
      </c>
      <c r="AC104" s="2234"/>
      <c r="AD104" s="2234"/>
      <c r="AE104" s="2338"/>
    </row>
    <row r="105" spans="1:31" outlineLevel="1">
      <c r="A105" s="2234"/>
      <c r="B105" s="1154">
        <v>120</v>
      </c>
      <c r="C105" s="1154"/>
      <c r="D105" s="2" t="e">
        <f>#REF!+#REF!</f>
        <v>#REF!</v>
      </c>
      <c r="E105" s="2" t="e">
        <f>100*($A$12/($J$3^2)*0.8-D105)/D105</f>
        <v>#DIV/0!</v>
      </c>
      <c r="F105" s="2"/>
      <c r="G105" s="2">
        <v>0.15</v>
      </c>
      <c r="H105" s="2" t="e">
        <f>100*($A$12/($J$3^2)*0.6-G105)/G105</f>
        <v>#DIV/0!</v>
      </c>
      <c r="I105" s="2"/>
      <c r="J105" s="2234"/>
      <c r="K105" s="2234"/>
      <c r="L105" s="2298"/>
      <c r="Q105" s="2234"/>
      <c r="R105" s="731">
        <v>100</v>
      </c>
      <c r="S105" s="731">
        <v>0.4</v>
      </c>
      <c r="T105" s="731">
        <v>0.4</v>
      </c>
      <c r="U105" s="2234"/>
      <c r="V105" s="2234"/>
      <c r="Y105" s="2234"/>
      <c r="Z105" s="731">
        <v>100</v>
      </c>
      <c r="AA105" s="731">
        <v>0.4</v>
      </c>
      <c r="AB105" s="731">
        <v>0.4</v>
      </c>
      <c r="AC105" s="2234"/>
      <c r="AD105" s="2234"/>
      <c r="AE105" s="2338"/>
    </row>
    <row r="106" spans="1:31" outlineLevel="1">
      <c r="A106" s="2234">
        <v>7.5</v>
      </c>
      <c r="B106" s="1154">
        <v>5</v>
      </c>
      <c r="C106" s="1154"/>
      <c r="D106" s="2" t="e">
        <f>#REF!+#REF!</f>
        <v>#REF!</v>
      </c>
      <c r="E106" s="2" t="e">
        <f>100*($A$15/($J$3^2)*0.8-D106)/D106</f>
        <v>#VALUE!</v>
      </c>
      <c r="F106" s="2"/>
      <c r="G106" s="2">
        <v>0.17799999999999999</v>
      </c>
      <c r="H106" s="2" t="e">
        <f>100*($A$15/($J$3^2)*0.6-G106)/G106</f>
        <v>#VALUE!</v>
      </c>
      <c r="I106" s="2"/>
      <c r="J106" s="2234"/>
      <c r="K106" s="2234"/>
      <c r="L106" s="2298"/>
      <c r="Q106" s="2234"/>
      <c r="R106" s="731">
        <v>120</v>
      </c>
      <c r="S106" s="731">
        <v>0.2</v>
      </c>
      <c r="T106" s="731">
        <v>0.4</v>
      </c>
      <c r="U106" s="2234"/>
      <c r="V106" s="2234"/>
      <c r="Y106" s="2234"/>
      <c r="Z106" s="731">
        <v>120</v>
      </c>
      <c r="AA106" s="731">
        <v>0.2</v>
      </c>
      <c r="AB106" s="731">
        <v>0.4</v>
      </c>
      <c r="AC106" s="2234"/>
      <c r="AD106" s="2234"/>
      <c r="AE106" s="2338"/>
    </row>
    <row r="107" spans="1:31" outlineLevel="1">
      <c r="A107" s="2234"/>
      <c r="B107" s="1154">
        <v>100</v>
      </c>
      <c r="C107" s="1154"/>
      <c r="D107" s="2" t="e">
        <f>#REF!+#REF!</f>
        <v>#REF!</v>
      </c>
      <c r="E107" s="2" t="e">
        <f>100*($A$15/($J$3^2)*0.8-D107)/D107</f>
        <v>#VALUE!</v>
      </c>
      <c r="F107" s="2"/>
      <c r="G107" s="2">
        <v>0.18</v>
      </c>
      <c r="H107" s="2" t="e">
        <f>100*($A$15/($J$3^2)*0.6-G107)/G107</f>
        <v>#VALUE!</v>
      </c>
      <c r="I107" s="2"/>
      <c r="J107" s="2234"/>
      <c r="K107" s="2234"/>
      <c r="L107" s="2298"/>
      <c r="Q107" s="2234">
        <v>10</v>
      </c>
      <c r="R107" s="731">
        <v>5</v>
      </c>
      <c r="S107" s="731">
        <v>0.3</v>
      </c>
      <c r="T107" s="731">
        <v>-1.6</v>
      </c>
      <c r="U107" s="2234"/>
      <c r="V107" s="2234"/>
      <c r="Y107" s="2234">
        <v>10</v>
      </c>
      <c r="Z107" s="731">
        <v>5</v>
      </c>
      <c r="AA107" s="731">
        <v>0.3</v>
      </c>
      <c r="AB107" s="731">
        <v>-1.6</v>
      </c>
      <c r="AC107" s="2234"/>
      <c r="AD107" s="2234"/>
      <c r="AE107" s="2338"/>
    </row>
    <row r="108" spans="1:31" outlineLevel="1">
      <c r="A108" s="2234"/>
      <c r="B108" s="1154">
        <v>120</v>
      </c>
      <c r="C108" s="1154"/>
      <c r="D108" s="2" t="e">
        <f>#REF!+#REF!</f>
        <v>#REF!</v>
      </c>
      <c r="E108" s="2" t="e">
        <f>100*($A$15/($J$3^2)*0.8-D108)/D108</f>
        <v>#VALUE!</v>
      </c>
      <c r="F108" s="2"/>
      <c r="G108" s="2">
        <v>0.18099999999999999</v>
      </c>
      <c r="H108" s="2" t="e">
        <f>100*($A$15/($J$3^2)*0.6-G108)/G108</f>
        <v>#VALUE!</v>
      </c>
      <c r="I108" s="2"/>
      <c r="J108" s="2234"/>
      <c r="K108" s="2234"/>
      <c r="L108" s="2298"/>
      <c r="Q108" s="2234"/>
      <c r="R108" s="731">
        <v>100</v>
      </c>
      <c r="S108" s="731">
        <v>0.4</v>
      </c>
      <c r="T108" s="731">
        <v>0.7</v>
      </c>
      <c r="U108" s="2234"/>
      <c r="V108" s="2234"/>
      <c r="Y108" s="2234"/>
      <c r="Z108" s="731">
        <v>100</v>
      </c>
      <c r="AA108" s="731">
        <v>0.4</v>
      </c>
      <c r="AB108" s="731">
        <v>0.7</v>
      </c>
      <c r="AC108" s="2234"/>
      <c r="AD108" s="2234"/>
      <c r="AE108" s="2234" t="s">
        <v>3504</v>
      </c>
    </row>
    <row r="109" spans="1:31" outlineLevel="1">
      <c r="A109" s="2234">
        <v>10</v>
      </c>
      <c r="B109" s="1154">
        <v>5</v>
      </c>
      <c r="C109" s="1154"/>
      <c r="D109" s="2" t="e">
        <f>#REF!+#REF!</f>
        <v>#REF!</v>
      </c>
      <c r="E109" s="2" t="e">
        <f>100*($A$19/($J$3^2)*0.8-D109)/D109</f>
        <v>#DIV/0!</v>
      </c>
      <c r="F109" s="2"/>
      <c r="G109" s="2">
        <v>0.23799999999999999</v>
      </c>
      <c r="H109" s="2" t="e">
        <f>100*($A$19/($J$3^2)*0.6-G109)/G109</f>
        <v>#DIV/0!</v>
      </c>
      <c r="I109" s="2"/>
      <c r="J109" s="2234"/>
      <c r="K109" s="2234"/>
      <c r="L109" s="2298"/>
      <c r="Q109" s="2234"/>
      <c r="R109" s="731">
        <v>120</v>
      </c>
      <c r="S109" s="731">
        <v>0.5</v>
      </c>
      <c r="T109" s="731">
        <v>0.8</v>
      </c>
      <c r="U109" s="2234"/>
      <c r="V109" s="2234"/>
      <c r="Y109" s="2234"/>
      <c r="Z109" s="731">
        <v>120</v>
      </c>
      <c r="AA109" s="731">
        <v>0.5</v>
      </c>
      <c r="AB109" s="731">
        <v>0.8</v>
      </c>
      <c r="AC109" s="2234"/>
      <c r="AD109" s="2234"/>
      <c r="AE109" s="2338"/>
    </row>
    <row r="110" spans="1:31" outlineLevel="1">
      <c r="A110" s="2234"/>
      <c r="B110" s="1154">
        <v>100</v>
      </c>
      <c r="C110" s="1154"/>
      <c r="D110" s="2" t="e">
        <f>#REF!+#REF!</f>
        <v>#REF!</v>
      </c>
      <c r="E110" s="2" t="e">
        <f>100*($A$19/($J$3^2)*0.8-D110)/D110</f>
        <v>#DIV/0!</v>
      </c>
      <c r="F110" s="2"/>
      <c r="G110" s="2">
        <v>0.24099999999999999</v>
      </c>
      <c r="H110" s="2" t="e">
        <f>100*($A$19/($J$3^2)*0.6-G110)/G110</f>
        <v>#DIV/0!</v>
      </c>
      <c r="I110" s="2"/>
      <c r="J110" s="2234"/>
      <c r="K110" s="2234"/>
      <c r="L110" s="2298"/>
      <c r="Q110" s="2234">
        <v>15</v>
      </c>
      <c r="R110" s="731">
        <v>5</v>
      </c>
      <c r="S110" s="731">
        <v>1.2</v>
      </c>
      <c r="T110" s="731">
        <v>-0.9</v>
      </c>
      <c r="U110" s="2234"/>
      <c r="V110" s="2234"/>
      <c r="Y110" s="2234">
        <v>15</v>
      </c>
      <c r="Z110" s="731">
        <v>5</v>
      </c>
      <c r="AA110" s="731">
        <v>1.2</v>
      </c>
      <c r="AB110" s="731">
        <v>-0.9</v>
      </c>
      <c r="AC110" s="2234"/>
      <c r="AD110" s="2234"/>
      <c r="AE110" s="2338"/>
    </row>
    <row r="111" spans="1:31" outlineLevel="1">
      <c r="A111" s="2234"/>
      <c r="B111" s="1154">
        <v>120</v>
      </c>
      <c r="C111" s="1154"/>
      <c r="D111" s="2" t="e">
        <f>#REF!+#REF!</f>
        <v>#REF!</v>
      </c>
      <c r="E111" s="2" t="e">
        <f>100*($A$19/($J$3^2)*0.8-D111)/D111</f>
        <v>#DIV/0!</v>
      </c>
      <c r="F111" s="2"/>
      <c r="G111" s="2">
        <v>0.24099999999999999</v>
      </c>
      <c r="H111" s="2" t="e">
        <f>100*($A$19/($J$3^2)*0.6-G111)/G111</f>
        <v>#DIV/0!</v>
      </c>
      <c r="I111" s="2"/>
      <c r="J111" s="2234"/>
      <c r="K111" s="2234"/>
      <c r="L111" s="2298"/>
      <c r="Q111" s="2234"/>
      <c r="R111" s="731">
        <v>100</v>
      </c>
      <c r="S111" s="731">
        <v>1.3</v>
      </c>
      <c r="T111" s="731">
        <v>0.8</v>
      </c>
      <c r="U111" s="2234"/>
      <c r="V111" s="2234"/>
      <c r="Y111" s="2234"/>
      <c r="Z111" s="731">
        <v>100</v>
      </c>
      <c r="AA111" s="731">
        <v>1.3</v>
      </c>
      <c r="AB111" s="731">
        <v>0.8</v>
      </c>
      <c r="AC111" s="2234"/>
      <c r="AD111" s="2234"/>
      <c r="AE111" s="2338"/>
    </row>
    <row r="112" spans="1:31" outlineLevel="1">
      <c r="A112" s="2234">
        <v>12.5</v>
      </c>
      <c r="B112" s="1154">
        <v>5</v>
      </c>
      <c r="C112" s="1154"/>
      <c r="D112" s="2" t="e">
        <f>#REF!+#REF!</f>
        <v>#REF!</v>
      </c>
      <c r="E112" s="2" t="e">
        <f>100*($A$22/($J$3^2)*0.8-D112)/D112</f>
        <v>#DIV/0!</v>
      </c>
      <c r="F112" s="2"/>
      <c r="G112" s="1154">
        <v>0.29499999999999998</v>
      </c>
      <c r="H112" s="2" t="e">
        <f>100*($A$22/($J$3^2)*0.6-G112)/G112</f>
        <v>#DIV/0!</v>
      </c>
      <c r="I112" s="2"/>
      <c r="J112" s="2234"/>
      <c r="K112" s="2234"/>
      <c r="L112" s="2298"/>
      <c r="Q112" s="2234"/>
      <c r="R112" s="731">
        <v>120</v>
      </c>
      <c r="S112" s="731">
        <v>1.3</v>
      </c>
      <c r="T112" s="731">
        <v>1</v>
      </c>
      <c r="U112" s="2234"/>
      <c r="V112" s="2234"/>
      <c r="Y112" s="2234"/>
      <c r="Z112" s="731">
        <v>120</v>
      </c>
      <c r="AA112" s="731">
        <v>1.3</v>
      </c>
      <c r="AB112" s="731">
        <v>1</v>
      </c>
      <c r="AC112" s="2234"/>
      <c r="AD112" s="2234"/>
      <c r="AE112" s="2338"/>
    </row>
    <row r="113" spans="1:31" outlineLevel="1">
      <c r="A113" s="2234"/>
      <c r="B113" s="1154">
        <v>100</v>
      </c>
      <c r="C113" s="1154"/>
      <c r="D113" s="2" t="e">
        <f>#REF!+#REF!</f>
        <v>#REF!</v>
      </c>
      <c r="E113" s="2" t="e">
        <f>100*($A$22/($J$3^2)*0.8-D113)/D113</f>
        <v>#DIV/0!</v>
      </c>
      <c r="F113" s="2"/>
      <c r="G113" s="1154">
        <v>0.29799999999999999</v>
      </c>
      <c r="H113" s="2" t="e">
        <f>100*($A$22/($J$3^2)*0.6-G113)/G113</f>
        <v>#DIV/0!</v>
      </c>
      <c r="I113" s="2"/>
      <c r="J113" s="2234"/>
      <c r="K113" s="2234"/>
      <c r="L113" s="2298"/>
      <c r="Q113" s="2234">
        <v>20</v>
      </c>
      <c r="R113" s="731">
        <v>5</v>
      </c>
      <c r="S113" s="731">
        <v>1.5</v>
      </c>
      <c r="T113" s="731">
        <v>-0.4</v>
      </c>
      <c r="U113" s="2234"/>
      <c r="V113" s="2234"/>
      <c r="Y113" s="2234">
        <v>20</v>
      </c>
      <c r="Z113" s="731">
        <v>5</v>
      </c>
      <c r="AA113" s="731">
        <v>1.5</v>
      </c>
      <c r="AB113" s="731">
        <v>-0.4</v>
      </c>
      <c r="AC113" s="2234"/>
      <c r="AD113" s="2234"/>
      <c r="AE113" s="2338"/>
    </row>
    <row r="114" spans="1:31" outlineLevel="1">
      <c r="A114" s="2234"/>
      <c r="B114" s="1154">
        <v>120</v>
      </c>
      <c r="C114" s="1154"/>
      <c r="D114" s="2" t="e">
        <f>#REF!+#REF!</f>
        <v>#REF!</v>
      </c>
      <c r="E114" s="2" t="e">
        <f>100*($A$22/($J$3^2)*0.8-D114)/D114</f>
        <v>#DIV/0!</v>
      </c>
      <c r="F114" s="2"/>
      <c r="G114" s="1154">
        <v>0.29799999999999999</v>
      </c>
      <c r="H114" s="2" t="e">
        <f>100*($A$22/($J$3^2)*0.6-G114)/G114</f>
        <v>#DIV/0!</v>
      </c>
      <c r="I114" s="2"/>
      <c r="J114" s="2234"/>
      <c r="K114" s="2234"/>
      <c r="L114" s="2298"/>
      <c r="Q114" s="2234"/>
      <c r="R114" s="731">
        <v>100</v>
      </c>
      <c r="S114" s="731">
        <v>1.5</v>
      </c>
      <c r="T114" s="731">
        <v>0.9</v>
      </c>
      <c r="U114" s="2234"/>
      <c r="V114" s="2234"/>
      <c r="Y114" s="2234"/>
      <c r="Z114" s="731">
        <v>100</v>
      </c>
      <c r="AA114" s="731">
        <v>1.5</v>
      </c>
      <c r="AB114" s="731">
        <v>0.9</v>
      </c>
      <c r="AC114" s="2234"/>
      <c r="AD114" s="2234"/>
      <c r="AE114" s="2338"/>
    </row>
    <row r="115" spans="1:31" outlineLevel="1">
      <c r="A115" s="2234">
        <v>15</v>
      </c>
      <c r="B115" s="1154">
        <v>5</v>
      </c>
      <c r="C115" s="1154"/>
      <c r="D115" s="2" t="e">
        <f>#REF!+#REF!</f>
        <v>#REF!</v>
      </c>
      <c r="E115" s="2" t="e">
        <f>100*($A$25/($J$3^2)*0.8-D115)/D115</f>
        <v>#DIV/0!</v>
      </c>
      <c r="F115" s="2"/>
      <c r="G115" s="1154">
        <v>0.35499999999999998</v>
      </c>
      <c r="H115" s="2" t="e">
        <f>100*($A$25/($J$3^2)*0.6-G115)/G115</f>
        <v>#DIV/0!</v>
      </c>
      <c r="I115" s="2"/>
      <c r="J115" s="2234"/>
      <c r="K115" s="2234"/>
      <c r="L115" s="2298"/>
      <c r="Q115" s="2234"/>
      <c r="R115" s="731">
        <v>120</v>
      </c>
      <c r="S115" s="731">
        <v>1.5</v>
      </c>
      <c r="T115" s="731">
        <v>0.9</v>
      </c>
      <c r="U115" s="2234"/>
      <c r="V115" s="2234"/>
      <c r="Y115" s="2234"/>
      <c r="Z115" s="731">
        <v>120</v>
      </c>
      <c r="AA115" s="731">
        <v>1.5</v>
      </c>
      <c r="AB115" s="731">
        <v>0.9</v>
      </c>
      <c r="AC115" s="2234"/>
      <c r="AD115" s="2234"/>
      <c r="AE115" s="2338"/>
    </row>
    <row r="116" spans="1:31" outlineLevel="1">
      <c r="A116" s="2234"/>
      <c r="B116" s="1154">
        <v>100</v>
      </c>
      <c r="C116" s="1154"/>
      <c r="D116" s="2" t="e">
        <f>#REF!+#REF!</f>
        <v>#REF!</v>
      </c>
      <c r="E116" s="2" t="e">
        <f>100*($A$25/($J$3^2)*0.8-D116)/D116</f>
        <v>#DIV/0!</v>
      </c>
      <c r="F116" s="2"/>
      <c r="G116" s="2">
        <v>0.35799999999999998</v>
      </c>
      <c r="H116" s="2" t="e">
        <f>100*($A$25/($J$3^2)*0.6-G116)/G116</f>
        <v>#DIV/0!</v>
      </c>
      <c r="I116" s="2"/>
      <c r="J116" s="2234"/>
      <c r="K116" s="2234"/>
      <c r="L116" s="2298"/>
      <c r="Q116" s="2234">
        <v>30</v>
      </c>
      <c r="R116" s="731">
        <v>5</v>
      </c>
      <c r="S116" s="731">
        <v>1.6</v>
      </c>
      <c r="T116" s="731">
        <v>-1.6</v>
      </c>
      <c r="U116" s="2234"/>
      <c r="V116" s="2234"/>
      <c r="Y116" s="2234">
        <v>30</v>
      </c>
      <c r="Z116" s="731">
        <v>5</v>
      </c>
      <c r="AA116" s="731">
        <v>1.6</v>
      </c>
      <c r="AB116" s="731">
        <v>-1.6</v>
      </c>
      <c r="AC116" s="2234"/>
      <c r="AD116" s="2234"/>
      <c r="AE116" s="2338"/>
    </row>
    <row r="117" spans="1:31" outlineLevel="1">
      <c r="A117" s="2234"/>
      <c r="B117" s="1154">
        <v>120</v>
      </c>
      <c r="C117" s="1154"/>
      <c r="D117" s="2" t="e">
        <f>#REF!+#REF!</f>
        <v>#REF!</v>
      </c>
      <c r="E117" s="2" t="e">
        <f>100*($A$25/($J$3^2)*0.8-D117)/D117</f>
        <v>#DIV/0!</v>
      </c>
      <c r="F117" s="2"/>
      <c r="G117" s="2">
        <v>0.35799999999999998</v>
      </c>
      <c r="H117" s="2" t="e">
        <f>100*($A$25/($J$3^2)*0.6-G117)/G117</f>
        <v>#DIV/0!</v>
      </c>
      <c r="I117" s="2"/>
      <c r="J117" s="2234"/>
      <c r="K117" s="2234"/>
      <c r="L117" s="2298"/>
      <c r="Q117" s="2234"/>
      <c r="R117" s="731">
        <v>100</v>
      </c>
      <c r="S117" s="731">
        <v>1.6</v>
      </c>
      <c r="T117" s="731">
        <v>0.4</v>
      </c>
      <c r="U117" s="2234"/>
      <c r="V117" s="2234"/>
      <c r="Y117" s="2234"/>
      <c r="Z117" s="731">
        <v>100</v>
      </c>
      <c r="AA117" s="731">
        <v>1.6</v>
      </c>
      <c r="AB117" s="731">
        <v>0.4</v>
      </c>
      <c r="AC117" s="2234"/>
      <c r="AD117" s="2234"/>
      <c r="AE117" s="2338"/>
    </row>
    <row r="118" spans="1:31" outlineLevel="1">
      <c r="A118" s="2234">
        <v>20</v>
      </c>
      <c r="B118" s="1154">
        <v>5</v>
      </c>
      <c r="C118" s="1154"/>
      <c r="D118" s="2" t="e">
        <f>#REF!+#REF!</f>
        <v>#REF!</v>
      </c>
      <c r="E118" s="2" t="e">
        <f>100*($A$28/($J$3^2)*0.8-D118)/D118</f>
        <v>#DIV/0!</v>
      </c>
      <c r="F118" s="2"/>
      <c r="G118" s="1154">
        <v>0.47399999999999998</v>
      </c>
      <c r="H118" s="2" t="e">
        <f>100*($A$28/($J$3^2)*0.6-G118)/G118</f>
        <v>#DIV/0!</v>
      </c>
      <c r="I118" s="2"/>
      <c r="J118" s="2234"/>
      <c r="K118" s="2234"/>
      <c r="L118" s="2298"/>
      <c r="Q118" s="2234"/>
      <c r="R118" s="731">
        <v>120</v>
      </c>
      <c r="S118" s="731">
        <v>1.6</v>
      </c>
      <c r="T118" s="731">
        <v>0.4</v>
      </c>
      <c r="U118" s="2234"/>
      <c r="V118" s="2234"/>
      <c r="Y118" s="2234"/>
      <c r="Z118" s="731">
        <v>120</v>
      </c>
      <c r="AA118" s="731">
        <v>1.6</v>
      </c>
      <c r="AB118" s="731">
        <v>0.4</v>
      </c>
      <c r="AC118" s="2234"/>
      <c r="AD118" s="2234"/>
      <c r="AE118" s="2338"/>
    </row>
    <row r="119" spans="1:31" outlineLevel="1">
      <c r="A119" s="2234"/>
      <c r="B119" s="1154">
        <v>100</v>
      </c>
      <c r="C119" s="1154"/>
      <c r="D119" s="2" t="e">
        <f>#REF!+#REF!</f>
        <v>#REF!</v>
      </c>
      <c r="E119" s="2" t="e">
        <f>100*($A$28/($J$3^2)*0.8-D119)/D119</f>
        <v>#DIV/0!</v>
      </c>
      <c r="F119" s="2"/>
      <c r="G119" s="2">
        <v>0.48</v>
      </c>
      <c r="H119" s="2" t="e">
        <f>100*($A$28/($J$3^2)*0.6-G119)/G119</f>
        <v>#DIV/0!</v>
      </c>
      <c r="I119" s="2"/>
      <c r="J119" s="2234"/>
      <c r="K119" s="2234"/>
      <c r="L119" s="2298"/>
      <c r="Q119" s="2234">
        <v>40</v>
      </c>
      <c r="R119" s="731">
        <v>5</v>
      </c>
      <c r="S119" s="731">
        <v>1</v>
      </c>
      <c r="T119" s="731">
        <v>-1</v>
      </c>
      <c r="U119" s="2234"/>
      <c r="V119" s="2234"/>
      <c r="Y119" s="2234">
        <v>40</v>
      </c>
      <c r="Z119" s="731">
        <v>5</v>
      </c>
      <c r="AA119" s="731">
        <v>1</v>
      </c>
      <c r="AB119" s="731">
        <v>-1</v>
      </c>
      <c r="AC119" s="2234"/>
      <c r="AD119" s="2234"/>
      <c r="AE119" s="2338"/>
    </row>
    <row r="120" spans="1:31" outlineLevel="1">
      <c r="A120" s="2234"/>
      <c r="B120" s="1154">
        <v>120</v>
      </c>
      <c r="C120" s="1154"/>
      <c r="D120" s="2" t="e">
        <f>#REF!+#REF!</f>
        <v>#REF!</v>
      </c>
      <c r="E120" s="2" t="e">
        <f>100*($A$28/($J$3^2)*0.8-D120)/D120</f>
        <v>#DIV/0!</v>
      </c>
      <c r="F120" s="2"/>
      <c r="G120" s="2">
        <v>0.48</v>
      </c>
      <c r="H120" s="2" t="e">
        <f>100*($A$28/($J$3^2)*0.6-G120)/G120</f>
        <v>#DIV/0!</v>
      </c>
      <c r="I120" s="2"/>
      <c r="J120" s="2234"/>
      <c r="K120" s="2234"/>
      <c r="L120" s="2298"/>
      <c r="Q120" s="2234"/>
      <c r="R120" s="731">
        <v>100</v>
      </c>
      <c r="S120" s="731">
        <v>1.3</v>
      </c>
      <c r="T120" s="731">
        <v>0.3</v>
      </c>
      <c r="U120" s="2234"/>
      <c r="V120" s="2234"/>
      <c r="Y120" s="2234"/>
      <c r="Z120" s="731">
        <v>100</v>
      </c>
      <c r="AA120" s="731">
        <v>1.3</v>
      </c>
      <c r="AB120" s="731">
        <v>0.3</v>
      </c>
      <c r="AC120" s="2234"/>
      <c r="AD120" s="2234"/>
      <c r="AE120" s="2338"/>
    </row>
    <row r="121" spans="1:31" outlineLevel="1">
      <c r="A121" s="2234">
        <v>25</v>
      </c>
      <c r="B121" s="1154">
        <v>5</v>
      </c>
      <c r="C121" s="1154"/>
      <c r="D121" s="2" t="e">
        <f>#REF!+#REF!</f>
        <v>#REF!</v>
      </c>
      <c r="E121" s="2" t="e">
        <f>100*($A$31/($J$3^2)*0.8-D121)/D121</f>
        <v>#DIV/0!</v>
      </c>
      <c r="F121" s="2"/>
      <c r="G121" s="1154">
        <v>0.59299999999999997</v>
      </c>
      <c r="H121" s="2" t="e">
        <f>100*($A$31/($J$3^2)*0.6-G121)/G121</f>
        <v>#DIV/0!</v>
      </c>
      <c r="I121" s="2"/>
      <c r="J121" s="2234"/>
      <c r="K121" s="2234"/>
      <c r="L121" s="2298"/>
      <c r="Q121" s="2234"/>
      <c r="R121" s="731">
        <v>120</v>
      </c>
      <c r="S121" s="731">
        <v>1.7</v>
      </c>
      <c r="T121" s="731">
        <v>0.3</v>
      </c>
      <c r="U121" s="2234"/>
      <c r="V121" s="2234"/>
      <c r="Y121" s="2234"/>
      <c r="Z121" s="731">
        <v>120</v>
      </c>
      <c r="AA121" s="731">
        <v>1.7</v>
      </c>
      <c r="AB121" s="731">
        <v>0.3</v>
      </c>
      <c r="AC121" s="2234"/>
      <c r="AD121" s="2234"/>
      <c r="AE121" s="2338"/>
    </row>
    <row r="122" spans="1:31" outlineLevel="1">
      <c r="A122" s="2234"/>
      <c r="B122" s="1154">
        <v>100</v>
      </c>
      <c r="C122" s="1154"/>
      <c r="D122" s="2" t="e">
        <f>#REF!+#REF!</f>
        <v>#REF!</v>
      </c>
      <c r="E122" s="2" t="e">
        <f>100*($A$31/($J$3^2)*0.8-D122)/D122</f>
        <v>#DIV/0!</v>
      </c>
      <c r="F122" s="2"/>
      <c r="G122" s="2">
        <v>0.59899999999999998</v>
      </c>
      <c r="H122" s="2" t="e">
        <f>100*($A$31/($J$3^2)*0.6-G122)/G122</f>
        <v>#DIV/0!</v>
      </c>
      <c r="I122" s="2"/>
      <c r="J122" s="2234"/>
      <c r="K122" s="2234"/>
      <c r="L122" s="2298"/>
      <c r="Q122" s="2234">
        <v>50</v>
      </c>
      <c r="R122" s="731">
        <v>5</v>
      </c>
      <c r="S122" s="731">
        <v>1</v>
      </c>
      <c r="T122" s="731">
        <v>-1</v>
      </c>
      <c r="U122" s="2234"/>
      <c r="V122" s="2234"/>
      <c r="Y122" s="2234">
        <v>50</v>
      </c>
      <c r="Z122" s="731">
        <v>5</v>
      </c>
      <c r="AA122" s="731">
        <v>1</v>
      </c>
      <c r="AB122" s="731">
        <v>-1</v>
      </c>
      <c r="AC122" s="2234"/>
      <c r="AD122" s="2234"/>
      <c r="AE122" s="2338"/>
    </row>
    <row r="123" spans="1:31" outlineLevel="1">
      <c r="A123" s="2234"/>
      <c r="B123" s="1154">
        <v>120</v>
      </c>
      <c r="C123" s="1154"/>
      <c r="D123" s="2" t="e">
        <f>#REF!+#REF!</f>
        <v>#REF!</v>
      </c>
      <c r="E123" s="2" t="e">
        <f>100*($A$31/($J$3^2)*0.8-D123)/D123</f>
        <v>#DIV/0!</v>
      </c>
      <c r="F123" s="2"/>
      <c r="G123" s="1154">
        <v>0.59899999999999998</v>
      </c>
      <c r="H123" s="2" t="e">
        <f>100*($A$31/($J$3^2)*0.6-G123)/G123</f>
        <v>#DIV/0!</v>
      </c>
      <c r="I123" s="2"/>
      <c r="J123" s="2234"/>
      <c r="K123" s="2234"/>
      <c r="L123" s="2298"/>
      <c r="Q123" s="2234"/>
      <c r="R123" s="731">
        <v>100</v>
      </c>
      <c r="S123" s="731">
        <v>1.3</v>
      </c>
      <c r="T123" s="731">
        <v>0.5</v>
      </c>
      <c r="U123" s="2234"/>
      <c r="V123" s="2234"/>
      <c r="Y123" s="2234"/>
      <c r="Z123" s="731">
        <v>100</v>
      </c>
      <c r="AA123" s="731">
        <v>1.3</v>
      </c>
      <c r="AB123" s="731">
        <v>0.5</v>
      </c>
      <c r="AC123" s="2234"/>
      <c r="AD123" s="2234"/>
      <c r="AE123" s="2338"/>
    </row>
    <row r="124" spans="1:31" outlineLevel="1">
      <c r="A124" s="2234">
        <v>30</v>
      </c>
      <c r="B124" s="1154">
        <v>5</v>
      </c>
      <c r="C124" s="1154"/>
      <c r="D124" s="2" t="e">
        <f>#REF!+#REF!</f>
        <v>#REF!</v>
      </c>
      <c r="E124" s="2" t="e">
        <f>100*($A$34/($J$3^2)*0.8-D124)/D124</f>
        <v>#DIV/0!</v>
      </c>
      <c r="F124" s="2"/>
      <c r="G124" s="2">
        <v>0.70799999999999996</v>
      </c>
      <c r="H124" s="2" t="e">
        <f>100*($A$34/($J$3^2)*0.6-G124)/G124</f>
        <v>#DIV/0!</v>
      </c>
      <c r="I124" s="2"/>
      <c r="J124" s="2234"/>
      <c r="K124" s="2234"/>
      <c r="L124" s="2298"/>
      <c r="Q124" s="2234"/>
      <c r="R124" s="731">
        <v>120</v>
      </c>
      <c r="S124" s="731">
        <v>1.3</v>
      </c>
      <c r="T124" s="731">
        <v>0.5</v>
      </c>
      <c r="U124" s="2234"/>
      <c r="V124" s="2234"/>
      <c r="Y124" s="2234"/>
      <c r="Z124" s="731">
        <v>120</v>
      </c>
      <c r="AA124" s="731">
        <v>1.3</v>
      </c>
      <c r="AB124" s="731">
        <v>0.5</v>
      </c>
      <c r="AC124" s="2234"/>
      <c r="AD124" s="2234"/>
      <c r="AE124" s="2338"/>
    </row>
    <row r="125" spans="1:31" outlineLevel="1">
      <c r="A125" s="2234"/>
      <c r="B125" s="1154">
        <v>100</v>
      </c>
      <c r="C125" s="1154"/>
      <c r="D125" s="2" t="e">
        <f>#REF!+#REF!</f>
        <v>#REF!</v>
      </c>
      <c r="E125" s="2" t="e">
        <f>100*($A$34/($J$3^2)*0.8-D125)/D125</f>
        <v>#DIV/0!</v>
      </c>
      <c r="F125" s="2"/>
      <c r="G125" s="1154">
        <v>0.71599999999999997</v>
      </c>
      <c r="H125" s="2" t="e">
        <f>100*($A$34/($J$3^2)*0.6-G125)/G125</f>
        <v>#DIV/0!</v>
      </c>
      <c r="I125" s="2"/>
      <c r="J125" s="2234"/>
      <c r="K125" s="2234"/>
      <c r="L125" s="2298"/>
      <c r="Q125" s="2234">
        <v>60</v>
      </c>
      <c r="R125" s="731">
        <v>5</v>
      </c>
      <c r="S125" s="731">
        <v>1.4</v>
      </c>
      <c r="T125" s="731">
        <v>-1.2</v>
      </c>
      <c r="U125" s="2234"/>
      <c r="V125" s="2234"/>
      <c r="Y125" s="2234">
        <v>60</v>
      </c>
      <c r="Z125" s="731">
        <v>5</v>
      </c>
      <c r="AA125" s="731">
        <v>1.4</v>
      </c>
      <c r="AB125" s="731">
        <v>-1.2</v>
      </c>
      <c r="AC125" s="2234"/>
      <c r="AD125" s="2234"/>
      <c r="AE125" s="2338"/>
    </row>
    <row r="126" spans="1:31" outlineLevel="1">
      <c r="A126" s="2234"/>
      <c r="B126" s="1154">
        <v>120</v>
      </c>
      <c r="C126" s="1154"/>
      <c r="D126" s="2" t="e">
        <f>#REF!+#REF!</f>
        <v>#REF!</v>
      </c>
      <c r="E126" s="2" t="e">
        <f>100*($A$34/($J$3^2)*0.8-D126)/D126</f>
        <v>#DIV/0!</v>
      </c>
      <c r="F126" s="2"/>
      <c r="G126" s="1154">
        <v>0.71599999999999997</v>
      </c>
      <c r="H126" s="2" t="e">
        <f>100*($A$34/($J$3^2)*0.6-G126)/G126</f>
        <v>#DIV/0!</v>
      </c>
      <c r="I126" s="2"/>
      <c r="J126" s="2234"/>
      <c r="K126" s="2234"/>
      <c r="L126" s="2298"/>
      <c r="Q126" s="2234"/>
      <c r="R126" s="731">
        <v>100</v>
      </c>
      <c r="S126" s="731">
        <v>1.4</v>
      </c>
      <c r="T126" s="731">
        <v>0.6</v>
      </c>
      <c r="U126" s="2234"/>
      <c r="V126" s="2234"/>
      <c r="Y126" s="2234"/>
      <c r="Z126" s="731">
        <v>100</v>
      </c>
      <c r="AA126" s="731">
        <v>1.4</v>
      </c>
      <c r="AB126" s="731">
        <v>0.6</v>
      </c>
      <c r="AC126" s="2234"/>
      <c r="AD126" s="2234"/>
      <c r="AE126" s="2338"/>
    </row>
    <row r="127" spans="1:31" outlineLevel="1">
      <c r="A127" s="2234">
        <v>40</v>
      </c>
      <c r="B127" s="1154">
        <v>5</v>
      </c>
      <c r="C127" s="1154"/>
      <c r="D127" s="2" t="e">
        <f>#REF!+#REF!</f>
        <v>#REF!</v>
      </c>
      <c r="E127" s="2" t="e">
        <f>100*($A$37/($J$3^2)*0.8-D127)/D127</f>
        <v>#DIV/0!</v>
      </c>
      <c r="F127" s="2"/>
      <c r="G127" s="1154">
        <v>0.94299999999999995</v>
      </c>
      <c r="H127" s="2" t="e">
        <f>100*($A$37/($J$3^2)*0.6-G127)/G127</f>
        <v>#DIV/0!</v>
      </c>
      <c r="I127" s="2"/>
      <c r="J127" s="2234"/>
      <c r="K127" s="2234"/>
      <c r="L127" s="2298"/>
      <c r="Q127" s="2234"/>
      <c r="R127" s="731">
        <v>120</v>
      </c>
      <c r="S127" s="731">
        <v>1.4</v>
      </c>
      <c r="T127" s="731">
        <v>0.6</v>
      </c>
      <c r="U127" s="2234"/>
      <c r="V127" s="2234"/>
      <c r="Y127" s="2234"/>
      <c r="Z127" s="731">
        <v>120</v>
      </c>
      <c r="AA127" s="731">
        <v>1.4</v>
      </c>
      <c r="AB127" s="731">
        <v>0.6</v>
      </c>
      <c r="AC127" s="2234"/>
      <c r="AD127" s="2234"/>
      <c r="AE127" s="2338"/>
    </row>
    <row r="128" spans="1:31" outlineLevel="1">
      <c r="A128" s="2234"/>
      <c r="B128" s="1154">
        <v>100</v>
      </c>
      <c r="C128" s="1154"/>
      <c r="D128" s="2" t="e">
        <f>#REF!+#REF!</f>
        <v>#REF!</v>
      </c>
      <c r="E128" s="2" t="e">
        <f>100*($A$37/($J$3^2)*0.8-D128)/D128</f>
        <v>#DIV/0!</v>
      </c>
      <c r="F128" s="2"/>
      <c r="G128" s="1154">
        <v>0.95399999999999996</v>
      </c>
      <c r="H128" s="2" t="e">
        <f>100*($A$37/($J$3^2)*0.6-G128)/G128</f>
        <v>#DIV/0!</v>
      </c>
      <c r="I128" s="2"/>
      <c r="J128" s="2234"/>
      <c r="K128" s="2234"/>
      <c r="L128" s="2298"/>
      <c r="V128" s="28"/>
    </row>
    <row r="129" spans="1:31" outlineLevel="1">
      <c r="A129" s="2234"/>
      <c r="B129" s="1154">
        <v>120</v>
      </c>
      <c r="C129" s="1154"/>
      <c r="D129" s="2" t="e">
        <f>#REF!+#REF!</f>
        <v>#REF!</v>
      </c>
      <c r="E129" s="2" t="e">
        <f>100*($A$37/($J$3^2)*0.8-D129)/D129</f>
        <v>#DIV/0!</v>
      </c>
      <c r="F129" s="2"/>
      <c r="G129" s="1154">
        <v>0.95499999999999996</v>
      </c>
      <c r="H129" s="2" t="e">
        <f>100*($A$37/($J$3^2)*0.6-G129)/G129</f>
        <v>#DIV/0!</v>
      </c>
      <c r="I129" s="2"/>
      <c r="J129" s="2234"/>
      <c r="K129" s="2234"/>
      <c r="L129" s="2298"/>
      <c r="V129" s="28"/>
    </row>
    <row r="130" spans="1:31" outlineLevel="1">
      <c r="A130" s="2234">
        <v>50</v>
      </c>
      <c r="B130" s="1154">
        <v>5</v>
      </c>
      <c r="C130" s="1154"/>
      <c r="D130" s="2" t="e">
        <f>#REF!+#REF!</f>
        <v>#REF!</v>
      </c>
      <c r="E130" s="2" t="e">
        <f>100*($A$40/($J$3^2)*0.8-D130)/D130</f>
        <v>#DIV/0!</v>
      </c>
      <c r="F130" s="2"/>
      <c r="G130" s="2">
        <v>1.18</v>
      </c>
      <c r="H130" s="2" t="e">
        <f>100*($A$40/($J$3^2)*0.6-G130)/G130</f>
        <v>#DIV/0!</v>
      </c>
      <c r="I130" s="2"/>
      <c r="J130" s="2234"/>
      <c r="K130" s="2234"/>
      <c r="L130" s="2298"/>
      <c r="V130" s="28"/>
    </row>
    <row r="131" spans="1:31" outlineLevel="1">
      <c r="A131" s="2234"/>
      <c r="B131" s="1154">
        <v>100</v>
      </c>
      <c r="C131" s="1154"/>
      <c r="D131" s="2" t="e">
        <f>#REF!+#REF!</f>
        <v>#REF!</v>
      </c>
      <c r="E131" s="2" t="e">
        <f>100*($A$40/($J$3^2)*0.8-D131)/D131</f>
        <v>#DIV/0!</v>
      </c>
      <c r="F131" s="2"/>
      <c r="G131" s="2">
        <v>1.1910000000000001</v>
      </c>
      <c r="H131" s="2" t="e">
        <f>100*($A$40/($J$3^2)*0.6-G131)/G131</f>
        <v>#DIV/0!</v>
      </c>
      <c r="I131" s="2"/>
      <c r="J131" s="2234"/>
      <c r="K131" s="2234"/>
      <c r="L131" s="2298"/>
      <c r="V131" s="28"/>
    </row>
    <row r="132" spans="1:31" outlineLevel="1">
      <c r="A132" s="2234"/>
      <c r="B132" s="1154">
        <v>120</v>
      </c>
      <c r="C132" s="1154"/>
      <c r="D132" s="2" t="e">
        <f>#REF!+#REF!</f>
        <v>#REF!</v>
      </c>
      <c r="E132" s="2" t="e">
        <f>100*($A$40/($J$3^2)*0.8-D132)/D132</f>
        <v>#DIV/0!</v>
      </c>
      <c r="F132" s="2"/>
      <c r="G132" s="2">
        <v>1.19</v>
      </c>
      <c r="H132" s="2" t="e">
        <f>100*($A$40/($J$3^2)*0.6-G132)/G132</f>
        <v>#DIV/0!</v>
      </c>
      <c r="I132" s="2"/>
      <c r="J132" s="2234"/>
      <c r="K132" s="2234"/>
      <c r="L132" s="2298"/>
      <c r="V132" s="28"/>
    </row>
    <row r="133" spans="1:31" outlineLevel="1">
      <c r="A133" s="3812">
        <v>60</v>
      </c>
      <c r="B133" s="1154">
        <v>5</v>
      </c>
      <c r="C133" s="1154"/>
      <c r="D133" s="2" t="e">
        <f>#REF!+#REF!</f>
        <v>#REF!</v>
      </c>
      <c r="E133" s="2" t="e">
        <f>100*($A$93/($J$3^2)*0.8-D133)/D133</f>
        <v>#DIV/0!</v>
      </c>
      <c r="F133" s="2"/>
      <c r="G133" s="2">
        <v>1.4139999999999999</v>
      </c>
      <c r="H133" s="2" t="e">
        <f>100*($A$93/($J$3^2)*0.6-G133)/G133</f>
        <v>#DIV/0!</v>
      </c>
      <c r="I133" s="2"/>
      <c r="J133" s="2234"/>
      <c r="K133" s="2234"/>
      <c r="L133" s="2298"/>
      <c r="V133" s="28"/>
    </row>
    <row r="134" spans="1:31" outlineLevel="1">
      <c r="A134" s="3812"/>
      <c r="B134" s="1154">
        <v>100</v>
      </c>
      <c r="C134" s="1154"/>
      <c r="D134" s="2" t="e">
        <f>#REF!+#REF!</f>
        <v>#REF!</v>
      </c>
      <c r="E134" s="2" t="e">
        <f>100*($A$93/($J$3^2)*0.8-D134)/D134</f>
        <v>#DIV/0!</v>
      </c>
      <c r="F134" s="2"/>
      <c r="G134" s="2">
        <v>1.429</v>
      </c>
      <c r="H134" s="2" t="e">
        <f>100*($A$93/($J$3^2)*0.6-G134)/G134</f>
        <v>#DIV/0!</v>
      </c>
      <c r="I134" s="2"/>
      <c r="J134" s="2234"/>
      <c r="K134" s="2234"/>
      <c r="L134" s="2298"/>
      <c r="V134" s="28"/>
    </row>
    <row r="135" spans="1:31" outlineLevel="1">
      <c r="A135" s="3812"/>
      <c r="B135" s="1154">
        <v>120</v>
      </c>
      <c r="C135" s="1154"/>
      <c r="D135" s="2" t="e">
        <f>#REF!+#REF!</f>
        <v>#REF!</v>
      </c>
      <c r="E135" s="2" t="e">
        <f>100*($A$93/($J$3^2)*0.8-D135)/D135</f>
        <v>#DIV/0!</v>
      </c>
      <c r="F135" s="2"/>
      <c r="G135" s="2">
        <v>1.429</v>
      </c>
      <c r="H135" s="2" t="e">
        <f>100*($A$93/($J$3^2)*0.6-G135)/G135</f>
        <v>#DIV/0!</v>
      </c>
      <c r="I135" s="2"/>
      <c r="J135" s="2234"/>
      <c r="K135" s="2234"/>
      <c r="L135" s="2298"/>
      <c r="V135" s="28"/>
    </row>
    <row r="136" spans="1:31">
      <c r="A136" s="1603" t="s">
        <v>3819</v>
      </c>
      <c r="P136" t="s">
        <v>2315</v>
      </c>
      <c r="X136" t="s">
        <v>2314</v>
      </c>
    </row>
    <row r="137" spans="1:31" ht="29.25" customHeight="1" outlineLevel="1">
      <c r="A137" s="3897" t="s">
        <v>3414</v>
      </c>
      <c r="B137" s="3896" t="s">
        <v>3812</v>
      </c>
      <c r="C137" s="6">
        <v>0.06</v>
      </c>
      <c r="D137" s="3897" t="s">
        <v>3383</v>
      </c>
      <c r="E137" s="3897"/>
      <c r="F137" s="3897"/>
      <c r="G137" s="3897" t="s">
        <v>3384</v>
      </c>
      <c r="H137" s="3897"/>
      <c r="I137" s="3897"/>
      <c r="J137" s="3897"/>
      <c r="K137" s="3897" t="s">
        <v>3416</v>
      </c>
      <c r="L137" s="2434" t="s">
        <v>3407</v>
      </c>
      <c r="Q137" s="2257" t="s">
        <v>3417</v>
      </c>
      <c r="R137" s="2257" t="s">
        <v>3415</v>
      </c>
      <c r="S137" s="1349" t="s">
        <v>3389</v>
      </c>
      <c r="T137" s="1349" t="s">
        <v>3390</v>
      </c>
      <c r="U137" s="2234"/>
      <c r="V137" s="3898" t="s">
        <v>3411</v>
      </c>
      <c r="Y137" s="2234" t="s">
        <v>3417</v>
      </c>
      <c r="Z137" s="2234" t="s">
        <v>3415</v>
      </c>
      <c r="AA137" s="1349" t="s">
        <v>3389</v>
      </c>
      <c r="AB137" s="1349" t="s">
        <v>3390</v>
      </c>
      <c r="AC137" s="2234"/>
      <c r="AD137" s="3898" t="s">
        <v>3411</v>
      </c>
      <c r="AE137" s="2234" t="s">
        <v>3407</v>
      </c>
    </row>
    <row r="138" spans="1:31" ht="27" outlineLevel="1">
      <c r="A138" s="3897"/>
      <c r="B138" s="3897"/>
      <c r="C138" s="1601" t="s">
        <v>3814</v>
      </c>
      <c r="D138" s="1348" t="s">
        <v>3418</v>
      </c>
      <c r="E138" s="1602" t="s">
        <v>3815</v>
      </c>
      <c r="F138" s="1348"/>
      <c r="G138" s="1348" t="s">
        <v>3418</v>
      </c>
      <c r="H138" s="1602" t="s">
        <v>3816</v>
      </c>
      <c r="I138" s="1348"/>
      <c r="J138" s="3897"/>
      <c r="K138" s="3897"/>
      <c r="L138" s="2434"/>
      <c r="Q138" s="2258"/>
      <c r="R138" s="2258"/>
      <c r="S138" s="3898" t="s">
        <v>3419</v>
      </c>
      <c r="T138" s="3898" t="s">
        <v>3419</v>
      </c>
      <c r="U138" s="2234"/>
      <c r="V138" s="3898"/>
      <c r="Y138" s="2234"/>
      <c r="Z138" s="2234"/>
      <c r="AA138" s="3898" t="s">
        <v>2083</v>
      </c>
      <c r="AB138" s="3898" t="s">
        <v>2083</v>
      </c>
      <c r="AC138" s="2234"/>
      <c r="AD138" s="3898"/>
      <c r="AE138" s="2234"/>
    </row>
    <row r="139" spans="1:31" outlineLevel="1">
      <c r="A139" s="3897">
        <v>0.1</v>
      </c>
      <c r="B139" s="1348">
        <v>5</v>
      </c>
      <c r="C139" s="1348">
        <v>2.4E-2</v>
      </c>
      <c r="D139" s="1354">
        <f>C139+$C$137</f>
        <v>8.3999999999999991E-2</v>
      </c>
      <c r="E139" s="2" t="e">
        <f>100*($D139-$A$3*0.8)/($A$3)</f>
        <v>#VALUE!</v>
      </c>
      <c r="F139" s="2"/>
      <c r="G139" s="1354">
        <v>5.8999999999999997E-2</v>
      </c>
      <c r="H139" s="2">
        <f>100*(G139-A139*0.6)/(A139)</f>
        <v>-1.0000000000000009</v>
      </c>
      <c r="I139" s="2"/>
      <c r="J139" s="3897">
        <v>0.8</v>
      </c>
      <c r="K139" s="3897">
        <v>5</v>
      </c>
      <c r="L139" s="2298"/>
      <c r="Q139" s="2249"/>
      <c r="R139" s="2249"/>
      <c r="S139" s="3898"/>
      <c r="T139" s="3898"/>
      <c r="U139" s="2234"/>
      <c r="V139" s="3898"/>
      <c r="Y139" s="2234"/>
      <c r="Z139" s="2234"/>
      <c r="AA139" s="3898"/>
      <c r="AB139" s="3898"/>
      <c r="AC139" s="2234"/>
      <c r="AD139" s="3898"/>
      <c r="AE139" s="2234"/>
    </row>
    <row r="140" spans="1:31" outlineLevel="1">
      <c r="A140" s="3897"/>
      <c r="B140" s="1348">
        <v>100</v>
      </c>
      <c r="C140" s="1348"/>
      <c r="D140" s="1354">
        <v>8.3000000000000004E-2</v>
      </c>
      <c r="E140" s="2" t="e">
        <f>100*($D140-$A$3*0.8)/($A$3)</f>
        <v>#VALUE!</v>
      </c>
      <c r="F140" s="2"/>
      <c r="G140" s="1354">
        <v>0.06</v>
      </c>
      <c r="H140" s="2">
        <f>100*(G140-A139*0.6)/(A139)</f>
        <v>0</v>
      </c>
      <c r="I140" s="2"/>
      <c r="J140" s="3897"/>
      <c r="K140" s="3897"/>
      <c r="L140" s="2298"/>
      <c r="Q140" s="2234">
        <v>1.25</v>
      </c>
      <c r="R140" s="731">
        <v>5</v>
      </c>
      <c r="S140" s="731">
        <v>0</v>
      </c>
      <c r="T140" s="731">
        <v>-0.2</v>
      </c>
      <c r="U140" s="2234">
        <v>0.8</v>
      </c>
      <c r="V140" s="2234">
        <v>5</v>
      </c>
      <c r="Y140" s="2234">
        <v>1.25</v>
      </c>
      <c r="Z140" s="731">
        <v>5</v>
      </c>
      <c r="AA140" s="731">
        <v>0</v>
      </c>
      <c r="AB140" s="731">
        <v>-0.2</v>
      </c>
      <c r="AC140" s="2234">
        <v>0.8</v>
      </c>
      <c r="AD140" s="2234">
        <v>5</v>
      </c>
      <c r="AE140" s="2338"/>
    </row>
    <row r="141" spans="1:31" outlineLevel="1">
      <c r="A141" s="3897"/>
      <c r="B141" s="1348">
        <v>120</v>
      </c>
      <c r="C141" s="1348"/>
      <c r="D141" s="1354">
        <v>8.3000000000000004E-2</v>
      </c>
      <c r="E141" s="2" t="e">
        <f>100*($D141-$A$3*0.8)/($A$3)</f>
        <v>#VALUE!</v>
      </c>
      <c r="F141" s="2"/>
      <c r="G141" s="1354">
        <v>0.06</v>
      </c>
      <c r="H141" s="2">
        <f>100*(G141-A139*0.6)/(A139)</f>
        <v>0</v>
      </c>
      <c r="I141" s="2"/>
      <c r="J141" s="3897"/>
      <c r="K141" s="3897"/>
      <c r="L141" s="2298"/>
      <c r="Q141" s="2234"/>
      <c r="R141" s="731">
        <v>100</v>
      </c>
      <c r="S141" s="731">
        <v>0.6</v>
      </c>
      <c r="T141" s="731">
        <v>0.6</v>
      </c>
      <c r="U141" s="2234"/>
      <c r="V141" s="2234"/>
      <c r="Y141" s="2234"/>
      <c r="Z141" s="731">
        <v>100</v>
      </c>
      <c r="AA141" s="731">
        <v>0.6</v>
      </c>
      <c r="AB141" s="731">
        <v>0.6</v>
      </c>
      <c r="AC141" s="2234"/>
      <c r="AD141" s="2234"/>
      <c r="AE141" s="2338"/>
    </row>
    <row r="142" spans="1:31" outlineLevel="1">
      <c r="A142" s="3897">
        <v>0.15</v>
      </c>
      <c r="B142" s="1348">
        <v>5</v>
      </c>
      <c r="C142" s="1348"/>
      <c r="D142" s="1354">
        <v>0.122</v>
      </c>
      <c r="E142" s="2">
        <f>100*(D142-A142*0.8)/(A142)</f>
        <v>1.3333333333333346</v>
      </c>
      <c r="F142" s="2"/>
      <c r="G142" s="1354">
        <v>8.7999999999999995E-2</v>
      </c>
      <c r="H142" s="2">
        <f>100*(G142-A142*0.6)/(A142)</f>
        <v>-1.3333333333333346</v>
      </c>
      <c r="I142" s="2"/>
      <c r="J142" s="3897"/>
      <c r="K142" s="3897"/>
      <c r="L142" s="2298"/>
      <c r="Q142" s="2234"/>
      <c r="R142" s="731">
        <v>120</v>
      </c>
      <c r="S142" s="731">
        <v>0.5</v>
      </c>
      <c r="T142" s="731">
        <v>0.6</v>
      </c>
      <c r="U142" s="2234"/>
      <c r="V142" s="2234"/>
      <c r="Y142" s="2234"/>
      <c r="Z142" s="731">
        <v>120</v>
      </c>
      <c r="AA142" s="731">
        <v>0.5</v>
      </c>
      <c r="AB142" s="731">
        <v>0.6</v>
      </c>
      <c r="AC142" s="2234"/>
      <c r="AD142" s="2234"/>
      <c r="AE142" s="2338"/>
    </row>
    <row r="143" spans="1:31" outlineLevel="1">
      <c r="A143" s="3897"/>
      <c r="B143" s="1348">
        <v>100</v>
      </c>
      <c r="C143" s="1348"/>
      <c r="D143" s="1354">
        <v>0.124</v>
      </c>
      <c r="E143" s="2">
        <f>100*(D143-A142*0.8)/(A142)</f>
        <v>2.6666666666666692</v>
      </c>
      <c r="F143" s="2"/>
      <c r="G143" s="1354">
        <v>0.09</v>
      </c>
      <c r="H143" s="2">
        <f>100*(G143-A142*0.6)/(A142)</f>
        <v>0</v>
      </c>
      <c r="I143" s="2"/>
      <c r="J143" s="3897"/>
      <c r="K143" s="3897"/>
      <c r="L143" s="2298"/>
      <c r="Q143" s="2234">
        <v>2.5</v>
      </c>
      <c r="R143" s="731">
        <v>5</v>
      </c>
      <c r="S143" s="731">
        <v>1.9</v>
      </c>
      <c r="T143" s="731">
        <v>-0.2</v>
      </c>
      <c r="U143" s="2234"/>
      <c r="V143" s="2234"/>
      <c r="Y143" s="2234">
        <v>2.5</v>
      </c>
      <c r="Z143" s="731">
        <v>5</v>
      </c>
      <c r="AA143" s="731">
        <v>1.9</v>
      </c>
      <c r="AB143" s="731">
        <v>-0.2</v>
      </c>
      <c r="AC143" s="2234"/>
      <c r="AD143" s="2234"/>
      <c r="AE143" s="2338"/>
    </row>
    <row r="144" spans="1:31" outlineLevel="1">
      <c r="A144" s="3897"/>
      <c r="B144" s="1348">
        <v>120</v>
      </c>
      <c r="C144" s="1348"/>
      <c r="D144" s="1354">
        <v>0.124</v>
      </c>
      <c r="E144" s="2">
        <f>100*(D144-A142*0.8)/(A142)</f>
        <v>2.6666666666666692</v>
      </c>
      <c r="F144" s="2"/>
      <c r="G144" s="1354">
        <v>0.09</v>
      </c>
      <c r="H144" s="2">
        <f>100*(G144-A142*0.6)/(A142)</f>
        <v>0</v>
      </c>
      <c r="I144" s="2"/>
      <c r="J144" s="3897"/>
      <c r="K144" s="3897"/>
      <c r="L144" s="2298"/>
      <c r="Q144" s="2234"/>
      <c r="R144" s="731">
        <v>100</v>
      </c>
      <c r="S144" s="731">
        <v>1.2</v>
      </c>
      <c r="T144" s="731">
        <v>0.6</v>
      </c>
      <c r="U144" s="2234"/>
      <c r="V144" s="2234"/>
      <c r="Y144" s="2234"/>
      <c r="Z144" s="731">
        <v>100</v>
      </c>
      <c r="AA144" s="731">
        <v>1.2</v>
      </c>
      <c r="AB144" s="731">
        <v>0.6</v>
      </c>
      <c r="AC144" s="2234"/>
      <c r="AD144" s="2234"/>
      <c r="AE144" s="2338"/>
    </row>
    <row r="145" spans="1:31" outlineLevel="1">
      <c r="A145" s="3897">
        <v>0.2</v>
      </c>
      <c r="B145" s="1348">
        <v>5</v>
      </c>
      <c r="C145" s="1348"/>
      <c r="D145" s="1354">
        <v>0.16200000000000001</v>
      </c>
      <c r="E145" s="2">
        <f>100*(D145-A145*0.8)/(A145)</f>
        <v>0.9999999999999869</v>
      </c>
      <c r="F145" s="2"/>
      <c r="G145" s="1354">
        <v>0.11799999999999999</v>
      </c>
      <c r="H145" s="2">
        <f>100*(G145-A145*0.6)/(A145)</f>
        <v>-1.0000000000000009</v>
      </c>
      <c r="I145" s="2"/>
      <c r="J145" s="3897"/>
      <c r="K145" s="3897"/>
      <c r="L145" s="2298"/>
      <c r="Q145" s="2234"/>
      <c r="R145" s="731">
        <v>120</v>
      </c>
      <c r="S145" s="731">
        <v>1.2</v>
      </c>
      <c r="T145" s="731">
        <v>0.7</v>
      </c>
      <c r="U145" s="2234"/>
      <c r="V145" s="2234"/>
      <c r="Y145" s="2234"/>
      <c r="Z145" s="731">
        <v>120</v>
      </c>
      <c r="AA145" s="731">
        <v>1.2</v>
      </c>
      <c r="AB145" s="731">
        <v>0.7</v>
      </c>
      <c r="AC145" s="2234"/>
      <c r="AD145" s="2234"/>
      <c r="AE145" s="2338"/>
    </row>
    <row r="146" spans="1:31" outlineLevel="1">
      <c r="A146" s="3897"/>
      <c r="B146" s="1348">
        <v>100</v>
      </c>
      <c r="C146" s="1348"/>
      <c r="D146" s="1354">
        <v>0.16400000000000001</v>
      </c>
      <c r="E146" s="2" t="e">
        <f>100*(D146-$A$9*0.8)/($A$9)</f>
        <v>#DIV/0!</v>
      </c>
      <c r="F146" s="2"/>
      <c r="G146" s="1354">
        <v>0.12</v>
      </c>
      <c r="H146" s="2" t="e">
        <f>100*(G146-$A$9*0.6)/($A$9)</f>
        <v>#DIV/0!</v>
      </c>
      <c r="I146" s="2"/>
      <c r="J146" s="3897"/>
      <c r="K146" s="3897"/>
      <c r="L146" s="2298"/>
      <c r="Q146" s="2234">
        <v>3.75</v>
      </c>
      <c r="R146" s="731">
        <v>5</v>
      </c>
      <c r="S146" s="731">
        <v>1.1000000000000001</v>
      </c>
      <c r="T146" s="731">
        <v>-0.8</v>
      </c>
      <c r="U146" s="2234"/>
      <c r="V146" s="2234"/>
      <c r="Y146" s="2234">
        <v>3.75</v>
      </c>
      <c r="Z146" s="731">
        <v>5</v>
      </c>
      <c r="AA146" s="731">
        <v>1.1000000000000001</v>
      </c>
      <c r="AB146" s="731">
        <v>-0.8</v>
      </c>
      <c r="AC146" s="2234"/>
      <c r="AD146" s="2234"/>
      <c r="AE146" s="2338"/>
    </row>
    <row r="147" spans="1:31" outlineLevel="1">
      <c r="A147" s="3897"/>
      <c r="B147" s="1348">
        <v>120</v>
      </c>
      <c r="C147" s="1348"/>
      <c r="D147" s="1354">
        <v>0.16400000000000001</v>
      </c>
      <c r="E147" s="2" t="e">
        <f>100*(D147-$A$9*0.8)/($A$9)</f>
        <v>#DIV/0!</v>
      </c>
      <c r="F147" s="2"/>
      <c r="G147" s="1354">
        <v>0.12</v>
      </c>
      <c r="H147" s="2" t="e">
        <f>100*(G147-$A$9*0.6)/($A$9)</f>
        <v>#DIV/0!</v>
      </c>
      <c r="I147" s="2"/>
      <c r="J147" s="3897"/>
      <c r="K147" s="3897"/>
      <c r="L147" s="2298"/>
      <c r="Q147" s="2234"/>
      <c r="R147" s="731">
        <v>100</v>
      </c>
      <c r="S147" s="731">
        <v>-0.5</v>
      </c>
      <c r="T147" s="731">
        <v>0.8</v>
      </c>
      <c r="U147" s="2234"/>
      <c r="V147" s="2234"/>
      <c r="Y147" s="2234"/>
      <c r="Z147" s="731">
        <v>100</v>
      </c>
      <c r="AA147" s="731">
        <v>-0.5</v>
      </c>
      <c r="AB147" s="731">
        <v>0.8</v>
      </c>
      <c r="AC147" s="2234"/>
      <c r="AD147" s="2234"/>
      <c r="AE147" s="2338"/>
    </row>
    <row r="148" spans="1:31" outlineLevel="1">
      <c r="A148" s="2234">
        <v>0.3</v>
      </c>
      <c r="B148" s="1348">
        <v>5</v>
      </c>
      <c r="C148" s="1348"/>
      <c r="D148" s="1354">
        <v>0.24099999999999999</v>
      </c>
      <c r="E148" s="2" t="e">
        <f>100*(D148-$A$12*0.8)/($A$12)</f>
        <v>#DIV/0!</v>
      </c>
      <c r="F148" s="2"/>
      <c r="G148" s="1354">
        <v>0.17499999999999999</v>
      </c>
      <c r="H148" s="2" t="e">
        <f>100*(G148-$A$12*0.6)/($A$12)</f>
        <v>#DIV/0!</v>
      </c>
      <c r="I148" s="2"/>
      <c r="J148" s="3897"/>
      <c r="K148" s="3897"/>
      <c r="L148" s="2298"/>
      <c r="Q148" s="2234"/>
      <c r="R148" s="731">
        <v>120</v>
      </c>
      <c r="S148" s="731">
        <v>-0.5</v>
      </c>
      <c r="T148" s="731">
        <v>0.8</v>
      </c>
      <c r="U148" s="2234"/>
      <c r="V148" s="2234"/>
      <c r="Y148" s="2234"/>
      <c r="Z148" s="731">
        <v>120</v>
      </c>
      <c r="AA148" s="731">
        <v>-0.5</v>
      </c>
      <c r="AB148" s="731">
        <v>0.8</v>
      </c>
      <c r="AC148" s="2234"/>
      <c r="AD148" s="2234"/>
      <c r="AE148" s="2338"/>
    </row>
    <row r="149" spans="1:31" outlineLevel="1">
      <c r="A149" s="2234"/>
      <c r="B149" s="1348">
        <v>100</v>
      </c>
      <c r="C149" s="1348"/>
      <c r="D149" s="1354">
        <v>0.24399999999999999</v>
      </c>
      <c r="E149" s="2" t="e">
        <f>100*(D149-$A$12*0.8)/($A$12)</f>
        <v>#DIV/0!</v>
      </c>
      <c r="F149" s="2"/>
      <c r="G149" s="1354">
        <v>0.18</v>
      </c>
      <c r="H149" s="2" t="e">
        <f>100*(G149-$A$12*0.6)/($A$12)</f>
        <v>#DIV/0!</v>
      </c>
      <c r="I149" s="2"/>
      <c r="J149" s="3897"/>
      <c r="K149" s="3897"/>
      <c r="L149" s="2298"/>
      <c r="Q149" s="2234">
        <v>5</v>
      </c>
      <c r="R149" s="731">
        <v>5</v>
      </c>
      <c r="S149" s="731">
        <v>0.6</v>
      </c>
      <c r="T149" s="731">
        <v>-1</v>
      </c>
      <c r="U149" s="2234"/>
      <c r="V149" s="2234"/>
      <c r="Y149" s="2234">
        <v>5</v>
      </c>
      <c r="Z149" s="731">
        <v>5</v>
      </c>
      <c r="AA149" s="731">
        <v>0.6</v>
      </c>
      <c r="AB149" s="731">
        <v>-1</v>
      </c>
      <c r="AC149" s="2234"/>
      <c r="AD149" s="2234"/>
      <c r="AE149" s="2338"/>
    </row>
    <row r="150" spans="1:31" outlineLevel="1">
      <c r="A150" s="2234"/>
      <c r="B150" s="1348">
        <v>120</v>
      </c>
      <c r="C150" s="1348"/>
      <c r="D150" s="1354">
        <v>0.24399999999999999</v>
      </c>
      <c r="E150" s="2" t="e">
        <f>100*(D150-$A$12*0.8)/($A$12)</f>
        <v>#DIV/0!</v>
      </c>
      <c r="F150" s="2"/>
      <c r="G150" s="1354">
        <v>0.18099999999999999</v>
      </c>
      <c r="H150" s="2" t="e">
        <f>100*(G150-$A$12*0.6)/($A$12)</f>
        <v>#DIV/0!</v>
      </c>
      <c r="I150" s="2"/>
      <c r="J150" s="3897"/>
      <c r="K150" s="3897"/>
      <c r="L150" s="2298"/>
      <c r="Q150" s="2234"/>
      <c r="R150" s="731">
        <v>100</v>
      </c>
      <c r="S150" s="731">
        <v>0.4</v>
      </c>
      <c r="T150" s="731">
        <v>0.4</v>
      </c>
      <c r="U150" s="2234"/>
      <c r="V150" s="2234"/>
      <c r="Y150" s="2234"/>
      <c r="Z150" s="731">
        <v>100</v>
      </c>
      <c r="AA150" s="731">
        <v>0.4</v>
      </c>
      <c r="AB150" s="731">
        <v>0.4</v>
      </c>
      <c r="AC150" s="2234"/>
      <c r="AD150" s="2234"/>
      <c r="AE150" s="2338"/>
    </row>
    <row r="151" spans="1:31" outlineLevel="1">
      <c r="A151" s="3897">
        <v>0.4</v>
      </c>
      <c r="B151" s="1348">
        <v>5</v>
      </c>
      <c r="C151" s="1348"/>
      <c r="D151" s="1354">
        <v>0.32200000000000001</v>
      </c>
      <c r="E151" s="2" t="e">
        <f>100*(D151-$A$15*0.8)/($A$15)</f>
        <v>#VALUE!</v>
      </c>
      <c r="F151" s="2"/>
      <c r="G151" s="1354">
        <v>0.23400000000000001</v>
      </c>
      <c r="H151" s="2" t="e">
        <f>100*($F$15-$A$15*0.6)/($A$15)</f>
        <v>#VALUE!</v>
      </c>
      <c r="I151" s="2"/>
      <c r="J151" s="3897"/>
      <c r="K151" s="3897"/>
      <c r="L151" s="2298"/>
      <c r="Q151" s="2234"/>
      <c r="R151" s="731">
        <v>120</v>
      </c>
      <c r="S151" s="731">
        <v>0.2</v>
      </c>
      <c r="T151" s="731">
        <v>0.4</v>
      </c>
      <c r="U151" s="2234"/>
      <c r="V151" s="2234"/>
      <c r="Y151" s="2234"/>
      <c r="Z151" s="731">
        <v>120</v>
      </c>
      <c r="AA151" s="731">
        <v>0.2</v>
      </c>
      <c r="AB151" s="731">
        <v>0.4</v>
      </c>
      <c r="AC151" s="2234"/>
      <c r="AD151" s="2234"/>
      <c r="AE151" s="2338"/>
    </row>
    <row r="152" spans="1:31" outlineLevel="1">
      <c r="A152" s="3897"/>
      <c r="B152" s="1348">
        <v>100</v>
      </c>
      <c r="C152" s="1348"/>
      <c r="D152" s="1354">
        <v>0.32600000000000001</v>
      </c>
      <c r="E152" s="2" t="e">
        <f>100*(D152-$A$15*0.8)/($A$15)</f>
        <v>#VALUE!</v>
      </c>
      <c r="F152" s="2"/>
      <c r="G152" s="1354">
        <v>0.24299999999999999</v>
      </c>
      <c r="H152" s="2" t="e">
        <f>100*($F$15-$A$15*0.6)/($A$15)</f>
        <v>#VALUE!</v>
      </c>
      <c r="I152" s="2"/>
      <c r="J152" s="3897"/>
      <c r="K152" s="3897"/>
      <c r="L152" s="2298"/>
      <c r="Q152" s="2234">
        <v>10</v>
      </c>
      <c r="R152" s="731">
        <v>5</v>
      </c>
      <c r="S152" s="731">
        <v>0.3</v>
      </c>
      <c r="T152" s="731">
        <v>-1.6</v>
      </c>
      <c r="U152" s="2234"/>
      <c r="V152" s="2234"/>
      <c r="Y152" s="2234">
        <v>10</v>
      </c>
      <c r="Z152" s="731">
        <v>5</v>
      </c>
      <c r="AA152" s="731">
        <v>0.3</v>
      </c>
      <c r="AB152" s="731">
        <v>-1.6</v>
      </c>
      <c r="AC152" s="2234"/>
      <c r="AD152" s="2234"/>
      <c r="AE152" s="2338"/>
    </row>
    <row r="153" spans="1:31" outlineLevel="1">
      <c r="A153" s="3897"/>
      <c r="B153" s="1348">
        <v>120</v>
      </c>
      <c r="C153" s="1348"/>
      <c r="D153" s="1354">
        <v>0.32600000000000001</v>
      </c>
      <c r="E153" s="2" t="e">
        <f>100*(D153-$A$15*0.8)/($A$15)</f>
        <v>#VALUE!</v>
      </c>
      <c r="F153" s="2"/>
      <c r="G153" s="1354">
        <v>0.24299999999999999</v>
      </c>
      <c r="H153" s="2" t="e">
        <f>100*($F$15-$A$15*0.6)/($A$15)</f>
        <v>#VALUE!</v>
      </c>
      <c r="I153" s="2"/>
      <c r="J153" s="3897"/>
      <c r="K153" s="3897"/>
      <c r="L153" s="2298"/>
      <c r="Q153" s="2234"/>
      <c r="R153" s="731">
        <v>100</v>
      </c>
      <c r="S153" s="731">
        <v>0.4</v>
      </c>
      <c r="T153" s="731">
        <v>0.7</v>
      </c>
      <c r="U153" s="2234"/>
      <c r="V153" s="2234"/>
      <c r="Y153" s="2234"/>
      <c r="Z153" s="731">
        <v>100</v>
      </c>
      <c r="AA153" s="731">
        <v>0.4</v>
      </c>
      <c r="AB153" s="731">
        <v>0.7</v>
      </c>
      <c r="AC153" s="2234"/>
      <c r="AD153" s="2234"/>
      <c r="AE153" s="2338"/>
    </row>
    <row r="154" spans="1:31" outlineLevel="1">
      <c r="A154" s="2234">
        <v>0.5</v>
      </c>
      <c r="B154" s="1348">
        <v>5</v>
      </c>
      <c r="C154" s="1348"/>
      <c r="D154" s="1354">
        <v>0.40400000000000003</v>
      </c>
      <c r="E154" s="2" t="e">
        <f>100*(D154-$A$18*0.8)/($A$18)</f>
        <v>#DIV/0!</v>
      </c>
      <c r="F154" s="2"/>
      <c r="G154" s="1354">
        <v>0.29199999999999998</v>
      </c>
      <c r="H154" s="2" t="e">
        <f>100*($F$18-$A$18*0.6)/($A$18)</f>
        <v>#VALUE!</v>
      </c>
      <c r="I154" s="2"/>
      <c r="J154" s="3897"/>
      <c r="K154" s="3897"/>
      <c r="L154" s="2298"/>
      <c r="Q154" s="2234"/>
      <c r="R154" s="731">
        <v>120</v>
      </c>
      <c r="S154" s="731">
        <v>0.5</v>
      </c>
      <c r="T154" s="731">
        <v>0.8</v>
      </c>
      <c r="U154" s="2234"/>
      <c r="V154" s="2234"/>
      <c r="Y154" s="2234"/>
      <c r="Z154" s="731">
        <v>120</v>
      </c>
      <c r="AA154" s="731">
        <v>0.5</v>
      </c>
      <c r="AB154" s="731">
        <v>0.8</v>
      </c>
      <c r="AC154" s="2234"/>
      <c r="AD154" s="2234"/>
      <c r="AE154" s="2338"/>
    </row>
    <row r="155" spans="1:31" outlineLevel="1">
      <c r="A155" s="2234"/>
      <c r="B155" s="1348">
        <v>100</v>
      </c>
      <c r="C155" s="1348"/>
      <c r="D155" s="1354">
        <v>0.40799999999999997</v>
      </c>
      <c r="E155" s="2" t="e">
        <f>100*(D155-$A$18*0.8)/($A$18)</f>
        <v>#DIV/0!</v>
      </c>
      <c r="F155" s="2"/>
      <c r="G155" s="1354">
        <v>0.30099999999999999</v>
      </c>
      <c r="H155" s="2" t="e">
        <f>100*(G155-$A$18*0.6)/($A$18)</f>
        <v>#DIV/0!</v>
      </c>
      <c r="I155" s="2"/>
      <c r="J155" s="3897"/>
      <c r="K155" s="3897"/>
      <c r="L155" s="2298"/>
      <c r="Q155" s="2234">
        <v>15</v>
      </c>
      <c r="R155" s="731">
        <v>5</v>
      </c>
      <c r="S155" s="731">
        <v>1.2</v>
      </c>
      <c r="T155" s="731">
        <v>-0.9</v>
      </c>
      <c r="U155" s="2234"/>
      <c r="V155" s="2234"/>
      <c r="Y155" s="2234">
        <v>15</v>
      </c>
      <c r="Z155" s="731">
        <v>5</v>
      </c>
      <c r="AA155" s="731">
        <v>1.2</v>
      </c>
      <c r="AB155" s="731">
        <v>-0.9</v>
      </c>
      <c r="AC155" s="2234"/>
      <c r="AD155" s="2234"/>
      <c r="AE155" s="2338"/>
    </row>
    <row r="156" spans="1:31" outlineLevel="1">
      <c r="A156" s="2234"/>
      <c r="B156" s="1348">
        <v>120</v>
      </c>
      <c r="C156" s="1348"/>
      <c r="D156" s="1354">
        <v>0.40799999999999997</v>
      </c>
      <c r="E156" s="2" t="e">
        <f>100*(D156-$A$18*0.8)/($A$18)</f>
        <v>#DIV/0!</v>
      </c>
      <c r="F156" s="2"/>
      <c r="G156" s="1354">
        <v>0.30099999999999999</v>
      </c>
      <c r="H156" s="2" t="e">
        <f>100*(G156-$A$18*0.6)/($A$18)</f>
        <v>#DIV/0!</v>
      </c>
      <c r="I156" s="2"/>
      <c r="J156" s="3897"/>
      <c r="K156" s="3897"/>
      <c r="L156" s="2298"/>
      <c r="Q156" s="2234"/>
      <c r="R156" s="731">
        <v>100</v>
      </c>
      <c r="S156" s="731">
        <v>1.3</v>
      </c>
      <c r="T156" s="731">
        <v>0.8</v>
      </c>
      <c r="U156" s="2234"/>
      <c r="V156" s="2234"/>
      <c r="Y156" s="2234"/>
      <c r="Z156" s="731">
        <v>100</v>
      </c>
      <c r="AA156" s="731">
        <v>1.3</v>
      </c>
      <c r="AB156" s="731">
        <v>0.8</v>
      </c>
      <c r="AC156" s="2234"/>
      <c r="AD156" s="2234"/>
      <c r="AE156" s="2338"/>
    </row>
    <row r="157" spans="1:31" outlineLevel="1">
      <c r="A157" s="2234">
        <v>0.6</v>
      </c>
      <c r="B157" s="1348">
        <v>5</v>
      </c>
      <c r="C157" s="1348"/>
      <c r="D157" s="1354">
        <v>0.46600000000000003</v>
      </c>
      <c r="E157" s="2" t="e">
        <f>100*(D157-$A$21*0.8)/($A$21)</f>
        <v>#DIV/0!</v>
      </c>
      <c r="F157" s="2"/>
      <c r="G157" s="1354">
        <v>0.35099999999999998</v>
      </c>
      <c r="H157" s="2" t="e">
        <f>100*($G157-$A$21*0.6)/($A$21)</f>
        <v>#DIV/0!</v>
      </c>
      <c r="I157" s="2"/>
      <c r="J157" s="3897"/>
      <c r="K157" s="3897"/>
      <c r="L157" s="2298"/>
      <c r="Q157" s="2234"/>
      <c r="R157" s="731">
        <v>120</v>
      </c>
      <c r="S157" s="731">
        <v>1.3</v>
      </c>
      <c r="T157" s="731">
        <v>1</v>
      </c>
      <c r="U157" s="2234"/>
      <c r="V157" s="2234"/>
      <c r="Y157" s="2234"/>
      <c r="Z157" s="731">
        <v>120</v>
      </c>
      <c r="AA157" s="731">
        <v>1.3</v>
      </c>
      <c r="AB157" s="731">
        <v>1</v>
      </c>
      <c r="AC157" s="2234"/>
      <c r="AD157" s="2234"/>
      <c r="AE157" s="2338"/>
    </row>
    <row r="158" spans="1:31" outlineLevel="1">
      <c r="A158" s="2234"/>
      <c r="B158" s="1348">
        <v>100</v>
      </c>
      <c r="C158" s="1348"/>
      <c r="D158" s="1354">
        <v>0.49</v>
      </c>
      <c r="E158" s="2" t="e">
        <f>100*(D158-$A$21*0.8)/($A$21)</f>
        <v>#DIV/0!</v>
      </c>
      <c r="F158" s="2"/>
      <c r="G158" s="1354">
        <v>0.36399999999999999</v>
      </c>
      <c r="H158" s="2" t="e">
        <f>100*(G158-$A$21*0.6)/($A$21)</f>
        <v>#DIV/0!</v>
      </c>
      <c r="I158" s="2"/>
      <c r="J158" s="3897"/>
      <c r="K158" s="3897"/>
      <c r="L158" s="2298"/>
      <c r="Q158" s="2234">
        <v>20</v>
      </c>
      <c r="R158" s="731">
        <v>5</v>
      </c>
      <c r="S158" s="731">
        <v>1.5</v>
      </c>
      <c r="T158" s="731">
        <v>-0.4</v>
      </c>
      <c r="U158" s="2234"/>
      <c r="V158" s="2234"/>
      <c r="Y158" s="2234">
        <v>20</v>
      </c>
      <c r="Z158" s="731">
        <v>5</v>
      </c>
      <c r="AA158" s="731">
        <v>1.5</v>
      </c>
      <c r="AB158" s="731">
        <v>-0.4</v>
      </c>
      <c r="AC158" s="2234"/>
      <c r="AD158" s="2234"/>
      <c r="AE158" s="2338"/>
    </row>
    <row r="159" spans="1:31" outlineLevel="1">
      <c r="A159" s="2234"/>
      <c r="B159" s="1348">
        <v>120</v>
      </c>
      <c r="C159" s="1348"/>
      <c r="D159" s="1354">
        <v>0.49</v>
      </c>
      <c r="E159" s="2" t="e">
        <f>100*(D159-$A$21*0.8)/($A$21)</f>
        <v>#DIV/0!</v>
      </c>
      <c r="F159" s="2"/>
      <c r="G159" s="1354">
        <v>0.36499999999999999</v>
      </c>
      <c r="H159" s="2" t="e">
        <f>100*(G159-$A$21*0.6)/($A$21)</f>
        <v>#DIV/0!</v>
      </c>
      <c r="I159" s="2"/>
      <c r="J159" s="3897"/>
      <c r="K159" s="3897"/>
      <c r="L159" s="2298"/>
      <c r="Q159" s="2234"/>
      <c r="R159" s="731">
        <v>100</v>
      </c>
      <c r="S159" s="731">
        <v>1.5</v>
      </c>
      <c r="T159" s="731">
        <v>0.9</v>
      </c>
      <c r="U159" s="2234"/>
      <c r="V159" s="2234"/>
      <c r="Y159" s="2234"/>
      <c r="Z159" s="731">
        <v>100</v>
      </c>
      <c r="AA159" s="731">
        <v>1.5</v>
      </c>
      <c r="AB159" s="731">
        <v>0.9</v>
      </c>
      <c r="AC159" s="2234"/>
      <c r="AD159" s="2234"/>
      <c r="AE159" s="2338"/>
    </row>
    <row r="160" spans="1:31" outlineLevel="1">
      <c r="A160" s="2234">
        <v>0.8</v>
      </c>
      <c r="B160" s="1348">
        <v>5</v>
      </c>
      <c r="C160" s="1348"/>
      <c r="D160" s="2">
        <v>0.64700000000000002</v>
      </c>
      <c r="E160" s="2" t="e">
        <f>100*(D160-$A$24*0.8)/($A$24)</f>
        <v>#DIV/0!</v>
      </c>
      <c r="F160" s="2"/>
      <c r="G160" s="1354">
        <v>0.46899999999999997</v>
      </c>
      <c r="H160" s="2" t="e">
        <f>100*($G160-$A$24*0.6)/($A$24)</f>
        <v>#DIV/0!</v>
      </c>
      <c r="I160" s="2"/>
      <c r="J160" s="3897"/>
      <c r="K160" s="3897"/>
      <c r="L160" s="2298"/>
      <c r="Q160" s="2234"/>
      <c r="R160" s="731">
        <v>120</v>
      </c>
      <c r="S160" s="731">
        <v>1.5</v>
      </c>
      <c r="T160" s="731">
        <v>0.9</v>
      </c>
      <c r="U160" s="2234"/>
      <c r="V160" s="2234"/>
      <c r="Y160" s="2234"/>
      <c r="Z160" s="731">
        <v>120</v>
      </c>
      <c r="AA160" s="731">
        <v>1.5</v>
      </c>
      <c r="AB160" s="731">
        <v>0.9</v>
      </c>
      <c r="AC160" s="2234"/>
      <c r="AD160" s="2234"/>
      <c r="AE160" s="2338"/>
    </row>
    <row r="161" spans="1:31" outlineLevel="1">
      <c r="A161" s="2234"/>
      <c r="B161" s="1348">
        <v>100</v>
      </c>
      <c r="C161" s="1348"/>
      <c r="D161" s="2">
        <v>0.65</v>
      </c>
      <c r="E161" s="2" t="e">
        <f>100*(D161-$A$24*0.8)/($A$24)</f>
        <v>#DIV/0!</v>
      </c>
      <c r="F161" s="2"/>
      <c r="G161" s="1354">
        <v>0.48199999999999998</v>
      </c>
      <c r="H161" s="2" t="e">
        <f>100*(G161-$A$24*0.6)/($A$24)</f>
        <v>#DIV/0!</v>
      </c>
      <c r="I161" s="2"/>
      <c r="J161" s="3897"/>
      <c r="K161" s="3897"/>
      <c r="L161" s="2298"/>
      <c r="Q161" s="2234">
        <v>30</v>
      </c>
      <c r="R161" s="731">
        <v>5</v>
      </c>
      <c r="S161" s="731">
        <v>1.6</v>
      </c>
      <c r="T161" s="731">
        <v>-1.6</v>
      </c>
      <c r="U161" s="2234"/>
      <c r="V161" s="2234"/>
      <c r="Y161" s="2234">
        <v>30</v>
      </c>
      <c r="Z161" s="731">
        <v>5</v>
      </c>
      <c r="AA161" s="731">
        <v>1.6</v>
      </c>
      <c r="AB161" s="731">
        <v>-1.6</v>
      </c>
      <c r="AC161" s="2234"/>
      <c r="AD161" s="2234"/>
      <c r="AE161" s="2338"/>
    </row>
    <row r="162" spans="1:31" outlineLevel="1">
      <c r="A162" s="2234"/>
      <c r="B162" s="1348">
        <v>120</v>
      </c>
      <c r="C162" s="1348"/>
      <c r="D162" s="2">
        <v>0.65</v>
      </c>
      <c r="E162" s="2" t="e">
        <f>100*(D162-$A$24*0.8)/($A$24)</f>
        <v>#DIV/0!</v>
      </c>
      <c r="F162" s="2"/>
      <c r="G162" s="1354">
        <v>0.48299999999999998</v>
      </c>
      <c r="H162" s="2" t="e">
        <f>100*(G162-$A$24*0.6)/($A$24)</f>
        <v>#DIV/0!</v>
      </c>
      <c r="I162" s="2"/>
      <c r="J162" s="3897"/>
      <c r="K162" s="3897"/>
      <c r="L162" s="2298"/>
      <c r="Q162" s="2234"/>
      <c r="R162" s="731">
        <v>100</v>
      </c>
      <c r="S162" s="731">
        <v>1.6</v>
      </c>
      <c r="T162" s="731">
        <v>0.4</v>
      </c>
      <c r="U162" s="2234"/>
      <c r="V162" s="2234"/>
      <c r="Y162" s="2234"/>
      <c r="Z162" s="731">
        <v>100</v>
      </c>
      <c r="AA162" s="731">
        <v>1.6</v>
      </c>
      <c r="AB162" s="731">
        <v>0.4</v>
      </c>
      <c r="AC162" s="2234"/>
      <c r="AD162" s="2234"/>
      <c r="AE162" s="2338"/>
    </row>
    <row r="163" spans="1:31">
      <c r="A163" s="2234">
        <v>1</v>
      </c>
      <c r="B163" s="1348">
        <v>5</v>
      </c>
      <c r="C163" s="1348"/>
      <c r="D163" s="2">
        <v>0.80900000000000005</v>
      </c>
      <c r="E163" s="2" t="e">
        <f>100*(D163-$A$27*0.8)/($A$27)</f>
        <v>#DIV/0!</v>
      </c>
      <c r="F163" s="2"/>
      <c r="G163" s="2">
        <v>0.59099999999999997</v>
      </c>
      <c r="H163" s="2" t="e">
        <f>100*($G163-$A$27*0.6)/($A$27)</f>
        <v>#DIV/0!</v>
      </c>
      <c r="I163" s="2"/>
      <c r="J163" s="3897"/>
      <c r="K163" s="3897"/>
      <c r="L163" s="2298"/>
      <c r="Q163" s="2234"/>
      <c r="R163" s="731">
        <v>120</v>
      </c>
      <c r="S163" s="731">
        <v>1.6</v>
      </c>
      <c r="T163" s="731">
        <v>0.4</v>
      </c>
      <c r="U163" s="2234"/>
      <c r="V163" s="2234"/>
      <c r="Y163" s="2234"/>
      <c r="Z163" s="731">
        <v>120</v>
      </c>
      <c r="AA163" s="731">
        <v>1.6</v>
      </c>
      <c r="AB163" s="731">
        <v>0.4</v>
      </c>
      <c r="AC163" s="2234"/>
      <c r="AD163" s="2234"/>
      <c r="AE163" s="2338"/>
    </row>
    <row r="164" spans="1:31">
      <c r="A164" s="2234"/>
      <c r="B164" s="1348">
        <v>100</v>
      </c>
      <c r="C164" s="1348"/>
      <c r="D164" s="2">
        <v>0.81399999999999995</v>
      </c>
      <c r="E164" s="2" t="e">
        <f>100*(D164-$A$27*0.8)/($A$27)</f>
        <v>#DIV/0!</v>
      </c>
      <c r="F164" s="2"/>
      <c r="G164" s="2">
        <v>0.60499999999999998</v>
      </c>
      <c r="H164" s="2" t="e">
        <f>100*($G164-$A$27*0.6)/($A$27)</f>
        <v>#DIV/0!</v>
      </c>
      <c r="I164" s="2"/>
      <c r="J164" s="3897"/>
      <c r="K164" s="3897"/>
      <c r="L164" s="2298"/>
      <c r="Q164" s="2234">
        <v>40</v>
      </c>
      <c r="R164" s="731">
        <v>5</v>
      </c>
      <c r="S164" s="731">
        <v>1</v>
      </c>
      <c r="T164" s="731">
        <v>-1</v>
      </c>
      <c r="U164" s="2234"/>
      <c r="V164" s="2234"/>
      <c r="Y164" s="2234">
        <v>40</v>
      </c>
      <c r="Z164" s="731">
        <v>5</v>
      </c>
      <c r="AA164" s="731">
        <v>1</v>
      </c>
      <c r="AB164" s="731">
        <v>-1</v>
      </c>
      <c r="AC164" s="2234"/>
      <c r="AD164" s="2234"/>
      <c r="AE164" s="2338"/>
    </row>
    <row r="165" spans="1:31">
      <c r="A165" s="2234"/>
      <c r="B165" s="1348">
        <v>120</v>
      </c>
      <c r="C165" s="1348"/>
      <c r="D165" s="2">
        <v>0.81399999999999995</v>
      </c>
      <c r="E165" s="2" t="e">
        <f>100*(D165-$A$27*0.8)/($A$27)</f>
        <v>#DIV/0!</v>
      </c>
      <c r="F165" s="2"/>
      <c r="G165" s="1354">
        <v>0.60599999999999998</v>
      </c>
      <c r="H165" s="2" t="e">
        <f>100*($G165-$A$27*0.6)/($A$27)</f>
        <v>#DIV/0!</v>
      </c>
      <c r="I165" s="2"/>
      <c r="J165" s="3897"/>
      <c r="K165" s="3897"/>
      <c r="L165" s="2298"/>
      <c r="Q165" s="2234"/>
      <c r="R165" s="731">
        <v>100</v>
      </c>
      <c r="S165" s="731">
        <v>1.3</v>
      </c>
      <c r="T165" s="731">
        <v>0.3</v>
      </c>
      <c r="U165" s="2234"/>
      <c r="V165" s="2234"/>
      <c r="Y165" s="2234"/>
      <c r="Z165" s="731">
        <v>100</v>
      </c>
      <c r="AA165" s="731">
        <v>1.3</v>
      </c>
      <c r="AB165" s="731">
        <v>0.3</v>
      </c>
      <c r="AC165" s="2234"/>
      <c r="AD165" s="2234"/>
      <c r="AE165" s="2338"/>
    </row>
    <row r="166" spans="1:31">
      <c r="A166" s="2234">
        <v>1.2</v>
      </c>
      <c r="B166" s="2">
        <v>5</v>
      </c>
      <c r="C166" s="2"/>
      <c r="D166" s="2">
        <v>0.97099999999999997</v>
      </c>
      <c r="E166" s="2" t="e">
        <f>100*(D166-$A$30*0.8)/($A$30)</f>
        <v>#DIV/0!</v>
      </c>
      <c r="F166" s="2"/>
      <c r="G166" s="1354">
        <v>0.71399999999999997</v>
      </c>
      <c r="H166" s="2" t="e">
        <f>100*($G166-$A$30*0.6)/($A$30)</f>
        <v>#DIV/0!</v>
      </c>
      <c r="I166" s="2"/>
      <c r="J166" s="3897"/>
      <c r="K166" s="3897"/>
      <c r="L166" s="2298"/>
      <c r="Q166" s="2234"/>
      <c r="R166" s="731">
        <v>120</v>
      </c>
      <c r="S166" s="731">
        <v>1.7</v>
      </c>
      <c r="T166" s="731">
        <v>0.3</v>
      </c>
      <c r="U166" s="2234"/>
      <c r="V166" s="2234"/>
      <c r="Y166" s="2234"/>
      <c r="Z166" s="731">
        <v>120</v>
      </c>
      <c r="AA166" s="731">
        <v>1.7</v>
      </c>
      <c r="AB166" s="731">
        <v>0.3</v>
      </c>
      <c r="AC166" s="2234"/>
      <c r="AD166" s="2234"/>
      <c r="AE166" s="2338"/>
    </row>
    <row r="167" spans="1:31">
      <c r="A167" s="2234"/>
      <c r="B167" s="2">
        <v>100</v>
      </c>
      <c r="C167" s="2"/>
      <c r="D167" s="2">
        <v>0.97499999999999998</v>
      </c>
      <c r="E167" s="2" t="e">
        <f>100*(D167-$A$30*0.8)/($A$30)</f>
        <v>#DIV/0!</v>
      </c>
      <c r="F167" s="2"/>
      <c r="G167" s="1354">
        <v>0.72699999999999998</v>
      </c>
      <c r="H167" s="2" t="e">
        <f>100*(G167-$A$30*0.6)/($A$30)</f>
        <v>#DIV/0!</v>
      </c>
      <c r="I167" s="2"/>
      <c r="J167" s="3897"/>
      <c r="K167" s="3897"/>
      <c r="L167" s="2298"/>
      <c r="Q167" s="2234">
        <v>50</v>
      </c>
      <c r="R167" s="731">
        <v>5</v>
      </c>
      <c r="S167" s="731">
        <v>1</v>
      </c>
      <c r="T167" s="731">
        <v>-1</v>
      </c>
      <c r="U167" s="2234"/>
      <c r="V167" s="2234"/>
      <c r="Y167" s="2234">
        <v>50</v>
      </c>
      <c r="Z167" s="731">
        <v>5</v>
      </c>
      <c r="AA167" s="731">
        <v>1</v>
      </c>
      <c r="AB167" s="731">
        <v>-1</v>
      </c>
      <c r="AC167" s="2234"/>
      <c r="AD167" s="2234"/>
      <c r="AE167" s="2338"/>
    </row>
    <row r="168" spans="1:31">
      <c r="A168" s="2234"/>
      <c r="B168" s="2">
        <v>120</v>
      </c>
      <c r="C168" s="2"/>
      <c r="D168" s="2">
        <v>0.97499999999999998</v>
      </c>
      <c r="E168" s="2" t="e">
        <f>100*(D168-$A$30*0.8)/($A$30)</f>
        <v>#DIV/0!</v>
      </c>
      <c r="F168" s="2"/>
      <c r="G168" s="864">
        <v>0.72799999999999998</v>
      </c>
      <c r="H168" s="2" t="e">
        <f>100*(G168-$A$30*0.6)/($A$30)</f>
        <v>#DIV/0!</v>
      </c>
      <c r="I168" s="2"/>
      <c r="J168" s="3897"/>
      <c r="K168" s="3897"/>
      <c r="L168" s="2298"/>
      <c r="Q168" s="2234"/>
      <c r="R168" s="731">
        <v>100</v>
      </c>
      <c r="S168" s="731">
        <v>1.3</v>
      </c>
      <c r="T168" s="731">
        <v>0.5</v>
      </c>
      <c r="U168" s="2234"/>
      <c r="V168" s="2234"/>
      <c r="Y168" s="2234"/>
      <c r="Z168" s="731">
        <v>100</v>
      </c>
      <c r="AA168" s="731">
        <v>1.3</v>
      </c>
      <c r="AB168" s="731">
        <v>0.5</v>
      </c>
      <c r="AC168" s="2234"/>
      <c r="AD168" s="2234"/>
      <c r="AE168" s="2338"/>
    </row>
    <row r="169" spans="1:31">
      <c r="A169" s="2234">
        <v>1.6</v>
      </c>
      <c r="B169" s="2">
        <v>5</v>
      </c>
      <c r="C169" s="2"/>
      <c r="D169" s="2">
        <v>1.29</v>
      </c>
      <c r="E169" s="2" t="e">
        <f>100*(D169-$A$33*0.8)/($A$33)</f>
        <v>#DIV/0!</v>
      </c>
      <c r="F169" s="2"/>
      <c r="G169" s="864">
        <v>0.95699999999999996</v>
      </c>
      <c r="H169" s="2" t="e">
        <f>100*($G169-$A$33*0.6)/($A$33)</f>
        <v>#DIV/0!</v>
      </c>
      <c r="I169" s="2"/>
      <c r="J169" s="3897"/>
      <c r="K169" s="3897"/>
      <c r="L169" s="2298"/>
      <c r="Q169" s="2234"/>
      <c r="R169" s="731">
        <v>120</v>
      </c>
      <c r="S169" s="731">
        <v>1.3</v>
      </c>
      <c r="T169" s="731">
        <v>0.5</v>
      </c>
      <c r="U169" s="2234"/>
      <c r="V169" s="2234"/>
      <c r="Y169" s="2234"/>
      <c r="Z169" s="731">
        <v>120</v>
      </c>
      <c r="AA169" s="731">
        <v>1.3</v>
      </c>
      <c r="AB169" s="731">
        <v>0.5</v>
      </c>
      <c r="AC169" s="2234"/>
      <c r="AD169" s="2234"/>
      <c r="AE169" s="2338"/>
    </row>
    <row r="170" spans="1:31">
      <c r="A170" s="2234"/>
      <c r="B170" s="2">
        <v>100</v>
      </c>
      <c r="C170" s="2"/>
      <c r="D170" s="2">
        <v>1.2949999999999999</v>
      </c>
      <c r="E170" s="2" t="e">
        <f>100*(D170-$A$33*0.8)/($A$33)</f>
        <v>#DIV/0!</v>
      </c>
      <c r="F170" s="2"/>
      <c r="G170" s="864">
        <v>0.97499999999999998</v>
      </c>
      <c r="H170" s="2" t="e">
        <f>100*(G170-$A$33*0.6)/($A$33)</f>
        <v>#DIV/0!</v>
      </c>
      <c r="I170" s="2"/>
      <c r="J170" s="3897"/>
      <c r="K170" s="3897"/>
      <c r="L170" s="2298"/>
      <c r="Q170" s="2234">
        <v>60</v>
      </c>
      <c r="R170" s="731">
        <v>5</v>
      </c>
      <c r="S170" s="731">
        <v>1.4</v>
      </c>
      <c r="T170" s="731">
        <v>-1.2</v>
      </c>
      <c r="U170" s="2234"/>
      <c r="V170" s="2234"/>
      <c r="Y170" s="2234">
        <v>60</v>
      </c>
      <c r="Z170" s="731">
        <v>5</v>
      </c>
      <c r="AA170" s="731">
        <v>1.4</v>
      </c>
      <c r="AB170" s="731">
        <v>-1.2</v>
      </c>
      <c r="AC170" s="2234"/>
      <c r="AD170" s="2234"/>
      <c r="AE170" s="2338"/>
    </row>
    <row r="171" spans="1:31">
      <c r="A171" s="2234"/>
      <c r="B171" s="2">
        <v>120</v>
      </c>
      <c r="C171" s="2"/>
      <c r="D171" s="2">
        <v>1.294</v>
      </c>
      <c r="E171" s="2" t="e">
        <f>100*(D171-$A$33*0.8)/($A$33)</f>
        <v>#DIV/0!</v>
      </c>
      <c r="F171" s="2"/>
      <c r="G171" s="864">
        <v>0.97699999999999998</v>
      </c>
      <c r="H171" s="2" t="e">
        <f>100*(G171-$A$33*0.6)/($A$33)</f>
        <v>#DIV/0!</v>
      </c>
      <c r="I171" s="2"/>
      <c r="J171" s="3897"/>
      <c r="K171" s="3897"/>
      <c r="L171" s="2298"/>
      <c r="Q171" s="2234"/>
      <c r="R171" s="731">
        <v>100</v>
      </c>
      <c r="S171" s="731">
        <v>1.4</v>
      </c>
      <c r="T171" s="731">
        <v>0.6</v>
      </c>
      <c r="U171" s="2234"/>
      <c r="V171" s="2234"/>
      <c r="Y171" s="2234"/>
      <c r="Z171" s="731">
        <v>100</v>
      </c>
      <c r="AA171" s="731">
        <v>1.4</v>
      </c>
      <c r="AB171" s="731">
        <v>0.6</v>
      </c>
      <c r="AC171" s="2234"/>
      <c r="AD171" s="2234"/>
      <c r="AE171" s="2338"/>
    </row>
    <row r="172" spans="1:31">
      <c r="A172" s="2234">
        <v>2</v>
      </c>
      <c r="B172" s="2">
        <v>5</v>
      </c>
      <c r="C172" s="2"/>
      <c r="D172" s="2">
        <v>1.607</v>
      </c>
      <c r="E172" s="2" t="e">
        <f>100*(D172-$A$36*0.8)/($A$36)</f>
        <v>#DIV/0!</v>
      </c>
      <c r="F172" s="2"/>
      <c r="G172" s="864">
        <v>1.1919999999999999</v>
      </c>
      <c r="H172" s="2" t="e">
        <f>100*($G172-$A$36*0.6)/($A$36)</f>
        <v>#DIV/0!</v>
      </c>
      <c r="I172" s="2"/>
      <c r="J172" s="3897"/>
      <c r="K172" s="3897"/>
      <c r="L172" s="2298"/>
      <c r="Q172" s="2234"/>
      <c r="R172" s="731">
        <v>120</v>
      </c>
      <c r="S172" s="731">
        <v>1.4</v>
      </c>
      <c r="T172" s="731">
        <v>0.6</v>
      </c>
      <c r="U172" s="2234"/>
      <c r="V172" s="2234"/>
      <c r="Y172" s="2234"/>
      <c r="Z172" s="731">
        <v>120</v>
      </c>
      <c r="AA172" s="731">
        <v>1.4</v>
      </c>
      <c r="AB172" s="731">
        <v>0.6</v>
      </c>
      <c r="AC172" s="2234"/>
      <c r="AD172" s="2234"/>
      <c r="AE172" s="2338"/>
    </row>
    <row r="173" spans="1:31">
      <c r="A173" s="2234"/>
      <c r="B173" s="2">
        <v>100</v>
      </c>
      <c r="C173" s="2"/>
      <c r="D173" s="2">
        <v>1.617</v>
      </c>
      <c r="E173" s="2" t="e">
        <f>100*(D173-$A$36*0.8)/($A$36)</f>
        <v>#DIV/0!</v>
      </c>
      <c r="F173" s="2"/>
      <c r="G173" s="864">
        <v>1.216</v>
      </c>
      <c r="H173" s="2" t="e">
        <f>100*(G173-$A$36*0.6)/($A$36)</f>
        <v>#DIV/0!</v>
      </c>
      <c r="I173" s="2"/>
      <c r="J173" s="3897"/>
      <c r="K173" s="3897"/>
      <c r="L173" s="2298"/>
    </row>
    <row r="174" spans="1:31">
      <c r="A174" s="2234"/>
      <c r="B174" s="2">
        <v>120</v>
      </c>
      <c r="C174" s="2"/>
      <c r="D174" s="2">
        <v>1.6140000000000001</v>
      </c>
      <c r="E174" s="2" t="e">
        <f>100*(D174-$A$36*0.8)/($A$36)</f>
        <v>#DIV/0!</v>
      </c>
      <c r="F174" s="2"/>
      <c r="G174" s="864">
        <v>1.216</v>
      </c>
      <c r="H174" s="2" t="e">
        <f>100*(G174-$A$36*0.6)/($A$36)</f>
        <v>#DIV/0!</v>
      </c>
      <c r="I174" s="2"/>
      <c r="J174" s="3897"/>
      <c r="K174" s="3897"/>
      <c r="L174" s="2298"/>
    </row>
    <row r="175" spans="1:31">
      <c r="A175" s="2234">
        <v>2.4</v>
      </c>
      <c r="B175" s="2">
        <v>5</v>
      </c>
      <c r="C175" s="2"/>
      <c r="D175" s="2">
        <v>1.9339999999999999</v>
      </c>
      <c r="E175" s="2" t="e">
        <f>100*(D175-$A$39*0.8)/($A$39)</f>
        <v>#DIV/0!</v>
      </c>
      <c r="F175" s="2"/>
      <c r="G175" s="864">
        <v>1.4279999999999999</v>
      </c>
      <c r="H175" s="2" t="e">
        <f>100*($G175-$A$39*0.6)/($A$39)</f>
        <v>#DIV/0!</v>
      </c>
      <c r="I175" s="2"/>
      <c r="J175" s="3897"/>
      <c r="K175" s="3897"/>
      <c r="L175" s="2298"/>
    </row>
    <row r="176" spans="1:31">
      <c r="A176" s="2234"/>
      <c r="B176" s="2">
        <v>100</v>
      </c>
      <c r="C176" s="2"/>
      <c r="D176" s="2">
        <v>1.9430000000000001</v>
      </c>
      <c r="E176" s="2" t="e">
        <f>100*(D176-$A$39*0.8)/($A$39)</f>
        <v>#DIV/0!</v>
      </c>
      <c r="F176" s="2"/>
      <c r="G176" s="864">
        <v>1.4550000000000001</v>
      </c>
      <c r="H176" s="2" t="e">
        <f>100*(G176-$A$39*0.6)/($A$39)</f>
        <v>#DIV/0!</v>
      </c>
      <c r="I176" s="2"/>
      <c r="J176" s="3897"/>
      <c r="K176" s="3897"/>
      <c r="L176" s="2298"/>
    </row>
    <row r="177" spans="1:12">
      <c r="A177" s="2234"/>
      <c r="B177" s="2">
        <v>8.1000000000000003E-2</v>
      </c>
      <c r="C177" s="2"/>
      <c r="D177" s="2">
        <v>1.9410000000000001</v>
      </c>
      <c r="E177" s="2" t="e">
        <f>100*(D177-$A$39*0.8)/($A$39)</f>
        <v>#DIV/0!</v>
      </c>
      <c r="F177" s="2"/>
      <c r="G177" s="864">
        <v>1.4550000000000001</v>
      </c>
      <c r="H177" s="2" t="e">
        <f>100*(G177-$A$39*0.6)/($A$39)</f>
        <v>#DIV/0!</v>
      </c>
      <c r="I177" s="2"/>
      <c r="J177" s="2234"/>
      <c r="K177" s="2234"/>
      <c r="L177" s="2298"/>
    </row>
  </sheetData>
  <mergeCells count="202">
    <mergeCell ref="A92:A93"/>
    <mergeCell ref="K92:K93"/>
    <mergeCell ref="A42:A43"/>
    <mergeCell ref="J44:J88"/>
    <mergeCell ref="D92:F92"/>
    <mergeCell ref="G92:I92"/>
    <mergeCell ref="F42:H42"/>
    <mergeCell ref="I42:I43"/>
    <mergeCell ref="A100:A102"/>
    <mergeCell ref="A53:A55"/>
    <mergeCell ref="A68:A70"/>
    <mergeCell ref="A71:A73"/>
    <mergeCell ref="A86:A88"/>
    <mergeCell ref="A62:A64"/>
    <mergeCell ref="J42:J43"/>
    <mergeCell ref="A44:A46"/>
    <mergeCell ref="B42:B43"/>
    <mergeCell ref="C42:E42"/>
    <mergeCell ref="A83:A85"/>
    <mergeCell ref="A47:A49"/>
    <mergeCell ref="A50:A52"/>
    <mergeCell ref="A59:A61"/>
    <mergeCell ref="A56:A58"/>
    <mergeCell ref="A65:A67"/>
    <mergeCell ref="A103:A105"/>
    <mergeCell ref="A106:A108"/>
    <mergeCell ref="A109:A111"/>
    <mergeCell ref="J94:J135"/>
    <mergeCell ref="A133:A135"/>
    <mergeCell ref="A124:A126"/>
    <mergeCell ref="A112:A114"/>
    <mergeCell ref="L137:L138"/>
    <mergeCell ref="A172:A174"/>
    <mergeCell ref="K137:K138"/>
    <mergeCell ref="L139:L177"/>
    <mergeCell ref="A137:A138"/>
    <mergeCell ref="K139:K177"/>
    <mergeCell ref="A163:A165"/>
    <mergeCell ref="A166:A168"/>
    <mergeCell ref="A169:A171"/>
    <mergeCell ref="A157:A159"/>
    <mergeCell ref="A160:A162"/>
    <mergeCell ref="A151:A153"/>
    <mergeCell ref="A154:A156"/>
    <mergeCell ref="J139:J177"/>
    <mergeCell ref="A115:A117"/>
    <mergeCell ref="A94:A96"/>
    <mergeCell ref="A97:A99"/>
    <mergeCell ref="A175:A177"/>
    <mergeCell ref="A118:A120"/>
    <mergeCell ref="A127:A129"/>
    <mergeCell ref="A148:A150"/>
    <mergeCell ref="D137:F137"/>
    <mergeCell ref="A142:A144"/>
    <mergeCell ref="A145:A147"/>
    <mergeCell ref="A121:A123"/>
    <mergeCell ref="J137:J138"/>
    <mergeCell ref="G137:I137"/>
    <mergeCell ref="A130:A132"/>
    <mergeCell ref="A139:A141"/>
    <mergeCell ref="I44:I88"/>
    <mergeCell ref="A74:A76"/>
    <mergeCell ref="A77:A79"/>
    <mergeCell ref="A80:A82"/>
    <mergeCell ref="O15:O16"/>
    <mergeCell ref="V15:V16"/>
    <mergeCell ref="O17:O19"/>
    <mergeCell ref="P17:P19"/>
    <mergeCell ref="S17:S19"/>
    <mergeCell ref="T17:T19"/>
    <mergeCell ref="V17:V19"/>
    <mergeCell ref="K17:K18"/>
    <mergeCell ref="O26:O28"/>
    <mergeCell ref="V26:V28"/>
    <mergeCell ref="O43:S43"/>
    <mergeCell ref="K44:K88"/>
    <mergeCell ref="V38:V40"/>
    <mergeCell ref="AA20:AA40"/>
    <mergeCell ref="AB20:AB29"/>
    <mergeCell ref="O23:O25"/>
    <mergeCell ref="V23:V25"/>
    <mergeCell ref="A2:C2"/>
    <mergeCell ref="A17:A18"/>
    <mergeCell ref="B17:B18"/>
    <mergeCell ref="C17:E17"/>
    <mergeCell ref="F17:H17"/>
    <mergeCell ref="J17:J18"/>
    <mergeCell ref="A19:A21"/>
    <mergeCell ref="I19:I39"/>
    <mergeCell ref="J19:J37"/>
    <mergeCell ref="A22:A24"/>
    <mergeCell ref="A25:A27"/>
    <mergeCell ref="A28:A30"/>
    <mergeCell ref="A31:A33"/>
    <mergeCell ref="A34:A36"/>
    <mergeCell ref="I17:I18"/>
    <mergeCell ref="A37:A39"/>
    <mergeCell ref="K94:K135"/>
    <mergeCell ref="L92:L93"/>
    <mergeCell ref="L94:L135"/>
    <mergeCell ref="K42:K43"/>
    <mergeCell ref="L25:N31"/>
    <mergeCell ref="W17:W19"/>
    <mergeCell ref="Z17:Z19"/>
    <mergeCell ref="AA17:AA19"/>
    <mergeCell ref="AB17:AB19"/>
    <mergeCell ref="K19:K28"/>
    <mergeCell ref="O20:O22"/>
    <mergeCell ref="S20:S40"/>
    <mergeCell ref="T20:T40"/>
    <mergeCell ref="V20:V22"/>
    <mergeCell ref="Z20:Z40"/>
    <mergeCell ref="K29:K39"/>
    <mergeCell ref="O29:O31"/>
    <mergeCell ref="V29:V31"/>
    <mergeCell ref="AB30:AB40"/>
    <mergeCell ref="O32:O34"/>
    <mergeCell ref="V32:V34"/>
    <mergeCell ref="O35:O37"/>
    <mergeCell ref="V35:V37"/>
    <mergeCell ref="O38:O40"/>
    <mergeCell ref="Z92:Z94"/>
    <mergeCell ref="AC92:AC94"/>
    <mergeCell ref="AD92:AD94"/>
    <mergeCell ref="AE92:AE94"/>
    <mergeCell ref="Q95:Q97"/>
    <mergeCell ref="U95:U127"/>
    <mergeCell ref="V95:V127"/>
    <mergeCell ref="Y95:Y97"/>
    <mergeCell ref="AC95:AC127"/>
    <mergeCell ref="Q92:Q94"/>
    <mergeCell ref="R92:R94"/>
    <mergeCell ref="U92:U94"/>
    <mergeCell ref="V92:V94"/>
    <mergeCell ref="Z137:Z139"/>
    <mergeCell ref="AC137:AC139"/>
    <mergeCell ref="AD137:AD139"/>
    <mergeCell ref="AE137:AE139"/>
    <mergeCell ref="S138:S139"/>
    <mergeCell ref="T138:T139"/>
    <mergeCell ref="AA138:AA139"/>
    <mergeCell ref="AB138:AB139"/>
    <mergeCell ref="Y122:Y124"/>
    <mergeCell ref="Y125:Y127"/>
    <mergeCell ref="U137:U139"/>
    <mergeCell ref="V137:V139"/>
    <mergeCell ref="Y137:Y139"/>
    <mergeCell ref="AE108:AE127"/>
    <mergeCell ref="Y110:Y112"/>
    <mergeCell ref="Y113:Y115"/>
    <mergeCell ref="Y116:Y118"/>
    <mergeCell ref="Y119:Y121"/>
    <mergeCell ref="AD95:AD127"/>
    <mergeCell ref="AE95:AE107"/>
    <mergeCell ref="Y98:Y100"/>
    <mergeCell ref="Y101:Y103"/>
    <mergeCell ref="Y104:Y106"/>
    <mergeCell ref="Y107:Y109"/>
    <mergeCell ref="AE140:AE152"/>
    <mergeCell ref="Q143:Q145"/>
    <mergeCell ref="Y143:Y145"/>
    <mergeCell ref="Q146:Q148"/>
    <mergeCell ref="Y146:Y148"/>
    <mergeCell ref="Q149:Q151"/>
    <mergeCell ref="Y149:Y151"/>
    <mergeCell ref="Q152:Q154"/>
    <mergeCell ref="Y152:Y154"/>
    <mergeCell ref="AE153:AE172"/>
    <mergeCell ref="Q140:Q142"/>
    <mergeCell ref="U140:U172"/>
    <mergeCell ref="V140:V172"/>
    <mergeCell ref="Y140:Y142"/>
    <mergeCell ref="AC140:AC172"/>
    <mergeCell ref="AD140:AD172"/>
    <mergeCell ref="Q155:Q157"/>
    <mergeCell ref="Y155:Y157"/>
    <mergeCell ref="Q158:Q160"/>
    <mergeCell ref="Y158:Y160"/>
    <mergeCell ref="B92:B93"/>
    <mergeCell ref="B137:B138"/>
    <mergeCell ref="Q170:Q172"/>
    <mergeCell ref="Y170:Y172"/>
    <mergeCell ref="Q161:Q163"/>
    <mergeCell ref="Y161:Y163"/>
    <mergeCell ref="Q164:Q166"/>
    <mergeCell ref="Y164:Y166"/>
    <mergeCell ref="Q167:Q169"/>
    <mergeCell ref="Y167:Y169"/>
    <mergeCell ref="Q125:Q127"/>
    <mergeCell ref="Q137:Q139"/>
    <mergeCell ref="R137:R139"/>
    <mergeCell ref="Q110:Q112"/>
    <mergeCell ref="Q113:Q115"/>
    <mergeCell ref="Q116:Q118"/>
    <mergeCell ref="Q119:Q121"/>
    <mergeCell ref="Q122:Q124"/>
    <mergeCell ref="Q98:Q100"/>
    <mergeCell ref="Q101:Q103"/>
    <mergeCell ref="Q104:Q106"/>
    <mergeCell ref="Q107:Q109"/>
    <mergeCell ref="Y92:Y94"/>
    <mergeCell ref="J92:J93"/>
  </mergeCells>
  <phoneticPr fontId="2" type="noConversion"/>
  <pageMargins left="0.75" right="0.75" top="1" bottom="1" header="0.5" footer="0.5"/>
  <drawing r:id="rId1"/>
  <legacyDrawing r:id="rId2"/>
  <oleObjects>
    <oleObject progId="Equation.3" shapeId="85656" r:id="rId3"/>
    <oleObject progId="Equation.3" shapeId="85657" r:id="rId4"/>
    <oleObject progId="Equation.3" shapeId="85658" r:id="rId5"/>
    <oleObject progId="Equation.3" shapeId="85659" r:id="rId6"/>
    <oleObject progId="Equation.3" shapeId="85660" r:id="rId7"/>
    <oleObject progId="Equation.3" shapeId="85661" r:id="rId8"/>
    <oleObject progId="Equation.3" shapeId="85662" r:id="rId9"/>
    <oleObject progId="Equation.3" shapeId="85663" r:id="rId10"/>
    <oleObject progId="Equation.3" shapeId="85664" r:id="rId11"/>
  </oleObjects>
</worksheet>
</file>

<file path=xl/worksheets/sheet76.xml><?xml version="1.0" encoding="utf-8"?>
<worksheet xmlns="http://schemas.openxmlformats.org/spreadsheetml/2006/main" xmlns:r="http://schemas.openxmlformats.org/officeDocument/2006/relationships">
  <dimension ref="A1:AA181"/>
  <sheetViews>
    <sheetView topLeftCell="A106" workbookViewId="0"/>
  </sheetViews>
  <sheetFormatPr defaultColWidth="9" defaultRowHeight="14.25"/>
  <cols>
    <col min="2" max="2" width="23.5" customWidth="1"/>
    <col min="3" max="3" width="13.25" customWidth="1"/>
    <col min="4" max="4" width="11.625" bestFit="1" customWidth="1"/>
    <col min="5" max="5" width="13.875" customWidth="1"/>
    <col min="7" max="7" width="11.625" bestFit="1" customWidth="1"/>
    <col min="11" max="11" width="11.625" bestFit="1" customWidth="1"/>
  </cols>
  <sheetData>
    <row r="1" spans="1:27" ht="22.5">
      <c r="A1" s="454" t="s">
        <v>1165</v>
      </c>
      <c r="B1" s="506" t="s">
        <v>1166</v>
      </c>
      <c r="C1" s="661" t="s">
        <v>1802</v>
      </c>
      <c r="D1" s="507"/>
      <c r="E1" s="507"/>
      <c r="F1" s="8"/>
      <c r="G1" s="315"/>
      <c r="H1" s="315"/>
      <c r="I1" s="315"/>
      <c r="J1" s="315"/>
      <c r="K1" s="315"/>
      <c r="L1" s="508"/>
      <c r="M1" s="508"/>
      <c r="N1" s="508"/>
      <c r="O1" s="508"/>
      <c r="P1" s="508"/>
      <c r="Q1" s="508"/>
      <c r="R1" s="508"/>
      <c r="S1" s="508"/>
      <c r="T1" s="508"/>
      <c r="U1" s="508"/>
      <c r="V1" s="508"/>
      <c r="W1" s="508"/>
      <c r="X1" s="508"/>
      <c r="Y1" s="508"/>
      <c r="Z1" s="508"/>
      <c r="AA1" s="508"/>
    </row>
    <row r="2" spans="1:27">
      <c r="A2" s="13"/>
      <c r="B2" s="506" t="s">
        <v>1192</v>
      </c>
      <c r="C2" t="s">
        <v>1803</v>
      </c>
      <c r="D2" s="395"/>
      <c r="E2" s="395"/>
      <c r="F2" s="496"/>
      <c r="G2" s="315"/>
      <c r="H2" s="315"/>
      <c r="I2" s="315"/>
      <c r="J2" s="315"/>
      <c r="K2" s="315"/>
      <c r="L2" s="13"/>
      <c r="M2" s="13"/>
      <c r="N2" s="13"/>
      <c r="O2" s="13"/>
      <c r="P2" s="13"/>
      <c r="Q2" s="13"/>
      <c r="R2" s="13"/>
      <c r="S2" s="13"/>
      <c r="T2" s="13"/>
      <c r="U2" s="13"/>
      <c r="V2" s="13"/>
      <c r="W2" s="13"/>
      <c r="X2" s="13"/>
      <c r="Y2" s="13"/>
      <c r="Z2" s="13"/>
      <c r="AA2" s="13"/>
    </row>
    <row r="3" spans="1:27">
      <c r="A3" s="13"/>
      <c r="B3" t="s">
        <v>1797</v>
      </c>
      <c r="C3" t="s">
        <v>1798</v>
      </c>
      <c r="D3">
        <v>100</v>
      </c>
      <c r="E3" t="s">
        <v>1799</v>
      </c>
      <c r="F3">
        <v>10</v>
      </c>
      <c r="G3" t="s">
        <v>1800</v>
      </c>
      <c r="H3">
        <v>0.8</v>
      </c>
      <c r="I3" s="315"/>
      <c r="J3" s="315"/>
      <c r="K3" s="315"/>
      <c r="L3" s="13"/>
      <c r="M3" s="13"/>
      <c r="N3" s="13"/>
      <c r="O3" s="13"/>
      <c r="P3" s="13"/>
      <c r="Q3" s="13"/>
      <c r="R3" s="13"/>
      <c r="S3" s="13"/>
      <c r="T3" s="13"/>
      <c r="U3" s="13"/>
      <c r="V3" s="13"/>
      <c r="W3" s="13"/>
      <c r="X3" s="13"/>
      <c r="Y3" s="13"/>
      <c r="Z3" s="13"/>
      <c r="AA3" s="13"/>
    </row>
    <row r="4" spans="1:27">
      <c r="A4" s="13"/>
      <c r="B4" s="510" t="s">
        <v>1167</v>
      </c>
      <c r="C4" s="13"/>
      <c r="D4" s="13"/>
      <c r="E4" s="13"/>
      <c r="F4" s="13"/>
      <c r="G4" s="13"/>
      <c r="H4" s="13"/>
      <c r="I4" s="13"/>
      <c r="J4" s="13"/>
      <c r="K4" s="13"/>
      <c r="L4" s="13"/>
      <c r="M4" s="13"/>
      <c r="N4" s="13"/>
      <c r="O4" s="13"/>
      <c r="P4" s="13"/>
      <c r="Q4" s="13"/>
      <c r="R4" s="13"/>
      <c r="S4" s="13"/>
      <c r="T4" s="13"/>
      <c r="U4" s="13"/>
      <c r="V4" s="13"/>
      <c r="W4" s="13"/>
      <c r="X4" s="13"/>
      <c r="Y4" s="13"/>
      <c r="Z4" s="13"/>
      <c r="AA4" s="13"/>
    </row>
    <row r="5" spans="1:27" ht="15.75">
      <c r="A5" s="13"/>
      <c r="B5" s="347" t="s">
        <v>1169</v>
      </c>
      <c r="C5" s="347" t="s">
        <v>1170</v>
      </c>
      <c r="D5" s="347" t="s">
        <v>1171</v>
      </c>
      <c r="E5" s="347" t="s">
        <v>1172</v>
      </c>
      <c r="F5" s="448" t="s">
        <v>1173</v>
      </c>
      <c r="G5" s="449"/>
      <c r="H5" s="390"/>
      <c r="I5" s="482"/>
      <c r="J5" s="482"/>
      <c r="K5" s="390"/>
      <c r="L5" s="13"/>
      <c r="M5" s="13"/>
      <c r="N5" s="13"/>
      <c r="O5" s="13"/>
      <c r="P5" s="13"/>
      <c r="Q5" s="13"/>
      <c r="R5" s="13"/>
      <c r="S5" s="13"/>
      <c r="T5" s="13"/>
      <c r="U5" s="13"/>
      <c r="V5" s="13"/>
      <c r="W5" s="13"/>
      <c r="X5" s="13"/>
      <c r="Y5" s="13"/>
      <c r="Z5" s="13"/>
      <c r="AA5" s="13"/>
    </row>
    <row r="6" spans="1:27" ht="15">
      <c r="A6" s="13"/>
      <c r="B6" s="349">
        <v>0.99447300000000005</v>
      </c>
      <c r="C6" s="349">
        <v>0.99545300000000003</v>
      </c>
      <c r="D6" s="349">
        <v>0.99447300000000005</v>
      </c>
      <c r="E6" s="349">
        <v>0.99545300000000003</v>
      </c>
      <c r="F6" s="450">
        <v>0.99447300000000005</v>
      </c>
      <c r="G6" s="451"/>
      <c r="H6" s="417"/>
      <c r="I6" s="417"/>
      <c r="J6" s="417"/>
      <c r="K6" s="417"/>
      <c r="L6" s="13"/>
      <c r="M6" s="13"/>
      <c r="N6" s="13"/>
      <c r="O6" s="13"/>
      <c r="P6" s="13"/>
      <c r="Q6" s="13"/>
      <c r="R6" s="13"/>
      <c r="S6" s="13"/>
      <c r="T6" s="13"/>
      <c r="U6" s="13"/>
      <c r="V6" s="13"/>
      <c r="W6" s="13"/>
      <c r="X6" s="13"/>
      <c r="Y6" s="13"/>
      <c r="Z6" s="13"/>
      <c r="AA6" s="13"/>
    </row>
    <row r="7" spans="1:27" ht="15">
      <c r="A7" s="13"/>
      <c r="B7" s="349">
        <v>0.99545300000000003</v>
      </c>
      <c r="C7" s="349">
        <v>0.99447300000000005</v>
      </c>
      <c r="D7" s="349">
        <v>0.99545300000000003</v>
      </c>
      <c r="E7" s="349">
        <v>0.99447300000000005</v>
      </c>
      <c r="F7" s="450">
        <v>0.99545300000000003</v>
      </c>
      <c r="G7" s="451"/>
      <c r="H7" s="417"/>
      <c r="I7" s="417"/>
      <c r="J7" s="417"/>
      <c r="K7" s="417"/>
      <c r="L7" s="13"/>
      <c r="M7" s="13"/>
      <c r="N7" s="13"/>
      <c r="O7" s="13"/>
      <c r="P7" s="13"/>
      <c r="Q7" s="13"/>
      <c r="R7" s="13"/>
      <c r="S7" s="13"/>
      <c r="T7" s="13"/>
      <c r="U7" s="13"/>
      <c r="V7" s="13"/>
      <c r="W7" s="13"/>
      <c r="X7" s="13"/>
      <c r="Y7" s="13"/>
      <c r="Z7" s="13"/>
      <c r="AA7" s="13"/>
    </row>
    <row r="8" spans="1:27" ht="18.75">
      <c r="A8" s="13"/>
      <c r="B8" s="394" t="s">
        <v>1174</v>
      </c>
      <c r="C8">
        <f>STDEV(C6:K6)</f>
        <v>5.6580326380582216E-4</v>
      </c>
      <c r="D8" s="14"/>
      <c r="E8" s="14"/>
      <c r="F8" s="14"/>
      <c r="G8" s="498"/>
      <c r="H8" s="424"/>
      <c r="I8" s="424"/>
      <c r="J8" s="424"/>
      <c r="K8" s="424"/>
      <c r="L8" s="13"/>
      <c r="M8" s="13"/>
      <c r="N8" s="13"/>
      <c r="O8" s="13"/>
      <c r="P8" s="13"/>
      <c r="Q8" s="13"/>
      <c r="R8" s="13"/>
      <c r="S8" s="13"/>
      <c r="T8" s="13"/>
      <c r="U8" s="13"/>
      <c r="V8" s="13"/>
      <c r="W8" s="13"/>
      <c r="X8" s="13"/>
      <c r="Y8" s="13"/>
      <c r="Z8" s="13"/>
      <c r="AA8" s="13"/>
    </row>
    <row r="9" spans="1:27">
      <c r="A9" s="13"/>
      <c r="B9" s="511"/>
      <c r="C9" s="511"/>
      <c r="D9" s="511"/>
      <c r="E9" s="511"/>
      <c r="F9" s="511"/>
      <c r="G9" s="511"/>
      <c r="H9" s="511"/>
      <c r="I9" s="511"/>
      <c r="J9" s="511"/>
      <c r="K9" s="511"/>
      <c r="L9" s="13"/>
      <c r="M9" s="13"/>
      <c r="N9" s="13"/>
      <c r="O9" s="13"/>
      <c r="P9" s="13"/>
      <c r="Q9" s="13"/>
      <c r="R9" s="13"/>
      <c r="S9" s="13"/>
      <c r="T9" s="13"/>
      <c r="U9" s="13"/>
      <c r="V9" s="13"/>
      <c r="W9" s="13"/>
      <c r="X9" s="13"/>
      <c r="Y9" s="13"/>
      <c r="Z9" s="13"/>
      <c r="AA9" s="13"/>
    </row>
    <row r="10" spans="1:27">
      <c r="A10" s="13"/>
      <c r="B10" s="511"/>
      <c r="C10" s="511"/>
      <c r="D10" s="511"/>
      <c r="E10" s="511"/>
      <c r="F10" s="511"/>
      <c r="G10" s="511"/>
      <c r="H10" s="511"/>
      <c r="I10" s="511"/>
      <c r="J10" s="511"/>
      <c r="K10" s="511"/>
      <c r="L10" s="13"/>
      <c r="M10" s="13"/>
      <c r="N10" s="13"/>
      <c r="O10" s="13"/>
      <c r="P10" s="13"/>
      <c r="Q10" s="13"/>
      <c r="R10" s="13"/>
      <c r="S10" s="13"/>
      <c r="T10" s="13"/>
      <c r="U10" s="13"/>
      <c r="V10" s="13"/>
      <c r="W10" s="13"/>
      <c r="X10" s="13"/>
      <c r="Y10" s="13"/>
      <c r="Z10" s="13"/>
      <c r="AA10" s="13"/>
    </row>
    <row r="11" spans="1:27" ht="15.75" customHeight="1">
      <c r="A11" s="512" t="s">
        <v>1175</v>
      </c>
      <c r="B11" s="153" t="s">
        <v>1176</v>
      </c>
      <c r="V11" s="13"/>
      <c r="W11" s="13"/>
      <c r="X11" s="13"/>
      <c r="Y11" s="13"/>
      <c r="Z11" s="13"/>
      <c r="AA11" s="13"/>
    </row>
    <row r="12" spans="1:27" ht="15.75" customHeight="1">
      <c r="A12" s="512"/>
      <c r="B12" s="513" t="s">
        <v>1177</v>
      </c>
      <c r="C12" s="514" t="s">
        <v>1178</v>
      </c>
      <c r="D12" s="514" t="s">
        <v>1179</v>
      </c>
      <c r="E12" s="514" t="s">
        <v>1180</v>
      </c>
      <c r="F12" s="514" t="s">
        <v>1181</v>
      </c>
      <c r="G12" s="514" t="s">
        <v>1182</v>
      </c>
      <c r="V12" s="13"/>
      <c r="W12" s="13"/>
      <c r="X12" s="13"/>
      <c r="Y12" s="13"/>
      <c r="Z12" s="13"/>
      <c r="AA12" s="13"/>
    </row>
    <row r="13" spans="1:27" ht="36" customHeight="1">
      <c r="A13" s="512"/>
      <c r="B13" s="7">
        <v>1</v>
      </c>
      <c r="C13" s="515" t="s">
        <v>1193</v>
      </c>
      <c r="D13" s="519">
        <v>0.01</v>
      </c>
      <c r="E13" s="513" t="s">
        <v>1183</v>
      </c>
      <c r="F13" s="520">
        <v>1.73</v>
      </c>
      <c r="G13" s="521">
        <f>D13/F13</f>
        <v>5.7803468208092491E-3</v>
      </c>
      <c r="V13" s="13"/>
      <c r="W13" s="13"/>
      <c r="X13" s="13"/>
      <c r="Y13" s="13"/>
      <c r="Z13" s="13"/>
      <c r="AA13" s="13"/>
    </row>
    <row r="14" spans="1:27" ht="48" customHeight="1">
      <c r="A14" s="512"/>
      <c r="B14" s="7">
        <v>2</v>
      </c>
      <c r="C14" s="515" t="s">
        <v>1194</v>
      </c>
      <c r="D14" s="519">
        <v>2.8999999999999998E-3</v>
      </c>
      <c r="E14" s="513" t="s">
        <v>1184</v>
      </c>
      <c r="F14" s="520">
        <v>2.06</v>
      </c>
      <c r="G14" s="521">
        <f>D14/F14</f>
        <v>1.4077669902912619E-3</v>
      </c>
      <c r="V14" s="13"/>
      <c r="W14" s="13"/>
      <c r="X14" s="13"/>
      <c r="Y14" s="13"/>
      <c r="Z14" s="13"/>
      <c r="AA14" s="13"/>
    </row>
    <row r="15" spans="1:27" ht="43.5" customHeight="1">
      <c r="A15" s="512"/>
      <c r="B15" s="7">
        <v>3</v>
      </c>
      <c r="C15" s="515" t="s">
        <v>1195</v>
      </c>
      <c r="D15" s="522" t="s">
        <v>1196</v>
      </c>
      <c r="E15" s="513" t="s">
        <v>1183</v>
      </c>
      <c r="F15" s="2"/>
      <c r="G15" s="521">
        <f>(0.001/($F$3/$D$3^2*$H$3*1000))/SQRT(3)/2</f>
        <v>3.6084391824351612E-4</v>
      </c>
      <c r="V15" s="13"/>
      <c r="W15" s="13"/>
      <c r="X15" s="13"/>
      <c r="Y15" s="13"/>
      <c r="Z15" s="13"/>
      <c r="AA15" s="13"/>
    </row>
    <row r="16" spans="1:27" ht="15.75" customHeight="1">
      <c r="A16" s="512"/>
      <c r="B16" s="513" t="s">
        <v>1185</v>
      </c>
      <c r="C16" s="1749">
        <f>SQRT(SUMSQ(G13,G14,G15))</f>
        <v>5.9602370423605337E-3</v>
      </c>
      <c r="D16" s="1749"/>
      <c r="E16" s="1749"/>
      <c r="F16" s="1749"/>
      <c r="G16" s="1749"/>
      <c r="V16" s="13"/>
      <c r="W16" s="13"/>
      <c r="X16" s="13"/>
      <c r="Y16" s="13"/>
      <c r="Z16" s="13"/>
      <c r="AA16" s="13"/>
    </row>
    <row r="17" spans="1:27">
      <c r="A17" s="13"/>
      <c r="B17" s="505" t="s">
        <v>1186</v>
      </c>
      <c r="V17" s="13"/>
      <c r="W17" s="13"/>
      <c r="X17" s="13"/>
      <c r="Y17" s="13"/>
      <c r="Z17" s="13"/>
      <c r="AA17" s="13"/>
    </row>
    <row r="18" spans="1:27" ht="18.75">
      <c r="A18" s="13"/>
      <c r="B18" s="516" t="s">
        <v>1187</v>
      </c>
      <c r="C18">
        <v>6.0000000000000001E-3</v>
      </c>
      <c r="V18" s="13"/>
      <c r="W18" s="13"/>
      <c r="X18" s="13"/>
      <c r="Y18" s="13"/>
      <c r="Z18" s="13"/>
      <c r="AA18" s="13"/>
    </row>
    <row r="19" spans="1:27">
      <c r="B19" s="505" t="s">
        <v>1188</v>
      </c>
      <c r="C19" s="28"/>
    </row>
    <row r="20" spans="1:27" ht="15.75">
      <c r="B20" s="518" t="s">
        <v>1189</v>
      </c>
      <c r="C20">
        <v>1.2E-2</v>
      </c>
      <c r="D20" s="391"/>
      <c r="E20" s="392"/>
      <c r="F20" s="391"/>
      <c r="G20" s="393"/>
      <c r="H20" s="390"/>
      <c r="I20" s="390"/>
      <c r="J20" s="390"/>
      <c r="K20" s="390"/>
    </row>
    <row r="21" spans="1:27">
      <c r="B21" s="13" t="s">
        <v>1190</v>
      </c>
      <c r="C21" s="13"/>
      <c r="D21" s="13"/>
      <c r="E21" s="13"/>
      <c r="F21" s="13"/>
      <c r="G21" s="13"/>
      <c r="H21" s="13"/>
      <c r="I21" s="13"/>
      <c r="J21" s="13"/>
      <c r="K21" s="13"/>
    </row>
    <row r="22" spans="1:27">
      <c r="B22" s="662" t="s">
        <v>1191</v>
      </c>
      <c r="C22">
        <v>1.2E-2</v>
      </c>
    </row>
    <row r="24" spans="1:27">
      <c r="A24" s="13"/>
      <c r="B24" s="506" t="s">
        <v>1192</v>
      </c>
      <c r="C24" t="s">
        <v>1804</v>
      </c>
      <c r="D24" s="395"/>
      <c r="E24" s="395"/>
      <c r="F24" s="496"/>
      <c r="G24" s="315"/>
      <c r="H24" s="315"/>
      <c r="I24" s="315"/>
      <c r="J24" s="315"/>
      <c r="K24" s="315"/>
      <c r="L24" s="13"/>
      <c r="M24" s="13"/>
      <c r="N24" s="13"/>
      <c r="O24" s="13"/>
      <c r="P24" s="13"/>
      <c r="Q24" s="13"/>
      <c r="R24" s="13"/>
      <c r="S24" s="13"/>
      <c r="T24" s="13"/>
      <c r="U24" s="13"/>
      <c r="V24" s="13"/>
      <c r="W24" s="13"/>
      <c r="X24" s="13"/>
      <c r="Y24" s="13"/>
      <c r="Z24" s="13"/>
      <c r="AA24" s="13"/>
    </row>
    <row r="25" spans="1:27">
      <c r="A25" s="13"/>
      <c r="B25" t="s">
        <v>1797</v>
      </c>
      <c r="C25" t="s">
        <v>1798</v>
      </c>
      <c r="D25">
        <v>100</v>
      </c>
      <c r="E25" t="s">
        <v>1799</v>
      </c>
      <c r="F25">
        <v>10</v>
      </c>
      <c r="G25" t="s">
        <v>1800</v>
      </c>
      <c r="H25">
        <v>0.8</v>
      </c>
      <c r="I25" s="315"/>
      <c r="J25" s="315"/>
      <c r="K25" s="315"/>
      <c r="L25" s="13"/>
      <c r="M25" s="13"/>
      <c r="N25" s="13"/>
      <c r="O25" s="13"/>
      <c r="P25" s="13"/>
      <c r="Q25" s="13"/>
      <c r="R25" s="13"/>
      <c r="S25" s="13"/>
      <c r="T25" s="13"/>
      <c r="U25" s="13"/>
      <c r="V25" s="13"/>
      <c r="W25" s="13"/>
      <c r="X25" s="13"/>
      <c r="Y25" s="13"/>
      <c r="Z25" s="13"/>
      <c r="AA25" s="13"/>
    </row>
    <row r="26" spans="1:27">
      <c r="A26" s="13"/>
      <c r="B26" s="510" t="s">
        <v>1167</v>
      </c>
      <c r="C26" s="13"/>
      <c r="D26" s="13"/>
      <c r="E26" s="13"/>
      <c r="F26" s="13"/>
      <c r="G26" s="13"/>
      <c r="H26" s="13"/>
      <c r="I26" s="13"/>
      <c r="J26" s="13"/>
      <c r="K26" s="13"/>
      <c r="L26" s="13"/>
      <c r="M26" s="13"/>
      <c r="N26" s="13"/>
      <c r="O26" s="13"/>
      <c r="P26" s="13"/>
      <c r="Q26" s="13"/>
      <c r="R26" s="13"/>
      <c r="S26" s="13"/>
      <c r="T26" s="13"/>
      <c r="U26" s="13"/>
      <c r="V26" s="13"/>
      <c r="W26" s="13"/>
      <c r="X26" s="13"/>
      <c r="Y26" s="13"/>
      <c r="Z26" s="13"/>
      <c r="AA26" s="13"/>
    </row>
    <row r="27" spans="1:27" ht="15.75">
      <c r="A27" s="13"/>
      <c r="B27" s="347" t="s">
        <v>1169</v>
      </c>
      <c r="C27" s="347" t="s">
        <v>1170</v>
      </c>
      <c r="D27" s="347" t="s">
        <v>1171</v>
      </c>
      <c r="E27" s="347" t="s">
        <v>1172</v>
      </c>
      <c r="F27" s="448" t="s">
        <v>1173</v>
      </c>
      <c r="G27" s="449"/>
      <c r="H27" s="390"/>
      <c r="I27" s="482"/>
      <c r="J27" s="482"/>
      <c r="K27" s="390"/>
      <c r="L27" s="13"/>
      <c r="M27" s="13"/>
      <c r="N27" s="13"/>
      <c r="O27" s="13"/>
      <c r="P27" s="13"/>
      <c r="Q27" s="13"/>
      <c r="R27" s="13"/>
      <c r="S27" s="13"/>
      <c r="T27" s="13"/>
      <c r="U27" s="13"/>
      <c r="V27" s="13"/>
      <c r="W27" s="13"/>
      <c r="X27" s="13"/>
      <c r="Y27" s="13"/>
      <c r="Z27" s="13"/>
      <c r="AA27" s="13"/>
    </row>
    <row r="28" spans="1:27" ht="15">
      <c r="A28" s="13"/>
      <c r="B28" s="349">
        <v>0.99447300000000005</v>
      </c>
      <c r="C28" s="349">
        <v>0.99545300000000003</v>
      </c>
      <c r="D28" s="349">
        <v>0.99447300000000005</v>
      </c>
      <c r="E28" s="349">
        <v>0.99545300000000003</v>
      </c>
      <c r="F28" s="450">
        <v>0.99447300000000005</v>
      </c>
      <c r="G28" s="451"/>
      <c r="H28" s="417"/>
      <c r="I28" s="417"/>
      <c r="J28" s="417"/>
      <c r="K28" s="417"/>
      <c r="L28" s="13"/>
      <c r="M28" s="13"/>
      <c r="N28" s="13"/>
      <c r="O28" s="13"/>
      <c r="P28" s="13"/>
      <c r="Q28" s="13"/>
      <c r="R28" s="13"/>
      <c r="S28" s="13"/>
      <c r="T28" s="13"/>
      <c r="U28" s="13"/>
      <c r="V28" s="13"/>
      <c r="W28" s="13"/>
      <c r="X28" s="13"/>
      <c r="Y28" s="13"/>
      <c r="Z28" s="13"/>
      <c r="AA28" s="13"/>
    </row>
    <row r="29" spans="1:27" ht="15">
      <c r="A29" s="13"/>
      <c r="B29" s="349">
        <v>0.99545300000000003</v>
      </c>
      <c r="C29" s="349">
        <v>0.99447300000000005</v>
      </c>
      <c r="D29" s="349">
        <v>0.99545300000000003</v>
      </c>
      <c r="E29" s="349">
        <v>0.99447300000000005</v>
      </c>
      <c r="F29" s="450">
        <v>0.99545300000000003</v>
      </c>
      <c r="G29" s="451"/>
      <c r="H29" s="417"/>
      <c r="I29" s="417"/>
      <c r="J29" s="417"/>
      <c r="K29" s="417"/>
      <c r="L29" s="13"/>
      <c r="M29" s="13"/>
      <c r="N29" s="13"/>
      <c r="O29" s="13"/>
      <c r="P29" s="13"/>
      <c r="Q29" s="13"/>
      <c r="R29" s="13"/>
      <c r="S29" s="13"/>
      <c r="T29" s="13"/>
      <c r="U29" s="13"/>
      <c r="V29" s="13"/>
      <c r="W29" s="13"/>
      <c r="X29" s="13"/>
      <c r="Y29" s="13"/>
      <c r="Z29" s="13"/>
      <c r="AA29" s="13"/>
    </row>
    <row r="30" spans="1:27" ht="18.75">
      <c r="A30" s="13"/>
      <c r="B30" s="394" t="s">
        <v>1174</v>
      </c>
      <c r="C30">
        <f>STDEV(C28:K28)</f>
        <v>5.6580326380582216E-4</v>
      </c>
      <c r="D30" s="14"/>
      <c r="E30" s="14"/>
      <c r="F30" s="14"/>
      <c r="G30" s="498"/>
      <c r="H30" s="424"/>
      <c r="I30" s="424"/>
      <c r="J30" s="424"/>
      <c r="K30" s="424"/>
      <c r="L30" s="13"/>
      <c r="M30" s="13"/>
      <c r="N30" s="13"/>
      <c r="O30" s="13"/>
      <c r="P30" s="13"/>
      <c r="Q30" s="13"/>
      <c r="R30" s="13"/>
      <c r="S30" s="13"/>
      <c r="T30" s="13"/>
      <c r="U30" s="13"/>
      <c r="V30" s="13"/>
      <c r="W30" s="13"/>
      <c r="X30" s="13"/>
      <c r="Y30" s="13"/>
      <c r="Z30" s="13"/>
      <c r="AA30" s="13"/>
    </row>
    <row r="31" spans="1:27">
      <c r="A31" s="13"/>
      <c r="B31" s="511"/>
      <c r="C31" s="511"/>
      <c r="D31" s="511"/>
      <c r="E31" s="511"/>
      <c r="F31" s="511"/>
      <c r="G31" s="511"/>
      <c r="H31" s="511"/>
      <c r="I31" s="511"/>
      <c r="J31" s="511"/>
      <c r="K31" s="511"/>
      <c r="L31" s="13"/>
      <c r="M31" s="13"/>
      <c r="N31" s="13"/>
      <c r="O31" s="13"/>
      <c r="P31" s="13"/>
      <c r="Q31" s="13"/>
      <c r="R31" s="13"/>
      <c r="S31" s="13"/>
      <c r="T31" s="13"/>
      <c r="U31" s="13"/>
      <c r="V31" s="13"/>
      <c r="W31" s="13"/>
      <c r="X31" s="13"/>
      <c r="Y31" s="13"/>
      <c r="Z31" s="13"/>
      <c r="AA31" s="13"/>
    </row>
    <row r="32" spans="1:27">
      <c r="A32" s="13"/>
      <c r="B32" s="511"/>
      <c r="C32" s="511"/>
      <c r="D32" s="511"/>
      <c r="E32" s="511"/>
      <c r="F32" s="511"/>
      <c r="G32" s="511"/>
      <c r="H32" s="511"/>
      <c r="I32" s="511"/>
      <c r="J32" s="511"/>
      <c r="K32" s="511"/>
      <c r="L32" s="13"/>
      <c r="M32" s="13"/>
      <c r="N32" s="13"/>
      <c r="O32" s="13"/>
      <c r="P32" s="13"/>
      <c r="Q32" s="13"/>
      <c r="R32" s="13"/>
      <c r="S32" s="13"/>
      <c r="T32" s="13"/>
      <c r="U32" s="13"/>
      <c r="V32" s="13"/>
      <c r="W32" s="13"/>
      <c r="X32" s="13"/>
      <c r="Y32" s="13"/>
      <c r="Z32" s="13"/>
      <c r="AA32" s="13"/>
    </row>
    <row r="33" spans="1:27" ht="15.75" customHeight="1">
      <c r="A33" s="512" t="s">
        <v>1175</v>
      </c>
      <c r="B33" s="153" t="s">
        <v>1176</v>
      </c>
      <c r="V33" s="13"/>
      <c r="W33" s="13"/>
      <c r="X33" s="13"/>
      <c r="Y33" s="13"/>
      <c r="Z33" s="13"/>
      <c r="AA33" s="13"/>
    </row>
    <row r="34" spans="1:27" ht="15.75" customHeight="1">
      <c r="A34" s="512"/>
      <c r="B34" s="513" t="s">
        <v>1177</v>
      </c>
      <c r="C34" s="514" t="s">
        <v>1178</v>
      </c>
      <c r="D34" s="514" t="s">
        <v>1179</v>
      </c>
      <c r="E34" s="514" t="s">
        <v>1180</v>
      </c>
      <c r="F34" s="514" t="s">
        <v>1181</v>
      </c>
      <c r="G34" s="514" t="s">
        <v>1182</v>
      </c>
      <c r="V34" s="13"/>
      <c r="W34" s="13"/>
      <c r="X34" s="13"/>
      <c r="Y34" s="13"/>
      <c r="Z34" s="13"/>
      <c r="AA34" s="13"/>
    </row>
    <row r="35" spans="1:27" ht="36" customHeight="1">
      <c r="A35" s="512"/>
      <c r="B35" s="7">
        <v>1</v>
      </c>
      <c r="C35" s="515" t="s">
        <v>1193</v>
      </c>
      <c r="D35" s="519">
        <v>0.01</v>
      </c>
      <c r="E35" s="513" t="s">
        <v>1183</v>
      </c>
      <c r="F35" s="520">
        <v>1.73</v>
      </c>
      <c r="G35" s="521">
        <f>D35/F35</f>
        <v>5.7803468208092491E-3</v>
      </c>
      <c r="V35" s="13"/>
      <c r="W35" s="13"/>
      <c r="X35" s="13"/>
      <c r="Y35" s="13"/>
      <c r="Z35" s="13"/>
      <c r="AA35" s="13"/>
    </row>
    <row r="36" spans="1:27" ht="48" customHeight="1">
      <c r="A36" s="512"/>
      <c r="B36" s="7">
        <v>2</v>
      </c>
      <c r="C36" s="515" t="s">
        <v>1194</v>
      </c>
      <c r="D36" s="519">
        <v>2.8999999999999998E-3</v>
      </c>
      <c r="E36" s="513" t="s">
        <v>1184</v>
      </c>
      <c r="F36" s="520">
        <v>2.06</v>
      </c>
      <c r="G36" s="521">
        <f>D36/F36</f>
        <v>1.4077669902912619E-3</v>
      </c>
      <c r="V36" s="13"/>
      <c r="W36" s="13"/>
      <c r="X36" s="13"/>
      <c r="Y36" s="13"/>
      <c r="Z36" s="13"/>
      <c r="AA36" s="13"/>
    </row>
    <row r="37" spans="1:27" ht="43.5" customHeight="1">
      <c r="A37" s="512"/>
      <c r="B37" s="7">
        <v>3</v>
      </c>
      <c r="C37" s="666" t="s">
        <v>1801</v>
      </c>
      <c r="D37" s="522" t="s">
        <v>1196</v>
      </c>
      <c r="E37" s="513" t="s">
        <v>1183</v>
      </c>
      <c r="F37" s="2"/>
      <c r="G37" s="521">
        <f>(0.001/($F$25/$D$25^2*SQRT(1-$H$25^2)*1000))/SQRT(3)/2</f>
        <v>4.8112522432468827E-4</v>
      </c>
      <c r="V37" s="13"/>
      <c r="W37" s="13"/>
      <c r="X37" s="13"/>
      <c r="Y37" s="13"/>
      <c r="Z37" s="13"/>
      <c r="AA37" s="13"/>
    </row>
    <row r="38" spans="1:27" ht="15.75" customHeight="1">
      <c r="A38" s="512"/>
      <c r="B38" s="513" t="s">
        <v>1185</v>
      </c>
      <c r="C38" s="1749">
        <v>6.0000000000000001E-3</v>
      </c>
      <c r="D38" s="1749"/>
      <c r="E38" s="1749"/>
      <c r="F38" s="1749"/>
      <c r="G38" s="1749"/>
      <c r="V38" s="13"/>
      <c r="W38" s="13"/>
      <c r="X38" s="13"/>
      <c r="Y38" s="13"/>
      <c r="Z38" s="13"/>
      <c r="AA38" s="13"/>
    </row>
    <row r="39" spans="1:27">
      <c r="A39" s="13"/>
      <c r="B39" s="505" t="s">
        <v>1186</v>
      </c>
      <c r="V39" s="13"/>
      <c r="W39" s="13"/>
      <c r="X39" s="13"/>
      <c r="Y39" s="13"/>
      <c r="Z39" s="13"/>
      <c r="AA39" s="13"/>
    </row>
    <row r="40" spans="1:27" ht="18.75">
      <c r="A40" s="13"/>
      <c r="B40" s="516" t="s">
        <v>1187</v>
      </c>
      <c r="C40">
        <v>6.0000000000000001E-3</v>
      </c>
      <c r="V40" s="13"/>
      <c r="W40" s="13"/>
      <c r="X40" s="13"/>
      <c r="Y40" s="13"/>
      <c r="Z40" s="13"/>
      <c r="AA40" s="13"/>
    </row>
    <row r="41" spans="1:27">
      <c r="B41" s="505" t="s">
        <v>1188</v>
      </c>
      <c r="C41" s="28"/>
    </row>
    <row r="42" spans="1:27" ht="15.75">
      <c r="B42" s="518" t="s">
        <v>1189</v>
      </c>
      <c r="C42">
        <v>1.2E-2</v>
      </c>
      <c r="D42" s="391"/>
      <c r="E42" s="392"/>
      <c r="F42" s="391"/>
      <c r="G42" s="393"/>
      <c r="H42" s="390"/>
      <c r="I42" s="390"/>
      <c r="J42" s="390"/>
      <c r="K42" s="390"/>
    </row>
    <row r="43" spans="1:27">
      <c r="B43" s="13" t="s">
        <v>1190</v>
      </c>
      <c r="C43" s="13"/>
      <c r="D43" s="13"/>
      <c r="E43" s="13"/>
      <c r="F43" s="13"/>
      <c r="G43" s="13"/>
      <c r="H43" s="13"/>
      <c r="I43" s="13"/>
      <c r="J43" s="13"/>
      <c r="K43" s="13"/>
    </row>
    <row r="44" spans="1:27">
      <c r="B44" t="s">
        <v>1191</v>
      </c>
      <c r="C44">
        <v>1.2E-2</v>
      </c>
    </row>
    <row r="46" spans="1:27" ht="22.5">
      <c r="A46" t="s">
        <v>1165</v>
      </c>
      <c r="B46" s="506" t="s">
        <v>1166</v>
      </c>
      <c r="C46" s="661" t="s">
        <v>1802</v>
      </c>
      <c r="D46" s="507"/>
      <c r="E46" s="507"/>
      <c r="F46" s="8"/>
      <c r="G46" s="315"/>
      <c r="H46" s="315"/>
      <c r="I46" s="315"/>
      <c r="J46" s="315"/>
      <c r="K46" s="315"/>
      <c r="L46" s="508"/>
      <c r="M46" s="508"/>
      <c r="N46" s="508"/>
      <c r="O46" s="508"/>
      <c r="P46" s="508"/>
      <c r="Q46" s="508"/>
      <c r="R46" s="508"/>
      <c r="S46" s="508"/>
      <c r="T46" s="508"/>
      <c r="U46" s="508"/>
      <c r="V46" s="508"/>
      <c r="W46" s="508"/>
      <c r="X46" s="508"/>
      <c r="Y46" s="508"/>
      <c r="Z46" s="508"/>
      <c r="AA46" s="508"/>
    </row>
    <row r="47" spans="1:27">
      <c r="A47" s="13"/>
      <c r="B47" s="506" t="s">
        <v>1192</v>
      </c>
      <c r="C47" t="s">
        <v>1805</v>
      </c>
      <c r="D47" s="395"/>
      <c r="E47" s="395"/>
      <c r="F47" s="496"/>
      <c r="G47" s="315"/>
      <c r="H47" s="315"/>
      <c r="I47" s="315"/>
      <c r="J47" s="315"/>
      <c r="K47" s="315"/>
      <c r="L47" s="13"/>
      <c r="M47" s="13"/>
      <c r="N47" s="13"/>
      <c r="O47" s="13"/>
      <c r="P47" s="13"/>
      <c r="Q47" s="13"/>
      <c r="R47" s="13"/>
      <c r="S47" s="13"/>
      <c r="T47" s="13"/>
      <c r="U47" s="13"/>
      <c r="V47" s="13"/>
      <c r="W47" s="13"/>
      <c r="X47" s="13"/>
      <c r="Y47" s="13"/>
      <c r="Z47" s="13"/>
      <c r="AA47" s="13"/>
    </row>
    <row r="48" spans="1:27">
      <c r="A48" s="13"/>
      <c r="B48" t="s">
        <v>1797</v>
      </c>
      <c r="C48" t="s">
        <v>1798</v>
      </c>
      <c r="D48">
        <v>57.7</v>
      </c>
      <c r="E48" t="s">
        <v>1799</v>
      </c>
      <c r="F48">
        <v>20</v>
      </c>
      <c r="G48" t="s">
        <v>1800</v>
      </c>
      <c r="H48">
        <v>0.8</v>
      </c>
      <c r="I48" s="315"/>
      <c r="J48" s="315"/>
      <c r="K48" s="315"/>
      <c r="L48" s="13"/>
      <c r="M48" s="13"/>
      <c r="N48" s="13"/>
      <c r="O48" s="13"/>
      <c r="P48" s="13"/>
      <c r="Q48" s="13"/>
      <c r="R48" s="13"/>
      <c r="S48" s="13"/>
      <c r="T48" s="13"/>
      <c r="U48" s="13"/>
      <c r="V48" s="13"/>
      <c r="W48" s="13"/>
      <c r="X48" s="13"/>
      <c r="Y48" s="13"/>
      <c r="Z48" s="13"/>
      <c r="AA48" s="13"/>
    </row>
    <row r="49" spans="1:27">
      <c r="A49" s="13"/>
      <c r="B49" s="510" t="s">
        <v>1167</v>
      </c>
      <c r="C49" s="13"/>
      <c r="D49" s="13"/>
      <c r="E49" s="13"/>
      <c r="F49" s="13"/>
      <c r="G49" s="13"/>
      <c r="H49" s="13"/>
      <c r="I49" s="13"/>
      <c r="J49" s="13"/>
      <c r="K49" s="13"/>
      <c r="L49" s="13"/>
      <c r="M49" s="13"/>
      <c r="N49" s="13"/>
      <c r="O49" s="13"/>
      <c r="P49" s="13"/>
      <c r="Q49" s="13"/>
      <c r="R49" s="13"/>
      <c r="S49" s="13"/>
      <c r="T49" s="13"/>
      <c r="U49" s="13"/>
      <c r="V49" s="13"/>
      <c r="W49" s="13"/>
      <c r="X49" s="13"/>
      <c r="Y49" s="13"/>
      <c r="Z49" s="13"/>
      <c r="AA49" s="13"/>
    </row>
    <row r="50" spans="1:27" ht="15.75">
      <c r="A50" s="13"/>
      <c r="B50" s="347" t="s">
        <v>1169</v>
      </c>
      <c r="C50" s="347" t="s">
        <v>1170</v>
      </c>
      <c r="D50" s="347" t="s">
        <v>1171</v>
      </c>
      <c r="E50" s="347" t="s">
        <v>1172</v>
      </c>
      <c r="F50" s="448" t="s">
        <v>1173</v>
      </c>
      <c r="G50" s="449"/>
      <c r="H50" s="390"/>
      <c r="I50" s="482"/>
      <c r="J50" s="482"/>
      <c r="K50" s="390"/>
      <c r="L50" s="13"/>
      <c r="M50" s="13"/>
      <c r="N50" s="13"/>
      <c r="O50" s="13"/>
      <c r="P50" s="13"/>
      <c r="Q50" s="13"/>
      <c r="R50" s="13"/>
      <c r="S50" s="13"/>
      <c r="T50" s="13"/>
      <c r="U50" s="13"/>
      <c r="V50" s="13"/>
      <c r="W50" s="13"/>
      <c r="X50" s="13"/>
      <c r="Y50" s="13"/>
      <c r="Z50" s="13"/>
      <c r="AA50" s="13"/>
    </row>
    <row r="51" spans="1:27" ht="15">
      <c r="A51" s="13"/>
      <c r="B51" s="349">
        <v>0.99447300000000005</v>
      </c>
      <c r="C51" s="349">
        <v>0.99545300000000003</v>
      </c>
      <c r="D51" s="349">
        <v>0.99447300000000005</v>
      </c>
      <c r="E51" s="349">
        <v>0.99545300000000003</v>
      </c>
      <c r="F51" s="450">
        <v>0.99447300000000005</v>
      </c>
      <c r="G51" s="451"/>
      <c r="H51" s="417"/>
      <c r="I51" s="417"/>
      <c r="J51" s="417"/>
      <c r="K51" s="417"/>
      <c r="L51" s="13"/>
      <c r="M51" s="13"/>
      <c r="N51" s="13"/>
      <c r="O51" s="13"/>
      <c r="P51" s="13"/>
      <c r="Q51" s="13"/>
      <c r="R51" s="13"/>
      <c r="S51" s="13"/>
      <c r="T51" s="13"/>
      <c r="U51" s="13"/>
      <c r="V51" s="13"/>
      <c r="W51" s="13"/>
      <c r="X51" s="13"/>
      <c r="Y51" s="13"/>
      <c r="Z51" s="13"/>
      <c r="AA51" s="13"/>
    </row>
    <row r="52" spans="1:27" ht="15">
      <c r="A52" s="13"/>
      <c r="B52" s="349">
        <v>0.99545300000000003</v>
      </c>
      <c r="C52" s="349">
        <v>0.99447300000000005</v>
      </c>
      <c r="D52" s="349">
        <v>0.99545300000000003</v>
      </c>
      <c r="E52" s="349">
        <v>0.99447300000000005</v>
      </c>
      <c r="F52" s="450">
        <v>0.99545300000000003</v>
      </c>
      <c r="G52" s="451"/>
      <c r="H52" s="417"/>
      <c r="I52" s="417"/>
      <c r="J52" s="417"/>
      <c r="K52" s="417"/>
      <c r="L52" s="13"/>
      <c r="M52" s="13"/>
      <c r="N52" s="13"/>
      <c r="O52" s="13"/>
      <c r="P52" s="13"/>
      <c r="Q52" s="13"/>
      <c r="R52" s="13"/>
      <c r="S52" s="13"/>
      <c r="T52" s="13"/>
      <c r="U52" s="13"/>
      <c r="V52" s="13"/>
      <c r="W52" s="13"/>
      <c r="X52" s="13"/>
      <c r="Y52" s="13"/>
      <c r="Z52" s="13"/>
      <c r="AA52" s="13"/>
    </row>
    <row r="53" spans="1:27" ht="18.75">
      <c r="A53" s="13"/>
      <c r="B53" s="394" t="s">
        <v>1174</v>
      </c>
      <c r="C53">
        <f>STDEV(C51:F52)</f>
        <v>5.2383203414834161E-4</v>
      </c>
      <c r="D53" s="14"/>
      <c r="E53" s="14"/>
      <c r="F53" s="14"/>
      <c r="G53" s="498"/>
      <c r="H53" s="424"/>
      <c r="I53" s="424"/>
      <c r="J53" s="424"/>
      <c r="K53" s="424"/>
      <c r="L53" s="13"/>
      <c r="M53" s="13"/>
      <c r="N53" s="13"/>
      <c r="O53" s="13"/>
      <c r="P53" s="13"/>
      <c r="Q53" s="13"/>
      <c r="R53" s="13"/>
      <c r="S53" s="13"/>
      <c r="T53" s="13"/>
      <c r="U53" s="13"/>
      <c r="V53" s="13"/>
      <c r="W53" s="13"/>
      <c r="X53" s="13"/>
      <c r="Y53" s="13"/>
      <c r="Z53" s="13"/>
      <c r="AA53" s="13"/>
    </row>
    <row r="54" spans="1:27">
      <c r="A54" s="13"/>
      <c r="B54" s="511"/>
      <c r="C54" s="511"/>
      <c r="D54" s="511"/>
      <c r="E54" s="511"/>
      <c r="F54" s="511"/>
      <c r="G54" s="511"/>
      <c r="H54" s="511"/>
      <c r="I54" s="511"/>
      <c r="J54" s="511"/>
      <c r="K54" s="511"/>
      <c r="L54" s="13"/>
      <c r="M54" s="13"/>
      <c r="N54" s="13"/>
      <c r="O54" s="13"/>
      <c r="P54" s="13"/>
      <c r="Q54" s="13"/>
      <c r="R54" s="13"/>
      <c r="S54" s="13"/>
      <c r="T54" s="13"/>
      <c r="U54" s="13"/>
      <c r="V54" s="13"/>
      <c r="W54" s="13"/>
      <c r="X54" s="13"/>
      <c r="Y54" s="13"/>
      <c r="Z54" s="13"/>
      <c r="AA54" s="13"/>
    </row>
    <row r="55" spans="1:27">
      <c r="A55" s="13"/>
      <c r="B55" s="511"/>
      <c r="C55" s="511"/>
      <c r="D55" s="511"/>
      <c r="E55" s="511"/>
      <c r="F55" s="511"/>
      <c r="G55" s="511"/>
      <c r="H55" s="511"/>
      <c r="I55" s="511"/>
      <c r="J55" s="511"/>
      <c r="K55" s="511"/>
      <c r="L55" s="13"/>
      <c r="M55" s="13"/>
      <c r="N55" s="13"/>
      <c r="O55" s="13"/>
      <c r="P55" s="13"/>
      <c r="Q55" s="13"/>
      <c r="R55" s="13"/>
      <c r="S55" s="13"/>
      <c r="T55" s="13"/>
      <c r="U55" s="13"/>
      <c r="V55" s="13"/>
      <c r="W55" s="13"/>
      <c r="X55" s="13"/>
      <c r="Y55" s="13"/>
      <c r="Z55" s="13"/>
      <c r="AA55" s="13"/>
    </row>
    <row r="56" spans="1:27" ht="15.75" customHeight="1">
      <c r="A56" s="512" t="s">
        <v>1175</v>
      </c>
      <c r="B56" s="153" t="s">
        <v>1176</v>
      </c>
      <c r="V56" s="13"/>
      <c r="W56" s="13"/>
      <c r="X56" s="13"/>
      <c r="Y56" s="13"/>
      <c r="Z56" s="13"/>
      <c r="AA56" s="13"/>
    </row>
    <row r="57" spans="1:27" ht="15.75" customHeight="1">
      <c r="A57" s="512"/>
      <c r="B57" s="513" t="s">
        <v>1177</v>
      </c>
      <c r="C57" s="514" t="s">
        <v>1178</v>
      </c>
      <c r="D57" s="514" t="s">
        <v>1179</v>
      </c>
      <c r="E57" s="514" t="s">
        <v>1180</v>
      </c>
      <c r="F57" s="514" t="s">
        <v>1181</v>
      </c>
      <c r="G57" s="514" t="s">
        <v>1182</v>
      </c>
      <c r="V57" s="13"/>
      <c r="W57" s="13"/>
      <c r="X57" s="13"/>
      <c r="Y57" s="13"/>
      <c r="Z57" s="13"/>
      <c r="AA57" s="13"/>
    </row>
    <row r="58" spans="1:27" ht="36" customHeight="1">
      <c r="A58" s="512"/>
      <c r="B58" s="7">
        <v>1</v>
      </c>
      <c r="C58" s="515" t="s">
        <v>1193</v>
      </c>
      <c r="D58" s="519">
        <v>0.01</v>
      </c>
      <c r="E58" s="513" t="s">
        <v>1183</v>
      </c>
      <c r="F58" s="520">
        <v>1.73</v>
      </c>
      <c r="G58" s="521">
        <f>D58/F58</f>
        <v>5.7803468208092491E-3</v>
      </c>
      <c r="V58" s="13"/>
      <c r="W58" s="13"/>
      <c r="X58" s="13"/>
      <c r="Y58" s="13"/>
      <c r="Z58" s="13"/>
      <c r="AA58" s="13"/>
    </row>
    <row r="59" spans="1:27" ht="48" customHeight="1">
      <c r="A59" s="512"/>
      <c r="B59" s="7">
        <v>2</v>
      </c>
      <c r="C59" s="515" t="s">
        <v>1194</v>
      </c>
      <c r="D59" s="519">
        <v>2.8999999999999998E-3</v>
      </c>
      <c r="E59" s="513" t="s">
        <v>1184</v>
      </c>
      <c r="F59" s="520">
        <v>2.06</v>
      </c>
      <c r="G59" s="521">
        <f>D59/F59</f>
        <v>1.4077669902912619E-3</v>
      </c>
      <c r="V59" s="13"/>
      <c r="W59" s="13"/>
      <c r="X59" s="13"/>
      <c r="Y59" s="13"/>
      <c r="Z59" s="13"/>
      <c r="AA59" s="13"/>
    </row>
    <row r="60" spans="1:27" ht="43.5" customHeight="1">
      <c r="A60" s="512"/>
      <c r="B60" s="7">
        <v>3</v>
      </c>
      <c r="C60" s="515" t="s">
        <v>1195</v>
      </c>
      <c r="D60" t="s">
        <v>1806</v>
      </c>
      <c r="E60" s="513" t="s">
        <v>1183</v>
      </c>
      <c r="F60" s="2"/>
      <c r="G60" s="521">
        <f>(0.01/($F$48/$D$48^2*$H$48*1000))/SQRT(3)/2</f>
        <v>6.0067702428447795E-4</v>
      </c>
      <c r="V60" s="13"/>
      <c r="W60" s="13"/>
      <c r="X60" s="13"/>
      <c r="Y60" s="13"/>
      <c r="Z60" s="13"/>
      <c r="AA60" s="13"/>
    </row>
    <row r="61" spans="1:27" ht="15.75" customHeight="1">
      <c r="A61" s="512"/>
      <c r="B61" s="513" t="s">
        <v>1185</v>
      </c>
      <c r="C61" s="1749">
        <f>SQRT(SUMSQ(G58,G59,G60))</f>
        <v>5.9795509994728336E-3</v>
      </c>
      <c r="D61" s="1749"/>
      <c r="E61" s="1749"/>
      <c r="F61" s="1749"/>
      <c r="G61" s="1749"/>
      <c r="V61" s="13"/>
      <c r="W61" s="13"/>
      <c r="X61" s="13"/>
      <c r="Y61" s="13"/>
      <c r="Z61" s="13"/>
      <c r="AA61" s="13"/>
    </row>
    <row r="62" spans="1:27">
      <c r="A62" s="13"/>
      <c r="B62" s="505" t="s">
        <v>1186</v>
      </c>
      <c r="V62" s="13"/>
      <c r="W62" s="13"/>
      <c r="X62" s="13"/>
      <c r="Y62" s="13"/>
      <c r="Z62" s="13"/>
      <c r="AA62" s="13"/>
    </row>
    <row r="63" spans="1:27" ht="18.75">
      <c r="A63" s="13"/>
      <c r="B63" s="516" t="s">
        <v>1187</v>
      </c>
      <c r="C63">
        <v>6.0000000000000001E-3</v>
      </c>
      <c r="V63" s="13"/>
      <c r="W63" s="13"/>
      <c r="X63" s="13"/>
      <c r="Y63" s="13"/>
      <c r="Z63" s="13"/>
      <c r="AA63" s="13"/>
    </row>
    <row r="64" spans="1:27">
      <c r="B64" s="505" t="s">
        <v>1188</v>
      </c>
      <c r="C64" s="28"/>
    </row>
    <row r="65" spans="1:27" ht="15.75">
      <c r="B65" s="518" t="s">
        <v>1189</v>
      </c>
      <c r="C65">
        <v>1.2E-2</v>
      </c>
      <c r="D65" s="391"/>
      <c r="E65" s="392"/>
      <c r="F65" s="391"/>
      <c r="G65" s="393"/>
      <c r="H65" s="390"/>
      <c r="I65" s="390"/>
      <c r="J65" s="390"/>
      <c r="K65" s="390"/>
    </row>
    <row r="66" spans="1:27">
      <c r="B66" s="13" t="s">
        <v>1190</v>
      </c>
      <c r="C66" s="13"/>
      <c r="D66" s="13"/>
      <c r="E66" s="13"/>
      <c r="F66" s="13"/>
      <c r="G66" s="13"/>
      <c r="H66" s="13"/>
      <c r="I66" s="13"/>
      <c r="J66" s="13"/>
      <c r="K66" s="13"/>
    </row>
    <row r="67" spans="1:27">
      <c r="B67" s="662" t="s">
        <v>1191</v>
      </c>
      <c r="C67">
        <v>1.2E-2</v>
      </c>
    </row>
    <row r="69" spans="1:27">
      <c r="A69" s="13"/>
      <c r="B69" s="506" t="s">
        <v>1192</v>
      </c>
      <c r="C69" t="s">
        <v>1807</v>
      </c>
      <c r="D69" s="395"/>
      <c r="E69" s="395"/>
      <c r="F69" s="496"/>
      <c r="G69" s="315"/>
      <c r="H69" s="315"/>
      <c r="I69" s="315"/>
      <c r="J69" s="315"/>
      <c r="K69" s="315"/>
      <c r="L69" s="13"/>
      <c r="M69" s="13"/>
      <c r="N69" s="13"/>
      <c r="O69" s="13"/>
      <c r="P69" s="13"/>
      <c r="Q69" s="13"/>
      <c r="R69" s="13"/>
      <c r="S69" s="13"/>
      <c r="T69" s="13"/>
      <c r="U69" s="13"/>
      <c r="V69" s="13"/>
      <c r="W69" s="13"/>
      <c r="X69" s="13"/>
      <c r="Y69" s="13"/>
      <c r="Z69" s="13"/>
      <c r="AA69" s="13"/>
    </row>
    <row r="70" spans="1:27">
      <c r="A70" s="13"/>
      <c r="B70" t="s">
        <v>1797</v>
      </c>
      <c r="C70" t="s">
        <v>1798</v>
      </c>
      <c r="D70">
        <v>57.7</v>
      </c>
      <c r="E70" t="s">
        <v>1799</v>
      </c>
      <c r="F70">
        <v>20</v>
      </c>
      <c r="G70" t="s">
        <v>1800</v>
      </c>
      <c r="H70">
        <v>0.8</v>
      </c>
      <c r="I70" s="315"/>
      <c r="J70" s="315"/>
      <c r="K70" s="315"/>
      <c r="L70" s="13"/>
      <c r="M70" s="13"/>
      <c r="N70" s="13"/>
      <c r="O70" s="13"/>
      <c r="P70" s="13"/>
      <c r="Q70" s="13"/>
      <c r="R70" s="13"/>
      <c r="S70" s="13"/>
      <c r="T70" s="13"/>
      <c r="U70" s="13"/>
      <c r="V70" s="13"/>
      <c r="W70" s="13"/>
      <c r="X70" s="13"/>
      <c r="Y70" s="13"/>
      <c r="Z70" s="13"/>
      <c r="AA70" s="13"/>
    </row>
    <row r="71" spans="1:27">
      <c r="A71" s="13"/>
      <c r="B71" s="510" t="s">
        <v>1167</v>
      </c>
      <c r="C71" s="13"/>
      <c r="D71" s="13"/>
      <c r="E71" s="13"/>
      <c r="F71" s="13"/>
      <c r="G71" s="13"/>
      <c r="H71" s="13"/>
      <c r="I71" s="13"/>
      <c r="J71" s="13"/>
      <c r="K71" s="13"/>
      <c r="L71" s="13"/>
      <c r="M71" s="13"/>
      <c r="N71" s="13"/>
      <c r="O71" s="13"/>
      <c r="P71" s="13"/>
      <c r="Q71" s="13"/>
      <c r="R71" s="13"/>
      <c r="S71" s="13"/>
      <c r="T71" s="13"/>
      <c r="U71" s="13"/>
      <c r="V71" s="13"/>
      <c r="W71" s="13"/>
      <c r="X71" s="13"/>
      <c r="Y71" s="13"/>
      <c r="Z71" s="13"/>
      <c r="AA71" s="13"/>
    </row>
    <row r="72" spans="1:27" ht="15.75">
      <c r="A72" s="13"/>
      <c r="B72" s="347" t="s">
        <v>1169</v>
      </c>
      <c r="C72" s="347" t="s">
        <v>1170</v>
      </c>
      <c r="D72" s="347" t="s">
        <v>1171</v>
      </c>
      <c r="E72" s="347" t="s">
        <v>1172</v>
      </c>
      <c r="F72" s="448" t="s">
        <v>1173</v>
      </c>
      <c r="G72" s="449"/>
      <c r="H72" s="390"/>
      <c r="I72" s="482"/>
      <c r="J72" s="482"/>
      <c r="K72" s="390"/>
      <c r="L72" s="13"/>
      <c r="M72" s="13"/>
      <c r="N72" s="13"/>
      <c r="O72" s="13"/>
      <c r="P72" s="13"/>
      <c r="Q72" s="13"/>
      <c r="R72" s="13"/>
      <c r="S72" s="13"/>
      <c r="T72" s="13"/>
      <c r="U72" s="13"/>
      <c r="V72" s="13"/>
      <c r="W72" s="13"/>
      <c r="X72" s="13"/>
      <c r="Y72" s="13"/>
      <c r="Z72" s="13"/>
      <c r="AA72" s="13"/>
    </row>
    <row r="73" spans="1:27" ht="15">
      <c r="A73" s="13"/>
      <c r="B73" s="349">
        <v>0.99447300000000005</v>
      </c>
      <c r="C73" s="349">
        <v>0.99545300000000003</v>
      </c>
      <c r="D73" s="349">
        <v>0.99447300000000005</v>
      </c>
      <c r="E73" s="349">
        <v>0.99545300000000003</v>
      </c>
      <c r="F73" s="450">
        <v>0.99447300000000005</v>
      </c>
      <c r="G73" s="451"/>
      <c r="H73" s="417"/>
      <c r="I73" s="417"/>
      <c r="J73" s="417"/>
      <c r="K73" s="417"/>
      <c r="L73" s="13"/>
      <c r="M73" s="13"/>
      <c r="N73" s="13"/>
      <c r="O73" s="13"/>
      <c r="P73" s="13"/>
      <c r="Q73" s="13"/>
      <c r="R73" s="13"/>
      <c r="S73" s="13"/>
      <c r="T73" s="13"/>
      <c r="U73" s="13"/>
      <c r="V73" s="13"/>
      <c r="W73" s="13"/>
      <c r="X73" s="13"/>
      <c r="Y73" s="13"/>
      <c r="Z73" s="13"/>
      <c r="AA73" s="13"/>
    </row>
    <row r="74" spans="1:27" ht="15">
      <c r="A74" s="13"/>
      <c r="B74" s="349">
        <v>0.99545300000000003</v>
      </c>
      <c r="C74" s="349">
        <v>0.99447300000000005</v>
      </c>
      <c r="D74" s="349">
        <v>0.99545300000000003</v>
      </c>
      <c r="E74" s="349">
        <v>0.99447300000000005</v>
      </c>
      <c r="F74" s="450">
        <v>0.99545300000000003</v>
      </c>
      <c r="G74" s="451"/>
      <c r="H74" s="417"/>
      <c r="I74" s="417"/>
      <c r="J74" s="417"/>
      <c r="K74" s="417"/>
      <c r="L74" s="13"/>
      <c r="M74" s="13"/>
      <c r="N74" s="13"/>
      <c r="O74" s="13"/>
      <c r="P74" s="13"/>
      <c r="Q74" s="13"/>
      <c r="R74" s="13"/>
      <c r="S74" s="13"/>
      <c r="T74" s="13"/>
      <c r="U74" s="13"/>
      <c r="V74" s="13"/>
      <c r="W74" s="13"/>
      <c r="X74" s="13"/>
      <c r="Y74" s="13"/>
      <c r="Z74" s="13"/>
      <c r="AA74" s="13"/>
    </row>
    <row r="75" spans="1:27" ht="18.75">
      <c r="A75" s="13"/>
      <c r="B75" s="394" t="s">
        <v>1174</v>
      </c>
      <c r="C75">
        <f>STDEV(C73:K73)</f>
        <v>5.6580326380582216E-4</v>
      </c>
      <c r="D75" s="14"/>
      <c r="E75" s="14"/>
      <c r="F75" s="14"/>
      <c r="G75" s="498"/>
      <c r="H75" s="424"/>
      <c r="I75" s="424"/>
      <c r="J75" s="424"/>
      <c r="K75" s="424"/>
      <c r="L75" s="13"/>
      <c r="M75" s="13"/>
      <c r="N75" s="13"/>
      <c r="O75" s="13"/>
      <c r="P75" s="13"/>
      <c r="Q75" s="13"/>
      <c r="R75" s="13"/>
      <c r="S75" s="13"/>
      <c r="T75" s="13"/>
      <c r="U75" s="13"/>
      <c r="V75" s="13"/>
      <c r="W75" s="13"/>
      <c r="X75" s="13"/>
      <c r="Y75" s="13"/>
      <c r="Z75" s="13"/>
      <c r="AA75" s="13"/>
    </row>
    <row r="76" spans="1:27">
      <c r="A76" s="13"/>
      <c r="B76" s="511"/>
      <c r="C76" s="511"/>
      <c r="D76" s="511"/>
      <c r="E76" s="511"/>
      <c r="F76" s="511"/>
      <c r="G76" s="511"/>
      <c r="H76" s="511"/>
      <c r="I76" s="511"/>
      <c r="J76" s="511"/>
      <c r="K76" s="511"/>
      <c r="L76" s="13"/>
      <c r="M76" s="13"/>
      <c r="N76" s="13"/>
      <c r="O76" s="13"/>
      <c r="P76" s="13"/>
      <c r="Q76" s="13"/>
      <c r="R76" s="13"/>
      <c r="S76" s="13"/>
      <c r="T76" s="13"/>
      <c r="U76" s="13"/>
      <c r="V76" s="13"/>
      <c r="W76" s="13"/>
      <c r="X76" s="13"/>
      <c r="Y76" s="13"/>
      <c r="Z76" s="13"/>
      <c r="AA76" s="13"/>
    </row>
    <row r="77" spans="1:27">
      <c r="A77" s="13"/>
      <c r="B77" s="511"/>
      <c r="C77" s="511"/>
      <c r="D77" s="511"/>
      <c r="E77" s="511"/>
      <c r="F77" s="511"/>
      <c r="G77" s="511"/>
      <c r="H77" s="511"/>
      <c r="I77" s="511"/>
      <c r="J77" s="511"/>
      <c r="K77" s="511"/>
      <c r="L77" s="13"/>
      <c r="M77" s="13"/>
      <c r="N77" s="13"/>
      <c r="O77" s="13"/>
      <c r="P77" s="13"/>
      <c r="Q77" s="13"/>
      <c r="R77" s="13"/>
      <c r="S77" s="13"/>
      <c r="T77" s="13"/>
      <c r="U77" s="13"/>
      <c r="V77" s="13"/>
      <c r="W77" s="13"/>
      <c r="X77" s="13"/>
      <c r="Y77" s="13"/>
      <c r="Z77" s="13"/>
      <c r="AA77" s="13"/>
    </row>
    <row r="78" spans="1:27" ht="15.75" customHeight="1">
      <c r="A78" s="512" t="s">
        <v>1175</v>
      </c>
      <c r="B78" s="153" t="s">
        <v>1176</v>
      </c>
      <c r="V78" s="13"/>
      <c r="W78" s="13"/>
      <c r="X78" s="13"/>
      <c r="Y78" s="13"/>
      <c r="Z78" s="13"/>
      <c r="AA78" s="13"/>
    </row>
    <row r="79" spans="1:27" ht="15.75" customHeight="1">
      <c r="A79" s="512"/>
      <c r="B79" s="513" t="s">
        <v>1177</v>
      </c>
      <c r="C79" s="514" t="s">
        <v>1178</v>
      </c>
      <c r="D79" s="514" t="s">
        <v>1179</v>
      </c>
      <c r="E79" s="514" t="s">
        <v>1180</v>
      </c>
      <c r="F79" s="514" t="s">
        <v>1181</v>
      </c>
      <c r="G79" s="514" t="s">
        <v>1182</v>
      </c>
      <c r="V79" s="13"/>
      <c r="W79" s="13"/>
      <c r="X79" s="13"/>
      <c r="Y79" s="13"/>
      <c r="Z79" s="13"/>
      <c r="AA79" s="13"/>
    </row>
    <row r="80" spans="1:27" ht="36" customHeight="1">
      <c r="A80" s="512"/>
      <c r="B80" s="7">
        <v>1</v>
      </c>
      <c r="C80" s="515" t="s">
        <v>1193</v>
      </c>
      <c r="D80" s="519">
        <v>0.01</v>
      </c>
      <c r="E80" s="513" t="s">
        <v>1183</v>
      </c>
      <c r="F80" s="520">
        <v>1.73</v>
      </c>
      <c r="G80" s="521">
        <f>D80/F80</f>
        <v>5.7803468208092491E-3</v>
      </c>
      <c r="V80" s="13"/>
      <c r="W80" s="13"/>
      <c r="X80" s="13"/>
      <c r="Y80" s="13"/>
      <c r="Z80" s="13"/>
      <c r="AA80" s="13"/>
    </row>
    <row r="81" spans="1:27" ht="48" customHeight="1">
      <c r="A81" s="512"/>
      <c r="B81" s="7">
        <v>2</v>
      </c>
      <c r="C81" s="515" t="s">
        <v>1194</v>
      </c>
      <c r="D81" s="519">
        <v>2.8999999999999998E-3</v>
      </c>
      <c r="E81" s="513" t="s">
        <v>1184</v>
      </c>
      <c r="F81" s="520">
        <v>2.06</v>
      </c>
      <c r="G81" s="521">
        <f>D81/F81</f>
        <v>1.4077669902912619E-3</v>
      </c>
      <c r="V81" s="13"/>
      <c r="W81" s="13"/>
      <c r="X81" s="13"/>
      <c r="Y81" s="13"/>
      <c r="Z81" s="13"/>
      <c r="AA81" s="13"/>
    </row>
    <row r="82" spans="1:27" ht="43.5" customHeight="1">
      <c r="A82" s="512"/>
      <c r="B82" s="7">
        <v>3</v>
      </c>
      <c r="C82" s="666" t="s">
        <v>1801</v>
      </c>
      <c r="D82" t="s">
        <v>1806</v>
      </c>
      <c r="E82" s="513" t="s">
        <v>1183</v>
      </c>
      <c r="F82" s="2"/>
      <c r="G82" s="521">
        <f>(0.01/($F$70/$D$70^2*SQRT(1-$H$70^2)*1000))/SQRT(3)/2</f>
        <v>8.0090269904597078E-4</v>
      </c>
      <c r="V82" s="13"/>
      <c r="W82" s="13"/>
      <c r="X82" s="13"/>
      <c r="Y82" s="13"/>
      <c r="Z82" s="13"/>
      <c r="AA82" s="13"/>
    </row>
    <row r="83" spans="1:27" ht="15.75" customHeight="1">
      <c r="A83" s="512"/>
      <c r="B83" s="513" t="s">
        <v>1185</v>
      </c>
      <c r="C83" s="1749">
        <v>6.0000000000000001E-3</v>
      </c>
      <c r="D83" s="1749"/>
      <c r="E83" s="1749"/>
      <c r="F83" s="1749"/>
      <c r="G83" s="1749"/>
      <c r="V83" s="13"/>
      <c r="W83" s="13"/>
      <c r="X83" s="13"/>
      <c r="Y83" s="13"/>
      <c r="Z83" s="13"/>
      <c r="AA83" s="13"/>
    </row>
    <row r="84" spans="1:27">
      <c r="A84" s="13"/>
      <c r="B84" s="505" t="s">
        <v>1186</v>
      </c>
      <c r="V84" s="13"/>
      <c r="W84" s="13"/>
      <c r="X84" s="13"/>
      <c r="Y84" s="13"/>
      <c r="Z84" s="13"/>
      <c r="AA84" s="13"/>
    </row>
    <row r="85" spans="1:27" ht="18.75">
      <c r="A85" s="13"/>
      <c r="B85" s="516" t="s">
        <v>1187</v>
      </c>
      <c r="C85">
        <v>6.0000000000000001E-3</v>
      </c>
      <c r="V85" s="13"/>
      <c r="W85" s="13"/>
      <c r="X85" s="13"/>
      <c r="Y85" s="13"/>
      <c r="Z85" s="13"/>
      <c r="AA85" s="13"/>
    </row>
    <row r="86" spans="1:27">
      <c r="B86" s="505" t="s">
        <v>1188</v>
      </c>
      <c r="C86" s="28"/>
    </row>
    <row r="87" spans="1:27" ht="15.75">
      <c r="B87" s="518" t="s">
        <v>1189</v>
      </c>
      <c r="C87">
        <v>1.2E-2</v>
      </c>
      <c r="D87" s="391"/>
      <c r="E87" s="392"/>
      <c r="F87" s="391"/>
      <c r="G87" s="393"/>
      <c r="H87" s="390"/>
      <c r="I87" s="390"/>
      <c r="J87" s="390"/>
      <c r="K87" s="390"/>
    </row>
    <row r="88" spans="1:27">
      <c r="B88" s="13" t="s">
        <v>1190</v>
      </c>
      <c r="C88" s="13"/>
      <c r="D88" s="13"/>
      <c r="E88" s="13"/>
      <c r="F88" s="13"/>
      <c r="G88" s="13"/>
      <c r="H88" s="13"/>
      <c r="I88" s="13"/>
      <c r="J88" s="13"/>
      <c r="K88" s="13"/>
    </row>
    <row r="89" spans="1:27">
      <c r="B89" t="s">
        <v>1191</v>
      </c>
      <c r="C89">
        <v>1.2E-2</v>
      </c>
    </row>
    <row r="92" spans="1:27" ht="22.5">
      <c r="A92" s="454" t="s">
        <v>1165</v>
      </c>
      <c r="B92" s="506" t="s">
        <v>1166</v>
      </c>
      <c r="C92" s="661" t="s">
        <v>1802</v>
      </c>
      <c r="D92" s="507"/>
      <c r="E92" s="507"/>
      <c r="F92" s="8"/>
      <c r="G92" s="315"/>
      <c r="H92" s="315"/>
      <c r="I92" s="315"/>
      <c r="J92" s="315"/>
      <c r="K92" s="315"/>
      <c r="L92" s="508"/>
      <c r="M92" s="508"/>
      <c r="N92" s="508"/>
      <c r="O92" s="508"/>
      <c r="P92" s="508"/>
      <c r="Q92" s="508"/>
      <c r="R92" s="508"/>
      <c r="S92" s="508"/>
      <c r="T92" s="508"/>
      <c r="U92" s="508"/>
      <c r="V92" s="508"/>
      <c r="W92" s="508"/>
      <c r="X92" s="508"/>
      <c r="Y92" s="508"/>
      <c r="Z92" s="508"/>
      <c r="AA92" s="508"/>
    </row>
    <row r="93" spans="1:27">
      <c r="A93" s="13"/>
      <c r="B93" s="506" t="s">
        <v>1192</v>
      </c>
      <c r="C93" t="s">
        <v>1814</v>
      </c>
      <c r="D93" s="395"/>
      <c r="E93" s="395"/>
      <c r="F93" s="496"/>
      <c r="G93" s="315"/>
      <c r="H93" s="315"/>
      <c r="I93" s="315"/>
      <c r="J93" s="315"/>
      <c r="K93" s="315"/>
      <c r="L93" s="13"/>
      <c r="M93" s="13"/>
      <c r="N93" s="13"/>
      <c r="O93" s="13"/>
      <c r="P93" s="13"/>
      <c r="Q93" s="13"/>
      <c r="R93" s="13"/>
      <c r="S93" s="13"/>
      <c r="T93" s="13"/>
      <c r="U93" s="13"/>
      <c r="V93" s="13"/>
      <c r="W93" s="13"/>
      <c r="X93" s="13"/>
      <c r="Y93" s="13"/>
      <c r="Z93" s="13"/>
      <c r="AA93" s="13"/>
    </row>
    <row r="94" spans="1:27">
      <c r="A94" s="13"/>
      <c r="B94" t="s">
        <v>1797</v>
      </c>
      <c r="C94" t="s">
        <v>1808</v>
      </c>
      <c r="D94">
        <v>5</v>
      </c>
      <c r="E94" t="s">
        <v>1799</v>
      </c>
      <c r="F94">
        <v>0.4</v>
      </c>
      <c r="G94" t="s">
        <v>1800</v>
      </c>
      <c r="H94">
        <v>0.8</v>
      </c>
      <c r="I94" s="315"/>
      <c r="J94" s="315"/>
      <c r="K94" s="315"/>
      <c r="L94" s="13"/>
      <c r="M94" s="13"/>
      <c r="N94" s="13"/>
      <c r="O94" s="13"/>
      <c r="P94" s="13"/>
      <c r="Q94" s="13"/>
      <c r="R94" s="13"/>
      <c r="S94" s="13"/>
      <c r="T94" s="13"/>
      <c r="U94" s="13"/>
      <c r="V94" s="13"/>
      <c r="W94" s="13"/>
      <c r="X94" s="13"/>
      <c r="Y94" s="13"/>
      <c r="Z94" s="13"/>
      <c r="AA94" s="13"/>
    </row>
    <row r="95" spans="1:27">
      <c r="A95" s="13"/>
      <c r="B95" s="510" t="s">
        <v>1167</v>
      </c>
      <c r="C95" s="13"/>
      <c r="D95" s="13"/>
      <c r="E95" s="13"/>
      <c r="F95" s="13"/>
      <c r="G95" s="13"/>
      <c r="H95" s="13"/>
      <c r="I95" s="13"/>
      <c r="J95" s="13"/>
      <c r="K95" s="13"/>
      <c r="L95" s="13"/>
      <c r="M95" s="13"/>
      <c r="N95" s="13"/>
      <c r="O95" s="13"/>
      <c r="P95" s="13"/>
      <c r="Q95" s="13"/>
      <c r="R95" s="13"/>
      <c r="S95" s="13"/>
      <c r="T95" s="13"/>
      <c r="U95" s="13"/>
      <c r="V95" s="13"/>
      <c r="W95" s="13"/>
      <c r="X95" s="13"/>
      <c r="Y95" s="13"/>
      <c r="Z95" s="13"/>
      <c r="AA95" s="13"/>
    </row>
    <row r="96" spans="1:27" ht="15.75">
      <c r="A96" s="13"/>
      <c r="B96" s="347" t="s">
        <v>1169</v>
      </c>
      <c r="C96" s="347" t="s">
        <v>1170</v>
      </c>
      <c r="D96" s="347" t="s">
        <v>1171</v>
      </c>
      <c r="E96" s="347" t="s">
        <v>1172</v>
      </c>
      <c r="F96" s="448" t="s">
        <v>1173</v>
      </c>
      <c r="G96" s="449"/>
      <c r="H96" s="390"/>
      <c r="I96" s="482"/>
      <c r="J96" s="482"/>
      <c r="K96" s="390"/>
      <c r="L96" s="13"/>
      <c r="M96" s="13"/>
      <c r="N96" s="13"/>
      <c r="O96" s="13"/>
      <c r="P96" s="13"/>
      <c r="Q96" s="13"/>
      <c r="R96" s="13"/>
      <c r="S96" s="13"/>
      <c r="T96" s="13"/>
      <c r="U96" s="13"/>
      <c r="V96" s="13"/>
      <c r="W96" s="13"/>
      <c r="X96" s="13"/>
      <c r="Y96" s="13"/>
      <c r="Z96" s="13"/>
      <c r="AA96" s="13"/>
    </row>
    <row r="97" spans="1:27" ht="15">
      <c r="A97" s="13"/>
      <c r="B97" s="349">
        <v>0.99447300000000005</v>
      </c>
      <c r="C97" s="349">
        <v>0.99545300000000003</v>
      </c>
      <c r="D97" s="349">
        <v>0.99447300000000005</v>
      </c>
      <c r="E97" s="349">
        <v>0.99545300000000003</v>
      </c>
      <c r="F97" s="450">
        <v>0.99447300000000005</v>
      </c>
      <c r="G97" s="451"/>
      <c r="H97" s="417"/>
      <c r="I97" s="417"/>
      <c r="J97" s="417"/>
      <c r="K97" s="417"/>
      <c r="L97" s="13"/>
      <c r="M97" s="13"/>
      <c r="N97" s="13"/>
      <c r="O97" s="13"/>
      <c r="P97" s="13"/>
      <c r="Q97" s="13"/>
      <c r="R97" s="13"/>
      <c r="S97" s="13"/>
      <c r="T97" s="13"/>
      <c r="U97" s="13"/>
      <c r="V97" s="13"/>
      <c r="W97" s="13"/>
      <c r="X97" s="13"/>
      <c r="Y97" s="13"/>
      <c r="Z97" s="13"/>
      <c r="AA97" s="13"/>
    </row>
    <row r="98" spans="1:27" ht="15">
      <c r="A98" s="13"/>
      <c r="B98" s="349">
        <v>0.99545300000000003</v>
      </c>
      <c r="C98" s="349">
        <v>0.99447300000000005</v>
      </c>
      <c r="D98" s="349">
        <v>0.99545300000000003</v>
      </c>
      <c r="E98" s="349">
        <v>0.99447300000000005</v>
      </c>
      <c r="F98" s="450">
        <v>0.99545300000000003</v>
      </c>
      <c r="G98" s="451"/>
      <c r="H98" s="417"/>
      <c r="I98" s="417"/>
      <c r="J98" s="417"/>
      <c r="K98" s="417"/>
      <c r="L98" s="13"/>
      <c r="M98" s="13"/>
      <c r="N98" s="13"/>
      <c r="O98" s="13"/>
      <c r="P98" s="13"/>
      <c r="Q98" s="13"/>
      <c r="R98" s="13"/>
      <c r="S98" s="13"/>
      <c r="T98" s="13"/>
      <c r="U98" s="13"/>
      <c r="V98" s="13"/>
      <c r="W98" s="13"/>
      <c r="X98" s="13"/>
      <c r="Y98" s="13"/>
      <c r="Z98" s="13"/>
      <c r="AA98" s="13"/>
    </row>
    <row r="99" spans="1:27" ht="18.75">
      <c r="A99" s="13"/>
      <c r="B99" s="394" t="s">
        <v>1174</v>
      </c>
      <c r="C99">
        <f>STDEV(C97:K97)</f>
        <v>5.6580326380582216E-4</v>
      </c>
      <c r="D99" s="14"/>
      <c r="E99" s="14"/>
      <c r="F99" s="14"/>
      <c r="G99" s="498"/>
      <c r="H99" s="424"/>
      <c r="I99" s="424"/>
      <c r="J99" s="424"/>
      <c r="K99" s="424"/>
      <c r="L99" s="13"/>
      <c r="M99" s="13"/>
      <c r="N99" s="13"/>
      <c r="O99" s="13"/>
      <c r="P99" s="13"/>
      <c r="Q99" s="13"/>
      <c r="R99" s="13"/>
      <c r="S99" s="13"/>
      <c r="T99" s="13"/>
      <c r="U99" s="13"/>
      <c r="V99" s="13"/>
      <c r="W99" s="13"/>
      <c r="X99" s="13"/>
      <c r="Y99" s="13"/>
      <c r="Z99" s="13"/>
      <c r="AA99" s="13"/>
    </row>
    <row r="100" spans="1:27">
      <c r="A100" s="13"/>
      <c r="B100" s="511"/>
      <c r="C100" s="511"/>
      <c r="D100" s="511"/>
      <c r="E100" s="511"/>
      <c r="F100" s="511"/>
      <c r="G100" s="511"/>
      <c r="H100" s="511"/>
      <c r="I100" s="511"/>
      <c r="J100" s="511"/>
      <c r="K100" s="511"/>
      <c r="L100" s="13"/>
      <c r="M100" s="13"/>
      <c r="N100" s="13"/>
      <c r="O100" s="13"/>
      <c r="P100" s="13"/>
      <c r="Q100" s="13"/>
      <c r="R100" s="13"/>
      <c r="S100" s="13"/>
      <c r="T100" s="13"/>
      <c r="U100" s="13"/>
      <c r="V100" s="13"/>
      <c r="W100" s="13"/>
      <c r="X100" s="13"/>
      <c r="Y100" s="13"/>
      <c r="Z100" s="13"/>
      <c r="AA100" s="13"/>
    </row>
    <row r="101" spans="1:27">
      <c r="A101" s="13"/>
      <c r="B101" s="511"/>
      <c r="C101" s="511"/>
      <c r="D101" s="511"/>
      <c r="E101" s="511"/>
      <c r="F101" s="511"/>
      <c r="G101" s="511"/>
      <c r="H101" s="511"/>
      <c r="I101" s="511"/>
      <c r="J101" s="511"/>
      <c r="K101" s="511"/>
      <c r="L101" s="13"/>
      <c r="M101" s="13"/>
      <c r="N101" s="13"/>
      <c r="O101" s="13"/>
      <c r="P101" s="13"/>
      <c r="Q101" s="13"/>
      <c r="R101" s="13"/>
      <c r="S101" s="13"/>
      <c r="T101" s="13"/>
      <c r="U101" s="13"/>
      <c r="V101" s="13"/>
      <c r="W101" s="13"/>
      <c r="X101" s="13"/>
      <c r="Y101" s="13"/>
      <c r="Z101" s="13"/>
      <c r="AA101" s="13"/>
    </row>
    <row r="102" spans="1:27" ht="15.75" customHeight="1">
      <c r="A102" s="512" t="s">
        <v>1175</v>
      </c>
      <c r="B102" s="153" t="s">
        <v>1176</v>
      </c>
      <c r="V102" s="13"/>
      <c r="W102" s="13"/>
      <c r="X102" s="13"/>
      <c r="Y102" s="13"/>
      <c r="Z102" s="13"/>
      <c r="AA102" s="13"/>
    </row>
    <row r="103" spans="1:27" ht="15.75" customHeight="1">
      <c r="A103" s="512"/>
      <c r="B103" s="513" t="s">
        <v>1177</v>
      </c>
      <c r="C103" s="514" t="s">
        <v>1178</v>
      </c>
      <c r="D103" s="514" t="s">
        <v>1179</v>
      </c>
      <c r="E103" s="514" t="s">
        <v>1180</v>
      </c>
      <c r="F103" s="514" t="s">
        <v>1181</v>
      </c>
      <c r="G103" s="514" t="s">
        <v>1182</v>
      </c>
      <c r="V103" s="13"/>
      <c r="W103" s="13"/>
      <c r="X103" s="13"/>
      <c r="Y103" s="13"/>
      <c r="Z103" s="13"/>
      <c r="AA103" s="13"/>
    </row>
    <row r="104" spans="1:27" ht="36" customHeight="1">
      <c r="A104" s="512"/>
      <c r="B104" s="7">
        <v>1</v>
      </c>
      <c r="C104" s="515" t="s">
        <v>1193</v>
      </c>
      <c r="D104" s="519">
        <v>0.01</v>
      </c>
      <c r="E104" s="513" t="s">
        <v>1183</v>
      </c>
      <c r="F104" s="520">
        <v>1.73</v>
      </c>
      <c r="G104" s="521">
        <f>D104/F104</f>
        <v>5.7803468208092491E-3</v>
      </c>
      <c r="V104" s="13"/>
      <c r="W104" s="13"/>
      <c r="X104" s="13"/>
      <c r="Y104" s="13"/>
      <c r="Z104" s="13"/>
      <c r="AA104" s="13"/>
    </row>
    <row r="105" spans="1:27" ht="48" customHeight="1">
      <c r="A105" s="512"/>
      <c r="B105" s="7">
        <v>2</v>
      </c>
      <c r="C105" s="515" t="s">
        <v>1194</v>
      </c>
      <c r="D105" s="519">
        <v>2.8999999999999998E-3</v>
      </c>
      <c r="E105" s="513" t="s">
        <v>1184</v>
      </c>
      <c r="F105" s="520">
        <v>2.06</v>
      </c>
      <c r="G105" s="521">
        <f>D105/F105</f>
        <v>1.4077669902912619E-3</v>
      </c>
      <c r="V105" s="13"/>
      <c r="W105" s="13"/>
      <c r="X105" s="13"/>
      <c r="Y105" s="13"/>
      <c r="Z105" s="13"/>
      <c r="AA105" s="13"/>
    </row>
    <row r="106" spans="1:27" ht="43.5" customHeight="1">
      <c r="A106" s="512"/>
      <c r="B106" s="7">
        <v>3</v>
      </c>
      <c r="C106" s="515" t="s">
        <v>1195</v>
      </c>
      <c r="D106" t="s">
        <v>1812</v>
      </c>
      <c r="E106" s="513" t="s">
        <v>1183</v>
      </c>
      <c r="F106" s="2"/>
      <c r="G106" s="521">
        <f>0.001/(F94*H94)/SQRT(3)/2</f>
        <v>9.0210979560879012E-4</v>
      </c>
      <c r="V106" s="13"/>
      <c r="W106" s="13"/>
      <c r="X106" s="13"/>
      <c r="Y106" s="13"/>
      <c r="Z106" s="13"/>
      <c r="AA106" s="13"/>
    </row>
    <row r="107" spans="1:27" ht="15.75" customHeight="1">
      <c r="A107" s="512"/>
      <c r="B107" s="513" t="s">
        <v>1185</v>
      </c>
      <c r="C107" s="1749">
        <f>SQRT(SUMSQ(G104,G105,G106))</f>
        <v>6.017309976320535E-3</v>
      </c>
      <c r="D107" s="1749"/>
      <c r="E107" s="1749"/>
      <c r="F107" s="1749"/>
      <c r="G107" s="1749"/>
      <c r="V107" s="13"/>
      <c r="W107" s="13"/>
      <c r="X107" s="13"/>
      <c r="Y107" s="13"/>
      <c r="Z107" s="13"/>
      <c r="AA107" s="13"/>
    </row>
    <row r="108" spans="1:27">
      <c r="A108" s="13"/>
      <c r="B108" s="505" t="s">
        <v>1186</v>
      </c>
      <c r="V108" s="13"/>
      <c r="W108" s="13"/>
      <c r="X108" s="13"/>
      <c r="Y108" s="13"/>
      <c r="Z108" s="13"/>
      <c r="AA108" s="13"/>
    </row>
    <row r="109" spans="1:27" ht="18.75">
      <c r="A109" s="13"/>
      <c r="B109" s="516" t="s">
        <v>1187</v>
      </c>
      <c r="C109">
        <v>6.0000000000000001E-3</v>
      </c>
      <c r="V109" s="13"/>
      <c r="W109" s="13"/>
      <c r="X109" s="13"/>
      <c r="Y109" s="13"/>
      <c r="Z109" s="13"/>
      <c r="AA109" s="13"/>
    </row>
    <row r="110" spans="1:27">
      <c r="B110" s="505" t="s">
        <v>1188</v>
      </c>
      <c r="C110" s="28"/>
    </row>
    <row r="111" spans="1:27" ht="15.75">
      <c r="B111" s="518" t="s">
        <v>1189</v>
      </c>
      <c r="C111">
        <v>1.2E-2</v>
      </c>
      <c r="D111" s="391"/>
      <c r="E111" s="392"/>
      <c r="F111" s="391"/>
      <c r="G111" s="393"/>
      <c r="H111" s="390"/>
      <c r="I111" s="390"/>
      <c r="J111" s="390"/>
      <c r="K111" s="390"/>
    </row>
    <row r="112" spans="1:27">
      <c r="B112" s="13" t="s">
        <v>1190</v>
      </c>
      <c r="C112" s="13"/>
      <c r="D112" s="13"/>
      <c r="E112" s="13"/>
      <c r="F112" s="13"/>
      <c r="G112" s="13"/>
      <c r="H112" s="13"/>
      <c r="I112" s="13"/>
      <c r="J112" s="13"/>
      <c r="K112" s="13"/>
    </row>
    <row r="113" spans="1:27">
      <c r="B113" s="662" t="s">
        <v>1191</v>
      </c>
      <c r="C113">
        <v>1.2E-2</v>
      </c>
    </row>
    <row r="115" spans="1:27">
      <c r="A115" s="13"/>
      <c r="B115" s="506" t="s">
        <v>1192</v>
      </c>
      <c r="C115" t="s">
        <v>1815</v>
      </c>
      <c r="D115" s="395"/>
      <c r="E115" s="395"/>
      <c r="F115" s="496"/>
      <c r="G115" s="315"/>
      <c r="H115" s="315"/>
      <c r="I115" s="315"/>
      <c r="J115" s="315"/>
      <c r="K115" s="315"/>
      <c r="L115" s="13"/>
      <c r="M115" s="13"/>
      <c r="N115" s="13"/>
      <c r="O115" s="13"/>
      <c r="P115" s="13"/>
      <c r="Q115" s="13"/>
      <c r="R115" s="13"/>
      <c r="S115" s="13"/>
      <c r="T115" s="13"/>
      <c r="U115" s="13"/>
      <c r="V115" s="13"/>
      <c r="W115" s="13"/>
      <c r="X115" s="13"/>
      <c r="Y115" s="13"/>
      <c r="Z115" s="13"/>
      <c r="AA115" s="13"/>
    </row>
    <row r="116" spans="1:27">
      <c r="A116" s="13"/>
      <c r="B116" t="s">
        <v>1797</v>
      </c>
      <c r="C116" t="s">
        <v>1810</v>
      </c>
      <c r="D116">
        <v>5</v>
      </c>
      <c r="E116" t="s">
        <v>1799</v>
      </c>
      <c r="F116">
        <v>0.4</v>
      </c>
      <c r="G116" t="s">
        <v>1800</v>
      </c>
      <c r="H116">
        <v>0.8</v>
      </c>
      <c r="I116" s="315"/>
      <c r="J116" s="315"/>
      <c r="K116" s="315"/>
      <c r="L116" s="13"/>
      <c r="M116" s="13"/>
      <c r="N116" s="13"/>
      <c r="O116" s="13"/>
      <c r="P116" s="13"/>
      <c r="Q116" s="13"/>
      <c r="R116" s="13"/>
      <c r="S116" s="13"/>
      <c r="T116" s="13"/>
      <c r="U116" s="13"/>
      <c r="V116" s="13"/>
      <c r="W116" s="13"/>
      <c r="X116" s="13"/>
      <c r="Y116" s="13"/>
      <c r="Z116" s="13"/>
      <c r="AA116" s="13"/>
    </row>
    <row r="117" spans="1:27">
      <c r="A117" s="13"/>
      <c r="B117" s="510" t="s">
        <v>1167</v>
      </c>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row>
    <row r="118" spans="1:27" ht="15.75">
      <c r="A118" s="13"/>
      <c r="B118" s="347" t="s">
        <v>1169</v>
      </c>
      <c r="C118" s="347" t="s">
        <v>1170</v>
      </c>
      <c r="D118" s="347" t="s">
        <v>1171</v>
      </c>
      <c r="E118" s="347" t="s">
        <v>1172</v>
      </c>
      <c r="F118" s="448" t="s">
        <v>1173</v>
      </c>
      <c r="G118" s="449"/>
      <c r="H118" s="390"/>
      <c r="I118" s="482"/>
      <c r="J118" s="482"/>
      <c r="K118" s="390"/>
      <c r="L118" s="13"/>
      <c r="M118" s="13"/>
      <c r="N118" s="13"/>
      <c r="O118" s="13"/>
      <c r="P118" s="13"/>
      <c r="Q118" s="13"/>
      <c r="R118" s="13"/>
      <c r="S118" s="13"/>
      <c r="T118" s="13"/>
      <c r="U118" s="13"/>
      <c r="V118" s="13"/>
      <c r="W118" s="13"/>
      <c r="X118" s="13"/>
      <c r="Y118" s="13"/>
      <c r="Z118" s="13"/>
      <c r="AA118" s="13"/>
    </row>
    <row r="119" spans="1:27" ht="15">
      <c r="A119" s="13"/>
      <c r="B119" s="349">
        <v>0.99447300000000005</v>
      </c>
      <c r="C119" s="349">
        <v>0.99545300000000003</v>
      </c>
      <c r="D119" s="349">
        <v>0.99447300000000005</v>
      </c>
      <c r="E119" s="349">
        <v>0.99545300000000003</v>
      </c>
      <c r="F119" s="450">
        <v>0.99447300000000005</v>
      </c>
      <c r="G119" s="451"/>
      <c r="H119" s="417"/>
      <c r="I119" s="417"/>
      <c r="J119" s="417"/>
      <c r="K119" s="417"/>
      <c r="L119" s="13"/>
      <c r="M119" s="13"/>
      <c r="N119" s="13"/>
      <c r="O119" s="13"/>
      <c r="P119" s="13"/>
      <c r="Q119" s="13"/>
      <c r="R119" s="13"/>
      <c r="S119" s="13"/>
      <c r="T119" s="13"/>
      <c r="U119" s="13"/>
      <c r="V119" s="13"/>
      <c r="W119" s="13"/>
      <c r="X119" s="13"/>
      <c r="Y119" s="13"/>
      <c r="Z119" s="13"/>
      <c r="AA119" s="13"/>
    </row>
    <row r="120" spans="1:27" ht="15">
      <c r="A120" s="13"/>
      <c r="B120" s="349">
        <v>0.99545300000000003</v>
      </c>
      <c r="C120" s="349">
        <v>0.99447300000000005</v>
      </c>
      <c r="D120" s="349">
        <v>0.99545300000000003</v>
      </c>
      <c r="E120" s="349">
        <v>0.99447300000000005</v>
      </c>
      <c r="F120" s="450">
        <v>0.99545300000000003</v>
      </c>
      <c r="G120" s="451"/>
      <c r="H120" s="417"/>
      <c r="I120" s="417"/>
      <c r="J120" s="417"/>
      <c r="K120" s="417"/>
      <c r="L120" s="13"/>
      <c r="M120" s="13"/>
      <c r="N120" s="13"/>
      <c r="O120" s="13"/>
      <c r="P120" s="13"/>
      <c r="Q120" s="13"/>
      <c r="R120" s="13"/>
      <c r="S120" s="13"/>
      <c r="T120" s="13"/>
      <c r="U120" s="13"/>
      <c r="V120" s="13"/>
      <c r="W120" s="13"/>
      <c r="X120" s="13"/>
      <c r="Y120" s="13"/>
      <c r="Z120" s="13"/>
      <c r="AA120" s="13"/>
    </row>
    <row r="121" spans="1:27" ht="18.75">
      <c r="A121" s="13"/>
      <c r="B121" s="394" t="s">
        <v>1174</v>
      </c>
      <c r="C121">
        <f>STDEV(C119:K119)</f>
        <v>5.6580326380582216E-4</v>
      </c>
      <c r="D121" s="14"/>
      <c r="E121" s="14"/>
      <c r="F121" s="14"/>
      <c r="G121" s="498"/>
      <c r="H121" s="424"/>
      <c r="I121" s="424"/>
      <c r="J121" s="424"/>
      <c r="K121" s="424"/>
      <c r="L121" s="13"/>
      <c r="M121" s="13"/>
      <c r="N121" s="13"/>
      <c r="O121" s="13"/>
      <c r="P121" s="13"/>
      <c r="Q121" s="13"/>
      <c r="R121" s="13"/>
      <c r="S121" s="13"/>
      <c r="T121" s="13"/>
      <c r="U121" s="13"/>
      <c r="V121" s="13"/>
      <c r="W121" s="13"/>
      <c r="X121" s="13"/>
      <c r="Y121" s="13"/>
      <c r="Z121" s="13"/>
      <c r="AA121" s="13"/>
    </row>
    <row r="122" spans="1:27">
      <c r="A122" s="13"/>
      <c r="B122" s="511"/>
      <c r="C122" s="511"/>
      <c r="D122" s="511"/>
      <c r="E122" s="511"/>
      <c r="F122" s="511"/>
      <c r="G122" s="511"/>
      <c r="H122" s="511"/>
      <c r="I122" s="511"/>
      <c r="J122" s="511"/>
      <c r="K122" s="511"/>
      <c r="L122" s="13"/>
      <c r="M122" s="13"/>
      <c r="N122" s="13"/>
      <c r="O122" s="13"/>
      <c r="P122" s="13"/>
      <c r="Q122" s="13"/>
      <c r="R122" s="13"/>
      <c r="S122" s="13"/>
      <c r="T122" s="13"/>
      <c r="U122" s="13"/>
      <c r="V122" s="13"/>
      <c r="W122" s="13"/>
      <c r="X122" s="13"/>
      <c r="Y122" s="13"/>
      <c r="Z122" s="13"/>
      <c r="AA122" s="13"/>
    </row>
    <row r="123" spans="1:27">
      <c r="A123" s="13"/>
      <c r="B123" s="511"/>
      <c r="C123" s="511"/>
      <c r="D123" s="511"/>
      <c r="E123" s="511"/>
      <c r="F123" s="511"/>
      <c r="G123" s="511"/>
      <c r="H123" s="511"/>
      <c r="I123" s="511"/>
      <c r="J123" s="511"/>
      <c r="K123" s="511"/>
      <c r="L123" s="13"/>
      <c r="M123" s="13"/>
      <c r="N123" s="13"/>
      <c r="O123" s="13"/>
      <c r="P123" s="13"/>
      <c r="Q123" s="13"/>
      <c r="R123" s="13"/>
      <c r="S123" s="13"/>
      <c r="T123" s="13"/>
      <c r="U123" s="13"/>
      <c r="V123" s="13"/>
      <c r="W123" s="13"/>
      <c r="X123" s="13"/>
      <c r="Y123" s="13"/>
      <c r="Z123" s="13"/>
      <c r="AA123" s="13"/>
    </row>
    <row r="124" spans="1:27" ht="15.75" customHeight="1">
      <c r="A124" s="512" t="s">
        <v>1175</v>
      </c>
      <c r="B124" s="153" t="s">
        <v>1176</v>
      </c>
      <c r="V124" s="13"/>
      <c r="W124" s="13"/>
      <c r="X124" s="13"/>
      <c r="Y124" s="13"/>
      <c r="Z124" s="13"/>
      <c r="AA124" s="13"/>
    </row>
    <row r="125" spans="1:27" ht="15.75" customHeight="1">
      <c r="A125" s="512"/>
      <c r="B125" s="513" t="s">
        <v>1177</v>
      </c>
      <c r="C125" s="514" t="s">
        <v>1178</v>
      </c>
      <c r="D125" s="514" t="s">
        <v>1179</v>
      </c>
      <c r="E125" s="514" t="s">
        <v>1180</v>
      </c>
      <c r="F125" s="514" t="s">
        <v>1181</v>
      </c>
      <c r="G125" s="514" t="s">
        <v>1182</v>
      </c>
      <c r="V125" s="13"/>
      <c r="W125" s="13"/>
      <c r="X125" s="13"/>
      <c r="Y125" s="13"/>
      <c r="Z125" s="13"/>
      <c r="AA125" s="13"/>
    </row>
    <row r="126" spans="1:27" ht="36" customHeight="1">
      <c r="A126" s="512"/>
      <c r="B126" s="7">
        <v>1</v>
      </c>
      <c r="C126" s="515" t="s">
        <v>1193</v>
      </c>
      <c r="D126" s="519">
        <v>0.01</v>
      </c>
      <c r="E126" s="513" t="s">
        <v>1183</v>
      </c>
      <c r="F126" s="520">
        <v>1.73</v>
      </c>
      <c r="G126" s="521">
        <f>D126/F126</f>
        <v>5.7803468208092491E-3</v>
      </c>
      <c r="V126" s="13"/>
      <c r="W126" s="13"/>
      <c r="X126" s="13"/>
      <c r="Y126" s="13"/>
      <c r="Z126" s="13"/>
      <c r="AA126" s="13"/>
    </row>
    <row r="127" spans="1:27" ht="48" customHeight="1">
      <c r="A127" s="512"/>
      <c r="B127" s="7">
        <v>2</v>
      </c>
      <c r="C127" s="515" t="s">
        <v>1194</v>
      </c>
      <c r="D127" s="519">
        <v>2.8999999999999998E-3</v>
      </c>
      <c r="E127" s="513" t="s">
        <v>1184</v>
      </c>
      <c r="F127" s="520">
        <v>2.06</v>
      </c>
      <c r="G127" s="521">
        <f>D127/F127</f>
        <v>1.4077669902912619E-3</v>
      </c>
      <c r="V127" s="13"/>
      <c r="W127" s="13"/>
      <c r="X127" s="13"/>
      <c r="Y127" s="13"/>
      <c r="Z127" s="13"/>
      <c r="AA127" s="13"/>
    </row>
    <row r="128" spans="1:27" ht="43.5" customHeight="1">
      <c r="A128" s="512"/>
      <c r="B128" s="7">
        <v>3</v>
      </c>
      <c r="C128" s="666" t="s">
        <v>1801</v>
      </c>
      <c r="D128" t="s">
        <v>1809</v>
      </c>
      <c r="E128" s="513" t="s">
        <v>1183</v>
      </c>
      <c r="F128" s="2"/>
      <c r="G128" s="521">
        <f>0.001/($F$116*SQRT(1-$H$116^2))/SQRT(3)/2</f>
        <v>1.2028130608117207E-3</v>
      </c>
      <c r="V128" s="13"/>
      <c r="W128" s="13"/>
      <c r="X128" s="13"/>
      <c r="Y128" s="13"/>
      <c r="Z128" s="13"/>
      <c r="AA128" s="13"/>
    </row>
    <row r="129" spans="1:27" ht="15.75" customHeight="1">
      <c r="A129" s="512"/>
      <c r="B129" s="513" t="s">
        <v>1185</v>
      </c>
      <c r="C129" s="1749">
        <v>6.0000000000000001E-3</v>
      </c>
      <c r="D129" s="1749"/>
      <c r="E129" s="1749"/>
      <c r="F129" s="1749"/>
      <c r="G129" s="1749"/>
      <c r="V129" s="13"/>
      <c r="W129" s="13"/>
      <c r="X129" s="13"/>
      <c r="Y129" s="13"/>
      <c r="Z129" s="13"/>
      <c r="AA129" s="13"/>
    </row>
    <row r="130" spans="1:27">
      <c r="A130" s="13"/>
      <c r="B130" s="505" t="s">
        <v>1186</v>
      </c>
      <c r="V130" s="13"/>
      <c r="W130" s="13"/>
      <c r="X130" s="13"/>
      <c r="Y130" s="13"/>
      <c r="Z130" s="13"/>
      <c r="AA130" s="13"/>
    </row>
    <row r="131" spans="1:27" ht="18.75">
      <c r="A131" s="13"/>
      <c r="B131" s="516" t="s">
        <v>1187</v>
      </c>
      <c r="C131">
        <v>6.0000000000000001E-3</v>
      </c>
      <c r="V131" s="13"/>
      <c r="W131" s="13"/>
      <c r="X131" s="13"/>
      <c r="Y131" s="13"/>
      <c r="Z131" s="13"/>
      <c r="AA131" s="13"/>
    </row>
    <row r="132" spans="1:27">
      <c r="B132" s="505" t="s">
        <v>1188</v>
      </c>
      <c r="C132" s="28"/>
    </row>
    <row r="133" spans="1:27" ht="15.75">
      <c r="B133" s="518" t="s">
        <v>1189</v>
      </c>
      <c r="C133">
        <v>1.2E-2</v>
      </c>
      <c r="D133" s="391"/>
      <c r="E133" s="392"/>
      <c r="F133" s="391"/>
      <c r="G133" s="393"/>
      <c r="H133" s="390"/>
      <c r="I133" s="390"/>
      <c r="J133" s="390"/>
      <c r="K133" s="390"/>
    </row>
    <row r="134" spans="1:27">
      <c r="B134" s="13" t="s">
        <v>1190</v>
      </c>
      <c r="C134" s="13"/>
      <c r="D134" s="13"/>
      <c r="E134" s="13"/>
      <c r="F134" s="13"/>
      <c r="G134" s="13"/>
      <c r="H134" s="13"/>
      <c r="I134" s="13"/>
      <c r="J134" s="13"/>
      <c r="K134" s="13"/>
    </row>
    <row r="135" spans="1:27">
      <c r="B135" t="s">
        <v>1191</v>
      </c>
      <c r="C135">
        <v>1.2E-2</v>
      </c>
    </row>
    <row r="138" spans="1:27" ht="22.5">
      <c r="A138" s="454" t="s">
        <v>1165</v>
      </c>
      <c r="B138" s="506" t="s">
        <v>1166</v>
      </c>
      <c r="C138" s="661" t="s">
        <v>1802</v>
      </c>
      <c r="D138" s="507"/>
      <c r="E138" s="507"/>
      <c r="F138" s="8"/>
      <c r="G138" s="315"/>
      <c r="H138" s="315"/>
      <c r="I138" s="315"/>
      <c r="J138" s="315"/>
      <c r="K138" s="315"/>
      <c r="L138" s="508"/>
      <c r="M138" s="508"/>
      <c r="N138" s="508"/>
      <c r="O138" s="508"/>
      <c r="P138" s="508"/>
      <c r="Q138" s="508"/>
      <c r="R138" s="508"/>
      <c r="S138" s="508"/>
      <c r="T138" s="508"/>
      <c r="U138" s="508"/>
      <c r="V138" s="508"/>
      <c r="W138" s="508"/>
      <c r="X138" s="508"/>
      <c r="Y138" s="508"/>
      <c r="Z138" s="508"/>
      <c r="AA138" s="508"/>
    </row>
    <row r="139" spans="1:27">
      <c r="A139" s="13"/>
      <c r="B139" s="506" t="s">
        <v>1192</v>
      </c>
      <c r="C139" t="s">
        <v>1813</v>
      </c>
      <c r="D139" s="395"/>
      <c r="E139" s="395"/>
      <c r="F139" s="496"/>
      <c r="G139" s="315"/>
      <c r="H139" s="315"/>
      <c r="I139" s="315"/>
      <c r="J139" s="315"/>
      <c r="K139" s="315"/>
      <c r="L139" s="13"/>
      <c r="M139" s="13"/>
      <c r="N139" s="13"/>
      <c r="O139" s="13"/>
      <c r="P139" s="13"/>
      <c r="Q139" s="13"/>
      <c r="R139" s="13"/>
      <c r="S139" s="13"/>
      <c r="T139" s="13"/>
      <c r="U139" s="13"/>
      <c r="V139" s="13"/>
      <c r="W139" s="13"/>
      <c r="X139" s="13"/>
      <c r="Y139" s="13"/>
      <c r="Z139" s="13"/>
      <c r="AA139" s="13"/>
    </row>
    <row r="140" spans="1:27">
      <c r="A140" s="13"/>
      <c r="B140" t="s">
        <v>1797</v>
      </c>
      <c r="C140" t="s">
        <v>1808</v>
      </c>
      <c r="D140">
        <v>5</v>
      </c>
      <c r="E140" t="s">
        <v>1799</v>
      </c>
      <c r="F140">
        <v>5</v>
      </c>
      <c r="G140" t="s">
        <v>1800</v>
      </c>
      <c r="H140">
        <v>0.8</v>
      </c>
      <c r="I140" s="315"/>
      <c r="J140" s="315"/>
      <c r="K140" s="315"/>
      <c r="L140" s="13"/>
      <c r="M140" s="13"/>
      <c r="N140" s="13"/>
      <c r="O140" s="13"/>
      <c r="P140" s="13"/>
      <c r="Q140" s="13"/>
      <c r="R140" s="13"/>
      <c r="S140" s="13"/>
      <c r="T140" s="13"/>
      <c r="U140" s="13"/>
      <c r="V140" s="13"/>
      <c r="W140" s="13"/>
      <c r="X140" s="13"/>
      <c r="Y140" s="13"/>
      <c r="Z140" s="13"/>
      <c r="AA140" s="13"/>
    </row>
    <row r="141" spans="1:27">
      <c r="A141" s="13"/>
      <c r="B141" s="510" t="s">
        <v>1167</v>
      </c>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row>
    <row r="142" spans="1:27" ht="15.75">
      <c r="A142" s="13"/>
      <c r="B142" s="347" t="s">
        <v>1169</v>
      </c>
      <c r="C142" s="347" t="s">
        <v>1170</v>
      </c>
      <c r="D142" s="347" t="s">
        <v>1171</v>
      </c>
      <c r="E142" s="347" t="s">
        <v>1172</v>
      </c>
      <c r="F142" s="448" t="s">
        <v>1173</v>
      </c>
      <c r="G142" s="449"/>
      <c r="H142" s="390"/>
      <c r="I142" s="482"/>
      <c r="J142" s="482"/>
      <c r="K142" s="390"/>
      <c r="L142" s="13"/>
      <c r="M142" s="13"/>
      <c r="N142" s="13"/>
      <c r="O142" s="13"/>
      <c r="P142" s="13"/>
      <c r="Q142" s="13"/>
      <c r="R142" s="13"/>
      <c r="S142" s="13"/>
      <c r="T142" s="13"/>
      <c r="U142" s="13"/>
      <c r="V142" s="13"/>
      <c r="W142" s="13"/>
      <c r="X142" s="13"/>
      <c r="Y142" s="13"/>
      <c r="Z142" s="13"/>
      <c r="AA142" s="13"/>
    </row>
    <row r="143" spans="1:27" ht="15">
      <c r="A143" s="13"/>
      <c r="B143" s="349">
        <v>0.99447300000000005</v>
      </c>
      <c r="C143" s="349">
        <v>0.99545300000000003</v>
      </c>
      <c r="D143" s="349">
        <v>0.99447300000000005</v>
      </c>
      <c r="E143" s="349">
        <v>0.99545300000000003</v>
      </c>
      <c r="F143" s="450">
        <v>0.99447300000000005</v>
      </c>
      <c r="G143" s="451"/>
      <c r="H143" s="417"/>
      <c r="I143" s="417"/>
      <c r="J143" s="417"/>
      <c r="K143" s="417"/>
      <c r="L143" s="13"/>
      <c r="M143" s="13"/>
      <c r="N143" s="13"/>
      <c r="O143" s="13"/>
      <c r="P143" s="13"/>
      <c r="Q143" s="13"/>
      <c r="R143" s="13"/>
      <c r="S143" s="13"/>
      <c r="T143" s="13"/>
      <c r="U143" s="13"/>
      <c r="V143" s="13"/>
      <c r="W143" s="13"/>
      <c r="X143" s="13"/>
      <c r="Y143" s="13"/>
      <c r="Z143" s="13"/>
      <c r="AA143" s="13"/>
    </row>
    <row r="144" spans="1:27" ht="15">
      <c r="A144" s="13"/>
      <c r="B144" s="349">
        <v>0.99545300000000003</v>
      </c>
      <c r="C144" s="349">
        <v>0.99447300000000005</v>
      </c>
      <c r="D144" s="349">
        <v>0.99545300000000003</v>
      </c>
      <c r="E144" s="349">
        <v>0.99447300000000005</v>
      </c>
      <c r="F144" s="450">
        <v>0.99545300000000003</v>
      </c>
      <c r="G144" s="451"/>
      <c r="H144" s="417"/>
      <c r="I144" s="417"/>
      <c r="J144" s="417"/>
      <c r="K144" s="417"/>
      <c r="L144" s="13"/>
      <c r="M144" s="13"/>
      <c r="N144" s="13"/>
      <c r="O144" s="13"/>
      <c r="P144" s="13"/>
      <c r="Q144" s="13"/>
      <c r="R144" s="13"/>
      <c r="S144" s="13"/>
      <c r="T144" s="13"/>
      <c r="U144" s="13"/>
      <c r="V144" s="13"/>
      <c r="W144" s="13"/>
      <c r="X144" s="13"/>
      <c r="Y144" s="13"/>
      <c r="Z144" s="13"/>
      <c r="AA144" s="13"/>
    </row>
    <row r="145" spans="1:27" ht="18.75">
      <c r="A145" s="13"/>
      <c r="B145" s="394" t="s">
        <v>1174</v>
      </c>
      <c r="C145">
        <f>STDEV(C143:K143)</f>
        <v>5.6580326380582216E-4</v>
      </c>
      <c r="D145" s="14"/>
      <c r="E145" s="14"/>
      <c r="F145" s="14"/>
      <c r="G145" s="498"/>
      <c r="H145" s="424"/>
      <c r="I145" s="424"/>
      <c r="J145" s="424"/>
      <c r="K145" s="424"/>
      <c r="L145" s="13"/>
      <c r="M145" s="13"/>
      <c r="N145" s="13"/>
      <c r="O145" s="13"/>
      <c r="P145" s="13"/>
      <c r="Q145" s="13"/>
      <c r="R145" s="13"/>
      <c r="S145" s="13"/>
      <c r="T145" s="13"/>
      <c r="U145" s="13"/>
      <c r="V145" s="13"/>
      <c r="W145" s="13"/>
      <c r="X145" s="13"/>
      <c r="Y145" s="13"/>
      <c r="Z145" s="13"/>
      <c r="AA145" s="13"/>
    </row>
    <row r="146" spans="1:27">
      <c r="A146" s="13"/>
      <c r="B146" s="511"/>
      <c r="C146" s="511"/>
      <c r="D146" s="511"/>
      <c r="E146" s="511"/>
      <c r="F146" s="511"/>
      <c r="G146" s="511"/>
      <c r="H146" s="511"/>
      <c r="I146" s="511"/>
      <c r="J146" s="511"/>
      <c r="K146" s="511"/>
      <c r="L146" s="13"/>
      <c r="M146" s="13"/>
      <c r="N146" s="13"/>
      <c r="O146" s="13"/>
      <c r="P146" s="13"/>
      <c r="Q146" s="13"/>
      <c r="R146" s="13"/>
      <c r="S146" s="13"/>
      <c r="T146" s="13"/>
      <c r="U146" s="13"/>
      <c r="V146" s="13"/>
      <c r="W146" s="13"/>
      <c r="X146" s="13"/>
      <c r="Y146" s="13"/>
      <c r="Z146" s="13"/>
      <c r="AA146" s="13"/>
    </row>
    <row r="147" spans="1:27">
      <c r="A147" s="13"/>
      <c r="B147" s="511"/>
      <c r="C147" s="511"/>
      <c r="D147" s="511"/>
      <c r="E147" s="511"/>
      <c r="F147" s="511"/>
      <c r="G147" s="511"/>
      <c r="H147" s="511"/>
      <c r="I147" s="511"/>
      <c r="J147" s="511"/>
      <c r="K147" s="511"/>
      <c r="L147" s="13"/>
      <c r="M147" s="13"/>
      <c r="N147" s="13"/>
      <c r="O147" s="13"/>
      <c r="P147" s="13"/>
      <c r="Q147" s="13"/>
      <c r="R147" s="13"/>
      <c r="S147" s="13"/>
      <c r="T147" s="13"/>
      <c r="U147" s="13"/>
      <c r="V147" s="13"/>
      <c r="W147" s="13"/>
      <c r="X147" s="13"/>
      <c r="Y147" s="13"/>
      <c r="Z147" s="13"/>
      <c r="AA147" s="13"/>
    </row>
    <row r="148" spans="1:27" ht="15.75" customHeight="1">
      <c r="A148" s="512" t="s">
        <v>1175</v>
      </c>
      <c r="B148" s="153" t="s">
        <v>1176</v>
      </c>
      <c r="V148" s="13"/>
      <c r="W148" s="13"/>
      <c r="X148" s="13"/>
      <c r="Y148" s="13"/>
      <c r="Z148" s="13"/>
      <c r="AA148" s="13"/>
    </row>
    <row r="149" spans="1:27" ht="15.75" customHeight="1">
      <c r="A149" s="512"/>
      <c r="B149" s="513" t="s">
        <v>1177</v>
      </c>
      <c r="C149" s="514" t="s">
        <v>1178</v>
      </c>
      <c r="D149" s="514" t="s">
        <v>1179</v>
      </c>
      <c r="E149" s="514" t="s">
        <v>1180</v>
      </c>
      <c r="F149" s="514" t="s">
        <v>1181</v>
      </c>
      <c r="G149" s="514" t="s">
        <v>1182</v>
      </c>
      <c r="V149" s="13"/>
      <c r="W149" s="13"/>
      <c r="X149" s="13"/>
      <c r="Y149" s="13"/>
      <c r="Z149" s="13"/>
      <c r="AA149" s="13"/>
    </row>
    <row r="150" spans="1:27" ht="36" customHeight="1">
      <c r="A150" s="512"/>
      <c r="B150" s="7">
        <v>1</v>
      </c>
      <c r="C150" s="515" t="s">
        <v>1193</v>
      </c>
      <c r="D150" s="519">
        <v>0.01</v>
      </c>
      <c r="E150" s="513" t="s">
        <v>1183</v>
      </c>
      <c r="F150" s="520">
        <v>1.73</v>
      </c>
      <c r="G150" s="521">
        <f>D150/F150</f>
        <v>5.7803468208092491E-3</v>
      </c>
      <c r="V150" s="13"/>
      <c r="W150" s="13"/>
      <c r="X150" s="13"/>
      <c r="Y150" s="13"/>
      <c r="Z150" s="13"/>
      <c r="AA150" s="13"/>
    </row>
    <row r="151" spans="1:27" ht="48" customHeight="1">
      <c r="A151" s="512"/>
      <c r="B151" s="7">
        <v>2</v>
      </c>
      <c r="C151" s="515" t="s">
        <v>1194</v>
      </c>
      <c r="D151" s="519">
        <v>2.8999999999999998E-3</v>
      </c>
      <c r="E151" s="513" t="s">
        <v>1184</v>
      </c>
      <c r="F151" s="520">
        <v>2.06</v>
      </c>
      <c r="G151" s="521">
        <f>D151/F151</f>
        <v>1.4077669902912619E-3</v>
      </c>
      <c r="V151" s="13"/>
      <c r="W151" s="13"/>
      <c r="X151" s="13"/>
      <c r="Y151" s="13"/>
      <c r="Z151" s="13"/>
      <c r="AA151" s="13"/>
    </row>
    <row r="152" spans="1:27" ht="43.5" customHeight="1">
      <c r="A152" s="512"/>
      <c r="B152" s="7">
        <v>3</v>
      </c>
      <c r="C152" s="515" t="s">
        <v>1195</v>
      </c>
      <c r="D152" t="s">
        <v>1812</v>
      </c>
      <c r="E152" s="513" t="s">
        <v>1183</v>
      </c>
      <c r="F152" s="2"/>
      <c r="G152" s="521">
        <f>0.001/($F$140/$D$140^2*$H$140)/SQRT(3)/2</f>
        <v>1.8042195912175802E-3</v>
      </c>
      <c r="V152" s="13"/>
      <c r="W152" s="13"/>
      <c r="X152" s="13"/>
      <c r="Y152" s="13"/>
      <c r="Z152" s="13"/>
      <c r="AA152" s="13"/>
    </row>
    <row r="153" spans="1:27" ht="15.75" customHeight="1">
      <c r="A153" s="512"/>
      <c r="B153" s="513" t="s">
        <v>1185</v>
      </c>
      <c r="C153" s="1749">
        <f>SQRT(SUMSQ(G150,G151,G152))</f>
        <v>6.2168662203015632E-3</v>
      </c>
      <c r="D153" s="1749"/>
      <c r="E153" s="1749"/>
      <c r="F153" s="1749"/>
      <c r="G153" s="1749"/>
      <c r="V153" s="13"/>
      <c r="W153" s="13"/>
      <c r="X153" s="13"/>
      <c r="Y153" s="13"/>
      <c r="Z153" s="13"/>
      <c r="AA153" s="13"/>
    </row>
    <row r="154" spans="1:27">
      <c r="A154" s="13"/>
      <c r="B154" s="505" t="s">
        <v>1186</v>
      </c>
      <c r="V154" s="13"/>
      <c r="W154" s="13"/>
      <c r="X154" s="13"/>
      <c r="Y154" s="13"/>
      <c r="Z154" s="13"/>
      <c r="AA154" s="13"/>
    </row>
    <row r="155" spans="1:27" ht="18.75">
      <c r="A155" s="13"/>
      <c r="B155" s="516" t="s">
        <v>1187</v>
      </c>
      <c r="C155">
        <v>6.0000000000000001E-3</v>
      </c>
      <c r="V155" s="13"/>
      <c r="W155" s="13"/>
      <c r="X155" s="13"/>
      <c r="Y155" s="13"/>
      <c r="Z155" s="13"/>
      <c r="AA155" s="13"/>
    </row>
    <row r="156" spans="1:27">
      <c r="B156" s="505" t="s">
        <v>1188</v>
      </c>
      <c r="C156" s="28"/>
    </row>
    <row r="157" spans="1:27" ht="15.75">
      <c r="B157" s="518" t="s">
        <v>1189</v>
      </c>
      <c r="C157">
        <v>1.2E-2</v>
      </c>
      <c r="D157" s="391"/>
      <c r="E157" s="392"/>
      <c r="F157" s="391"/>
      <c r="G157" s="393"/>
      <c r="H157" s="390"/>
      <c r="I157" s="390"/>
      <c r="J157" s="390"/>
      <c r="K157" s="390"/>
    </row>
    <row r="158" spans="1:27">
      <c r="B158" s="13" t="s">
        <v>1190</v>
      </c>
      <c r="C158" s="13"/>
      <c r="D158" s="13"/>
      <c r="E158" s="13"/>
      <c r="F158" s="13"/>
      <c r="G158" s="13"/>
      <c r="H158" s="13"/>
      <c r="I158" s="13"/>
      <c r="J158" s="13"/>
      <c r="K158" s="13"/>
    </row>
    <row r="159" spans="1:27">
      <c r="B159" s="662" t="s">
        <v>1191</v>
      </c>
      <c r="C159">
        <v>1.2E-2</v>
      </c>
    </row>
    <row r="161" spans="1:27">
      <c r="A161" s="13"/>
      <c r="B161" s="506" t="s">
        <v>1192</v>
      </c>
      <c r="C161" t="s">
        <v>1811</v>
      </c>
      <c r="D161" s="395"/>
      <c r="E161" s="395"/>
      <c r="F161" s="496"/>
      <c r="G161" s="315"/>
      <c r="H161" s="315"/>
      <c r="I161" s="315"/>
      <c r="J161" s="315"/>
      <c r="K161" s="315"/>
      <c r="L161" s="13"/>
      <c r="M161" s="13"/>
      <c r="N161" s="13"/>
      <c r="O161" s="13"/>
      <c r="P161" s="13"/>
      <c r="Q161" s="13"/>
      <c r="R161" s="13"/>
      <c r="S161" s="13"/>
      <c r="T161" s="13"/>
      <c r="U161" s="13"/>
      <c r="V161" s="13"/>
      <c r="W161" s="13"/>
      <c r="X161" s="13"/>
      <c r="Y161" s="13"/>
      <c r="Z161" s="13"/>
      <c r="AA161" s="13"/>
    </row>
    <row r="162" spans="1:27">
      <c r="A162" s="13"/>
      <c r="B162" t="s">
        <v>1797</v>
      </c>
      <c r="C162" t="s">
        <v>1810</v>
      </c>
      <c r="D162">
        <v>5</v>
      </c>
      <c r="E162" t="s">
        <v>1799</v>
      </c>
      <c r="F162">
        <v>5</v>
      </c>
      <c r="G162" t="s">
        <v>1800</v>
      </c>
      <c r="H162">
        <v>0.8</v>
      </c>
      <c r="I162" s="315"/>
      <c r="J162" s="315"/>
      <c r="K162" s="315"/>
      <c r="L162" s="13"/>
      <c r="M162" s="13"/>
      <c r="N162" s="13"/>
      <c r="O162" s="13"/>
      <c r="P162" s="13"/>
      <c r="Q162" s="13"/>
      <c r="R162" s="13"/>
      <c r="S162" s="13"/>
      <c r="T162" s="13"/>
      <c r="U162" s="13"/>
      <c r="V162" s="13"/>
      <c r="W162" s="13"/>
      <c r="X162" s="13"/>
      <c r="Y162" s="13"/>
      <c r="Z162" s="13"/>
      <c r="AA162" s="13"/>
    </row>
    <row r="163" spans="1:27">
      <c r="A163" s="13"/>
      <c r="B163" s="510" t="s">
        <v>1167</v>
      </c>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row>
    <row r="164" spans="1:27" ht="15.75">
      <c r="A164" s="13"/>
      <c r="B164" s="347" t="s">
        <v>1169</v>
      </c>
      <c r="C164" s="347" t="s">
        <v>1170</v>
      </c>
      <c r="D164" s="347" t="s">
        <v>1171</v>
      </c>
      <c r="E164" s="347" t="s">
        <v>1172</v>
      </c>
      <c r="F164" s="448" t="s">
        <v>1173</v>
      </c>
      <c r="G164" s="449"/>
      <c r="H164" s="390"/>
      <c r="I164" s="482"/>
      <c r="J164" s="482"/>
      <c r="K164" s="390"/>
      <c r="L164" s="13"/>
      <c r="M164" s="13"/>
      <c r="N164" s="13"/>
      <c r="O164" s="13"/>
      <c r="P164" s="13"/>
      <c r="Q164" s="13"/>
      <c r="R164" s="13"/>
      <c r="S164" s="13"/>
      <c r="T164" s="13"/>
      <c r="U164" s="13"/>
      <c r="V164" s="13"/>
      <c r="W164" s="13"/>
      <c r="X164" s="13"/>
      <c r="Y164" s="13"/>
      <c r="Z164" s="13"/>
      <c r="AA164" s="13"/>
    </row>
    <row r="165" spans="1:27" ht="15">
      <c r="A165" s="13"/>
      <c r="B165" s="349">
        <v>0.99447300000000005</v>
      </c>
      <c r="C165" s="349">
        <v>0.99545300000000003</v>
      </c>
      <c r="D165" s="349">
        <v>0.99447300000000005</v>
      </c>
      <c r="E165" s="349">
        <v>0.99545300000000003</v>
      </c>
      <c r="F165" s="450">
        <v>0.99447300000000005</v>
      </c>
      <c r="G165" s="451"/>
      <c r="H165" s="417"/>
      <c r="I165" s="417"/>
      <c r="J165" s="417"/>
      <c r="K165" s="417"/>
      <c r="L165" s="13"/>
      <c r="M165" s="13"/>
      <c r="N165" s="13"/>
      <c r="O165" s="13"/>
      <c r="P165" s="13"/>
      <c r="Q165" s="13"/>
      <c r="R165" s="13"/>
      <c r="S165" s="13"/>
      <c r="T165" s="13"/>
      <c r="U165" s="13"/>
      <c r="V165" s="13"/>
      <c r="W165" s="13"/>
      <c r="X165" s="13"/>
      <c r="Y165" s="13"/>
      <c r="Z165" s="13"/>
      <c r="AA165" s="13"/>
    </row>
    <row r="166" spans="1:27" ht="15">
      <c r="A166" s="13"/>
      <c r="B166" s="349">
        <v>0.99545300000000003</v>
      </c>
      <c r="C166" s="349">
        <v>0.99447300000000005</v>
      </c>
      <c r="D166" s="349">
        <v>0.99545300000000003</v>
      </c>
      <c r="E166" s="349">
        <v>0.99447300000000005</v>
      </c>
      <c r="F166" s="450">
        <v>0.99545300000000003</v>
      </c>
      <c r="G166" s="451"/>
      <c r="H166" s="417"/>
      <c r="I166" s="417"/>
      <c r="J166" s="417"/>
      <c r="K166" s="417"/>
      <c r="L166" s="13"/>
      <c r="M166" s="13"/>
      <c r="N166" s="13"/>
      <c r="O166" s="13"/>
      <c r="P166" s="13"/>
      <c r="Q166" s="13"/>
      <c r="R166" s="13"/>
      <c r="S166" s="13"/>
      <c r="T166" s="13"/>
      <c r="U166" s="13"/>
      <c r="V166" s="13"/>
      <c r="W166" s="13"/>
      <c r="X166" s="13"/>
      <c r="Y166" s="13"/>
      <c r="Z166" s="13"/>
      <c r="AA166" s="13"/>
    </row>
    <row r="167" spans="1:27" ht="18.75">
      <c r="A167" s="13"/>
      <c r="B167" s="394" t="s">
        <v>1174</v>
      </c>
      <c r="C167">
        <f>STDEV(C165:K165)</f>
        <v>5.6580326380582216E-4</v>
      </c>
      <c r="D167" s="14"/>
      <c r="E167" s="14"/>
      <c r="F167" s="14"/>
      <c r="G167" s="498"/>
      <c r="H167" s="424"/>
      <c r="I167" s="424"/>
      <c r="J167" s="424"/>
      <c r="K167" s="424"/>
      <c r="L167" s="13"/>
      <c r="M167" s="13"/>
      <c r="N167" s="13"/>
      <c r="O167" s="13"/>
      <c r="P167" s="13"/>
      <c r="Q167" s="13"/>
      <c r="R167" s="13"/>
      <c r="S167" s="13"/>
      <c r="T167" s="13"/>
      <c r="U167" s="13"/>
      <c r="V167" s="13"/>
      <c r="W167" s="13"/>
      <c r="X167" s="13"/>
      <c r="Y167" s="13"/>
      <c r="Z167" s="13"/>
      <c r="AA167" s="13"/>
    </row>
    <row r="168" spans="1:27">
      <c r="A168" s="13"/>
      <c r="B168" s="511"/>
      <c r="C168" s="511"/>
      <c r="D168" s="511"/>
      <c r="E168" s="511"/>
      <c r="F168" s="511"/>
      <c r="G168" s="511"/>
      <c r="H168" s="511"/>
      <c r="I168" s="511"/>
      <c r="J168" s="511"/>
      <c r="K168" s="511"/>
      <c r="L168" s="13"/>
      <c r="M168" s="13"/>
      <c r="N168" s="13"/>
      <c r="O168" s="13"/>
      <c r="P168" s="13"/>
      <c r="Q168" s="13"/>
      <c r="R168" s="13"/>
      <c r="S168" s="13"/>
      <c r="T168" s="13"/>
      <c r="U168" s="13"/>
      <c r="V168" s="13"/>
      <c r="W168" s="13"/>
      <c r="X168" s="13"/>
      <c r="Y168" s="13"/>
      <c r="Z168" s="13"/>
      <c r="AA168" s="13"/>
    </row>
    <row r="169" spans="1:27">
      <c r="A169" s="13"/>
      <c r="B169" s="511"/>
      <c r="C169" s="511"/>
      <c r="D169" s="511"/>
      <c r="E169" s="511"/>
      <c r="F169" s="511"/>
      <c r="G169" s="511"/>
      <c r="H169" s="511"/>
      <c r="I169" s="511"/>
      <c r="J169" s="511"/>
      <c r="K169" s="511"/>
      <c r="L169" s="13"/>
      <c r="M169" s="13"/>
      <c r="N169" s="13"/>
      <c r="O169" s="13"/>
      <c r="P169" s="13"/>
      <c r="Q169" s="13"/>
      <c r="R169" s="13"/>
      <c r="S169" s="13"/>
      <c r="T169" s="13"/>
      <c r="U169" s="13"/>
      <c r="V169" s="13"/>
      <c r="W169" s="13"/>
      <c r="X169" s="13"/>
      <c r="Y169" s="13"/>
      <c r="Z169" s="13"/>
      <c r="AA169" s="13"/>
    </row>
    <row r="170" spans="1:27" ht="15.75" customHeight="1">
      <c r="A170" s="512" t="s">
        <v>1175</v>
      </c>
      <c r="B170" s="153" t="s">
        <v>1176</v>
      </c>
      <c r="V170" s="13"/>
      <c r="W170" s="13"/>
      <c r="X170" s="13"/>
      <c r="Y170" s="13"/>
      <c r="Z170" s="13"/>
      <c r="AA170" s="13"/>
    </row>
    <row r="171" spans="1:27" ht="15.75" customHeight="1">
      <c r="A171" s="512"/>
      <c r="B171" s="513" t="s">
        <v>1177</v>
      </c>
      <c r="C171" s="514" t="s">
        <v>1178</v>
      </c>
      <c r="D171" s="514" t="s">
        <v>1179</v>
      </c>
      <c r="E171" s="514" t="s">
        <v>1180</v>
      </c>
      <c r="F171" s="514" t="s">
        <v>1181</v>
      </c>
      <c r="G171" s="514" t="s">
        <v>1182</v>
      </c>
      <c r="V171" s="13"/>
      <c r="W171" s="13"/>
      <c r="X171" s="13"/>
      <c r="Y171" s="13"/>
      <c r="Z171" s="13"/>
      <c r="AA171" s="13"/>
    </row>
    <row r="172" spans="1:27" ht="36" customHeight="1">
      <c r="A172" s="512"/>
      <c r="B172" s="7">
        <v>1</v>
      </c>
      <c r="C172" s="515" t="s">
        <v>1193</v>
      </c>
      <c r="D172" s="519">
        <v>0.01</v>
      </c>
      <c r="E172" s="513" t="s">
        <v>1183</v>
      </c>
      <c r="F172" s="520">
        <v>1.73</v>
      </c>
      <c r="G172" s="521">
        <f>D172/F172</f>
        <v>5.7803468208092491E-3</v>
      </c>
      <c r="V172" s="13"/>
      <c r="W172" s="13"/>
      <c r="X172" s="13"/>
      <c r="Y172" s="13"/>
      <c r="Z172" s="13"/>
      <c r="AA172" s="13"/>
    </row>
    <row r="173" spans="1:27" ht="48" customHeight="1">
      <c r="A173" s="512"/>
      <c r="B173" s="7">
        <v>2</v>
      </c>
      <c r="C173" s="515" t="s">
        <v>1194</v>
      </c>
      <c r="D173" s="519">
        <v>2.8999999999999998E-3</v>
      </c>
      <c r="E173" s="513" t="s">
        <v>1184</v>
      </c>
      <c r="F173" s="520">
        <v>2.06</v>
      </c>
      <c r="G173" s="521">
        <f>D173/F173</f>
        <v>1.4077669902912619E-3</v>
      </c>
      <c r="V173" s="13"/>
      <c r="W173" s="13"/>
      <c r="X173" s="13"/>
      <c r="Y173" s="13"/>
      <c r="Z173" s="13"/>
      <c r="AA173" s="13"/>
    </row>
    <row r="174" spans="1:27" ht="43.5" customHeight="1">
      <c r="A174" s="512"/>
      <c r="B174" s="7">
        <v>3</v>
      </c>
      <c r="C174" s="666" t="s">
        <v>1801</v>
      </c>
      <c r="D174" t="s">
        <v>1809</v>
      </c>
      <c r="E174" s="513" t="s">
        <v>1183</v>
      </c>
      <c r="F174" s="2"/>
      <c r="G174" s="521">
        <f>0.001/($F$162/$D$162^2*SQRT(1-$H$162^2))/SQRT(3)/2</f>
        <v>2.4056261216234415E-3</v>
      </c>
      <c r="V174" s="13"/>
      <c r="W174" s="13"/>
      <c r="X174" s="13"/>
      <c r="Y174" s="13"/>
      <c r="Z174" s="13"/>
      <c r="AA174" s="13"/>
    </row>
    <row r="175" spans="1:27" ht="15.75" customHeight="1">
      <c r="A175" s="512"/>
      <c r="B175" s="513" t="s">
        <v>1185</v>
      </c>
      <c r="C175" s="1749">
        <v>6.0000000000000001E-3</v>
      </c>
      <c r="D175" s="1749"/>
      <c r="E175" s="1749"/>
      <c r="F175" s="1749"/>
      <c r="G175" s="1749"/>
      <c r="V175" s="13"/>
      <c r="W175" s="13"/>
      <c r="X175" s="13"/>
      <c r="Y175" s="13"/>
      <c r="Z175" s="13"/>
      <c r="AA175" s="13"/>
    </row>
    <row r="176" spans="1:27">
      <c r="A176" s="13"/>
      <c r="B176" s="505" t="s">
        <v>1186</v>
      </c>
      <c r="V176" s="13"/>
      <c r="W176" s="13"/>
      <c r="X176" s="13"/>
      <c r="Y176" s="13"/>
      <c r="Z176" s="13"/>
      <c r="AA176" s="13"/>
    </row>
    <row r="177" spans="1:27" ht="18.75">
      <c r="A177" s="13"/>
      <c r="B177" s="516" t="s">
        <v>1187</v>
      </c>
      <c r="C177">
        <v>6.0000000000000001E-3</v>
      </c>
      <c r="V177" s="13"/>
      <c r="W177" s="13"/>
      <c r="X177" s="13"/>
      <c r="Y177" s="13"/>
      <c r="Z177" s="13"/>
      <c r="AA177" s="13"/>
    </row>
    <row r="178" spans="1:27">
      <c r="B178" s="505" t="s">
        <v>1188</v>
      </c>
      <c r="C178" s="28"/>
    </row>
    <row r="179" spans="1:27" ht="15.75">
      <c r="B179" s="518" t="s">
        <v>1189</v>
      </c>
      <c r="C179">
        <v>1.2E-2</v>
      </c>
      <c r="D179" s="391"/>
      <c r="E179" s="392"/>
      <c r="F179" s="391"/>
      <c r="G179" s="393"/>
      <c r="H179" s="390"/>
      <c r="I179" s="390"/>
      <c r="J179" s="390"/>
      <c r="K179" s="390"/>
    </row>
    <row r="180" spans="1:27">
      <c r="B180" s="13" t="s">
        <v>1190</v>
      </c>
      <c r="C180" s="13"/>
      <c r="D180" s="13"/>
      <c r="E180" s="13"/>
      <c r="F180" s="13"/>
      <c r="G180" s="13"/>
      <c r="H180" s="13"/>
      <c r="I180" s="13"/>
      <c r="J180" s="13"/>
      <c r="K180" s="13"/>
    </row>
    <row r="181" spans="1:27">
      <c r="B181" t="s">
        <v>1191</v>
      </c>
      <c r="C181">
        <v>1.2E-2</v>
      </c>
    </row>
  </sheetData>
  <mergeCells count="8">
    <mergeCell ref="C153:G153"/>
    <mergeCell ref="C175:G175"/>
    <mergeCell ref="C16:G16"/>
    <mergeCell ref="C38:G38"/>
    <mergeCell ref="C61:G61"/>
    <mergeCell ref="C83:G83"/>
    <mergeCell ref="C107:G107"/>
    <mergeCell ref="C129:G129"/>
  </mergeCells>
  <phoneticPr fontId="107" type="noConversion"/>
  <pageMargins left="0.75" right="0.75" top="1" bottom="1" header="0.5" footer="0.5"/>
  <legacyDrawing r:id="rId1"/>
  <oleObjects>
    <oleObject progId="Equation.3" shapeId="115713" r:id="rId2"/>
    <oleObject progId="Equation.3" shapeId="115714" r:id="rId3"/>
    <oleObject progId="Equation.3" shapeId="115715" r:id="rId4"/>
    <oleObject progId="Equation.3" shapeId="115717" r:id="rId5"/>
    <oleObject progId="Equation.3" shapeId="115729" r:id="rId6"/>
    <oleObject progId="Equation.3" shapeId="115730" r:id="rId7"/>
    <oleObject progId="Equation.3" shapeId="115731" r:id="rId8"/>
    <oleObject progId="Equation.3" shapeId="115732" r:id="rId9"/>
    <oleObject progId="Equation.3" shapeId="115740" r:id="rId10"/>
    <oleObject progId="Equation.3" shapeId="115741" r:id="rId11"/>
    <oleObject progId="Equation.3" shapeId="115742" r:id="rId12"/>
    <oleObject progId="Equation.3" shapeId="115743" r:id="rId13"/>
    <oleObject progId="Equation.3" shapeId="115751" r:id="rId14"/>
    <oleObject progId="Equation.3" shapeId="115752" r:id="rId15"/>
    <oleObject progId="Equation.3" shapeId="115753" r:id="rId16"/>
    <oleObject progId="Equation.3" shapeId="115762" r:id="rId17"/>
    <oleObject progId="Equation.3" shapeId="115763" r:id="rId18"/>
    <oleObject progId="Equation.3" shapeId="115764" r:id="rId19"/>
    <oleObject progId="Equation.3" shapeId="115765" r:id="rId20"/>
    <oleObject progId="Equation.3" shapeId="115773" r:id="rId21"/>
    <oleObject progId="Equation.3" shapeId="115774" r:id="rId22"/>
    <oleObject progId="Equation.3" shapeId="115775" r:id="rId23"/>
    <oleObject progId="Equation.3" shapeId="115776" r:id="rId24"/>
    <oleObject progId="Equation.3" shapeId="115777" r:id="rId25"/>
    <oleObject progId="Equation.3" shapeId="115778" r:id="rId26"/>
    <oleObject progId="Equation.3" shapeId="115779" r:id="rId27"/>
    <oleObject progId="Equation.3" shapeId="115780" r:id="rId28"/>
    <oleObject progId="Equation.3" shapeId="115795" r:id="rId29"/>
    <oleObject progId="Equation.3" shapeId="115796" r:id="rId30"/>
    <oleObject progId="Equation.3" shapeId="115797" r:id="rId31"/>
    <oleObject progId="Equation.3" shapeId="115798" r:id="rId32"/>
    <oleObject progId="Equation.3" shapeId="115799" r:id="rId33"/>
    <oleObject progId="Equation.3" shapeId="115800" r:id="rId34"/>
    <oleObject progId="Equation.3" shapeId="115801" r:id="rId35"/>
    <oleObject progId="Equation.3" shapeId="115802" r:id="rId36"/>
  </oleObjects>
</worksheet>
</file>

<file path=xl/worksheets/sheet77.xml><?xml version="1.0" encoding="utf-8"?>
<worksheet xmlns="http://schemas.openxmlformats.org/spreadsheetml/2006/main" xmlns:r="http://schemas.openxmlformats.org/officeDocument/2006/relationships">
  <sheetPr>
    <tabColor rgb="FFC00000"/>
  </sheetPr>
  <dimension ref="A1:BD112"/>
  <sheetViews>
    <sheetView topLeftCell="A91" zoomScale="85" zoomScaleNormal="85" workbookViewId="0">
      <selection activeCell="E112" sqref="B112:E112"/>
    </sheetView>
  </sheetViews>
  <sheetFormatPr defaultRowHeight="14.25"/>
  <cols>
    <col min="1" max="1" width="24" customWidth="1"/>
    <col min="2" max="2" width="18.375" customWidth="1"/>
    <col min="3" max="3" width="13.875" customWidth="1"/>
    <col min="4" max="4" width="18.625" customWidth="1"/>
    <col min="5" max="5" width="15.75" customWidth="1"/>
    <col min="6" max="6" width="1.75" customWidth="1"/>
    <col min="7" max="8" width="9" hidden="1" customWidth="1"/>
    <col min="10" max="10" width="9" customWidth="1"/>
    <col min="11" max="11" width="9" hidden="1" customWidth="1"/>
    <col min="12" max="12" width="1.5" customWidth="1"/>
    <col min="13" max="13" width="5" customWidth="1"/>
    <col min="14" max="14" width="5.75" customWidth="1"/>
    <col min="15" max="15" width="3.25" hidden="1" customWidth="1"/>
    <col min="16" max="16" width="9" hidden="1" customWidth="1"/>
    <col min="17" max="17" width="2.375" customWidth="1"/>
    <col min="18" max="18" width="4.375" customWidth="1"/>
    <col min="20" max="20" width="6.5" customWidth="1"/>
    <col min="21" max="21" width="9" hidden="1" customWidth="1"/>
  </cols>
  <sheetData>
    <row r="1" spans="1:5">
      <c r="A1" s="562" t="s">
        <v>595</v>
      </c>
      <c r="B1" s="240"/>
      <c r="C1" s="234"/>
      <c r="D1" s="234"/>
    </row>
    <row r="3" spans="1:5">
      <c r="A3" s="3929" t="s">
        <v>579</v>
      </c>
      <c r="B3" s="3930"/>
      <c r="C3" s="3930"/>
      <c r="D3" s="236"/>
    </row>
    <row r="4" spans="1:5" ht="18.75">
      <c r="A4" s="238" t="s">
        <v>580</v>
      </c>
      <c r="B4" s="238"/>
      <c r="C4" s="239" t="s">
        <v>69</v>
      </c>
      <c r="D4" s="239" t="s">
        <v>70</v>
      </c>
      <c r="E4" s="236" t="s">
        <v>581</v>
      </c>
    </row>
    <row r="5" spans="1:5">
      <c r="A5" s="239" t="s">
        <v>35</v>
      </c>
      <c r="B5" s="239"/>
      <c r="C5" s="239" t="s">
        <v>72</v>
      </c>
      <c r="D5" s="239" t="s">
        <v>72</v>
      </c>
      <c r="E5" s="235" t="s">
        <v>582</v>
      </c>
    </row>
    <row r="6" spans="1:5">
      <c r="A6" s="233" t="s">
        <v>4420</v>
      </c>
      <c r="B6" s="1676" t="s">
        <v>4421</v>
      </c>
      <c r="C6" s="239" t="s">
        <v>72</v>
      </c>
      <c r="D6" s="239" t="s">
        <v>72</v>
      </c>
      <c r="E6" s="235" t="s">
        <v>583</v>
      </c>
    </row>
    <row r="7" spans="1:5">
      <c r="A7" s="233"/>
      <c r="B7" s="1676" t="s">
        <v>4422</v>
      </c>
      <c r="C7" s="239"/>
      <c r="D7" s="239"/>
      <c r="E7" s="1749" t="s">
        <v>4015</v>
      </c>
    </row>
    <row r="8" spans="1:5">
      <c r="A8" s="233"/>
      <c r="B8" s="1676" t="s">
        <v>4423</v>
      </c>
      <c r="C8" s="239"/>
      <c r="D8" s="239"/>
      <c r="E8" s="3938"/>
    </row>
    <row r="9" spans="1:5">
      <c r="A9" s="233"/>
      <c r="B9" s="1676" t="s">
        <v>4424</v>
      </c>
      <c r="C9" s="239"/>
      <c r="D9" s="239"/>
      <c r="E9" s="3938"/>
    </row>
    <row r="10" spans="1:5">
      <c r="A10" s="233"/>
      <c r="B10" s="1676" t="s">
        <v>4425</v>
      </c>
      <c r="C10" s="239"/>
      <c r="D10" s="239"/>
      <c r="E10" s="3938"/>
    </row>
    <row r="11" spans="1:5">
      <c r="A11" s="233"/>
      <c r="B11" s="1676" t="s">
        <v>4426</v>
      </c>
      <c r="C11" s="239"/>
      <c r="D11" s="239"/>
      <c r="E11" s="3938"/>
    </row>
    <row r="12" spans="1:5">
      <c r="A12" s="233"/>
      <c r="B12" s="1676" t="s">
        <v>4427</v>
      </c>
      <c r="C12" s="239"/>
      <c r="D12" s="239"/>
      <c r="E12" s="3939"/>
    </row>
    <row r="13" spans="1:5">
      <c r="A13" s="239" t="s">
        <v>584</v>
      </c>
      <c r="B13" s="239"/>
      <c r="C13" s="239" t="s">
        <v>72</v>
      </c>
      <c r="D13" s="239" t="s">
        <v>84</v>
      </c>
      <c r="E13" s="235" t="s">
        <v>585</v>
      </c>
    </row>
    <row r="14" spans="1:5" ht="42.75">
      <c r="A14" s="241" t="s">
        <v>586</v>
      </c>
      <c r="B14" s="241"/>
      <c r="C14" s="239" t="s">
        <v>72</v>
      </c>
      <c r="D14" s="239" t="s">
        <v>84</v>
      </c>
      <c r="E14" s="235" t="s">
        <v>585</v>
      </c>
    </row>
    <row r="15" spans="1:5">
      <c r="A15" s="233" t="s">
        <v>587</v>
      </c>
      <c r="B15" s="233"/>
      <c r="C15" s="239" t="s">
        <v>72</v>
      </c>
      <c r="D15" s="239" t="s">
        <v>84</v>
      </c>
      <c r="E15" s="235" t="s">
        <v>585</v>
      </c>
    </row>
    <row r="16" spans="1:5">
      <c r="A16" s="233" t="s">
        <v>588</v>
      </c>
      <c r="B16" s="233"/>
      <c r="C16" s="239" t="s">
        <v>72</v>
      </c>
      <c r="D16" s="239" t="s">
        <v>84</v>
      </c>
      <c r="E16" s="235" t="s">
        <v>585</v>
      </c>
    </row>
    <row r="17" spans="1:55">
      <c r="A17" s="233" t="s">
        <v>589</v>
      </c>
      <c r="B17" s="233"/>
      <c r="C17" s="239" t="s">
        <v>72</v>
      </c>
      <c r="D17" s="239" t="s">
        <v>84</v>
      </c>
      <c r="E17" s="235" t="s">
        <v>585</v>
      </c>
    </row>
    <row r="18" spans="1:55" ht="28.5">
      <c r="A18" s="241" t="s">
        <v>590</v>
      </c>
      <c r="B18" s="241"/>
      <c r="C18" s="239" t="s">
        <v>72</v>
      </c>
      <c r="D18" s="239" t="s">
        <v>84</v>
      </c>
      <c r="E18" s="235" t="s">
        <v>585</v>
      </c>
    </row>
    <row r="19" spans="1:55" ht="42.75">
      <c r="A19" s="241" t="s">
        <v>591</v>
      </c>
      <c r="B19" s="241"/>
      <c r="C19" s="239" t="s">
        <v>72</v>
      </c>
      <c r="D19" s="239" t="s">
        <v>84</v>
      </c>
      <c r="E19" s="235" t="s">
        <v>585</v>
      </c>
    </row>
    <row r="20" spans="1:55">
      <c r="A20" s="239"/>
      <c r="B20" s="239"/>
      <c r="C20" s="239"/>
      <c r="D20" s="239"/>
      <c r="E20" s="236"/>
    </row>
    <row r="21" spans="1:55">
      <c r="A21" s="239"/>
      <c r="B21" s="239"/>
      <c r="C21" s="239"/>
      <c r="D21" s="239"/>
      <c r="E21" s="236"/>
    </row>
    <row r="22" spans="1:55">
      <c r="A22" s="239"/>
      <c r="B22" s="239"/>
      <c r="C22" s="239"/>
      <c r="D22" s="239"/>
      <c r="E22" s="236"/>
    </row>
    <row r="23" spans="1:55">
      <c r="A23" s="239"/>
      <c r="B23" s="239"/>
      <c r="C23" s="239"/>
      <c r="D23" s="239"/>
      <c r="E23" s="236"/>
      <c r="F23" s="234"/>
      <c r="G23" s="234"/>
      <c r="H23" s="234"/>
      <c r="I23" s="234"/>
      <c r="J23" s="234"/>
      <c r="K23" s="234"/>
      <c r="L23" s="234"/>
      <c r="M23" s="234"/>
      <c r="N23" s="234"/>
      <c r="O23" s="234"/>
      <c r="P23" s="234"/>
      <c r="Q23" s="234"/>
      <c r="R23" s="234"/>
      <c r="S23" s="234"/>
      <c r="T23" s="234"/>
      <c r="U23" s="234"/>
      <c r="V23" s="234"/>
      <c r="W23" s="234"/>
      <c r="X23" s="234"/>
      <c r="Y23" s="234"/>
      <c r="Z23" s="234"/>
      <c r="AA23" s="234"/>
      <c r="AB23" s="234"/>
      <c r="AC23" s="234"/>
      <c r="AD23" s="234"/>
      <c r="AE23" s="234"/>
      <c r="AF23" s="234"/>
      <c r="AG23" s="234"/>
      <c r="AH23" s="234"/>
      <c r="AI23" s="234"/>
      <c r="AJ23" s="234"/>
      <c r="AK23" s="234"/>
      <c r="AL23" s="234"/>
      <c r="AM23" s="234"/>
      <c r="AN23" s="234"/>
      <c r="AO23" s="234"/>
      <c r="AP23" s="234"/>
      <c r="AQ23" s="234"/>
      <c r="AR23" s="234"/>
      <c r="AS23" s="234"/>
      <c r="AT23" s="234"/>
      <c r="AU23" s="234"/>
      <c r="AV23" s="234"/>
      <c r="AW23" s="234"/>
      <c r="AX23" s="234"/>
    </row>
    <row r="24" spans="1:55">
      <c r="A24" s="234" t="s">
        <v>73</v>
      </c>
      <c r="B24" s="234"/>
      <c r="C24" s="234"/>
      <c r="D24" s="234"/>
      <c r="E24" s="234"/>
      <c r="F24" s="234"/>
      <c r="G24" s="234"/>
      <c r="H24" s="234"/>
      <c r="I24" s="234"/>
      <c r="J24" s="234"/>
      <c r="K24" s="234"/>
      <c r="L24" s="234"/>
      <c r="M24" s="234"/>
      <c r="N24" s="234"/>
      <c r="O24" s="234"/>
      <c r="P24" s="234"/>
      <c r="Q24" s="234"/>
      <c r="R24" s="234"/>
      <c r="S24" s="234"/>
      <c r="T24" s="234"/>
      <c r="U24" s="234"/>
      <c r="V24" s="234"/>
      <c r="W24" s="234"/>
      <c r="X24" s="234"/>
      <c r="Y24" s="234"/>
      <c r="Z24" s="234"/>
      <c r="AA24" s="234"/>
      <c r="AB24" s="234"/>
      <c r="AC24" s="234"/>
      <c r="AD24" s="234"/>
      <c r="AE24" s="234"/>
      <c r="AF24" s="234"/>
      <c r="AG24" s="234"/>
      <c r="AH24" s="234"/>
      <c r="AI24" s="234"/>
      <c r="AJ24" s="234"/>
      <c r="AK24" s="234"/>
      <c r="AL24" s="234"/>
      <c r="AM24" s="234"/>
      <c r="AN24" s="234"/>
      <c r="AO24" s="234"/>
      <c r="AP24" s="234"/>
      <c r="AQ24" s="234"/>
      <c r="AR24" s="234"/>
      <c r="AS24" s="234"/>
      <c r="AT24" s="234"/>
      <c r="AU24" s="234"/>
      <c r="AV24" s="234"/>
      <c r="AW24" s="234"/>
    </row>
    <row r="26" spans="1:55" s="273" customFormat="1" ht="19.5" customHeight="1">
      <c r="A26" s="3976" t="s">
        <v>817</v>
      </c>
      <c r="B26" s="3977"/>
      <c r="C26" s="3977"/>
      <c r="D26" s="3977"/>
      <c r="E26" s="3977"/>
      <c r="F26" s="3977"/>
      <c r="G26" s="3977"/>
      <c r="H26" s="3977"/>
      <c r="I26" s="3977"/>
      <c r="J26" s="3977"/>
      <c r="K26" s="3977"/>
      <c r="L26" s="3977"/>
      <c r="M26" s="3977"/>
      <c r="N26" s="3977"/>
      <c r="O26" s="3977"/>
      <c r="P26" s="3977"/>
      <c r="Q26" s="3977"/>
      <c r="R26" s="3977"/>
      <c r="S26" s="3977"/>
      <c r="T26" s="3977"/>
      <c r="U26" s="3977"/>
      <c r="V26" s="3977"/>
      <c r="W26" s="3977"/>
      <c r="X26" s="3977"/>
      <c r="Y26" s="3977"/>
      <c r="Z26" s="3977"/>
      <c r="AA26" s="3977"/>
      <c r="AB26" s="3977"/>
      <c r="AC26" s="3977"/>
      <c r="AD26" s="3977"/>
      <c r="AE26" s="3977"/>
      <c r="AF26" s="3977"/>
      <c r="AG26" s="3977"/>
      <c r="AH26" s="3977"/>
      <c r="AI26" s="3977"/>
      <c r="AJ26" s="3977"/>
      <c r="AK26" s="3977"/>
      <c r="AL26" s="3977"/>
      <c r="AM26" s="3977"/>
      <c r="AN26" s="3977"/>
      <c r="AO26" s="3977"/>
      <c r="AP26" s="3977"/>
      <c r="AQ26" s="3977"/>
      <c r="AR26" s="3977"/>
      <c r="AS26" s="3977"/>
      <c r="AT26" s="3977"/>
      <c r="AU26" s="3977"/>
      <c r="AV26" s="3977"/>
      <c r="AW26" s="3978"/>
    </row>
    <row r="27" spans="1:55" s="273" customFormat="1" ht="19.5" hidden="1" customHeight="1">
      <c r="A27" s="1637"/>
      <c r="B27" s="1638"/>
      <c r="C27" s="1638"/>
      <c r="D27" s="1638"/>
      <c r="E27" s="3979" t="s">
        <v>818</v>
      </c>
      <c r="F27" s="3979"/>
      <c r="G27" s="3979"/>
      <c r="H27" s="3979"/>
      <c r="I27" s="3979"/>
      <c r="J27" s="3979"/>
      <c r="K27" s="3979"/>
      <c r="L27" s="3979"/>
      <c r="M27" s="3979"/>
      <c r="N27" s="1638"/>
      <c r="O27" s="3979">
        <v>20</v>
      </c>
      <c r="P27" s="3979"/>
      <c r="Q27" s="3979"/>
      <c r="R27" s="3979"/>
      <c r="S27" s="3979"/>
      <c r="T27" s="3979" t="s">
        <v>819</v>
      </c>
      <c r="U27" s="3979"/>
      <c r="V27" s="1638" t="s">
        <v>820</v>
      </c>
      <c r="W27" s="3979">
        <v>100</v>
      </c>
      <c r="X27" s="3979"/>
      <c r="Y27" s="3979"/>
      <c r="Z27" s="3979"/>
      <c r="AA27" s="1638" t="s">
        <v>821</v>
      </c>
      <c r="AB27" s="1638"/>
      <c r="AC27" s="1638"/>
      <c r="AD27" s="1638"/>
      <c r="AE27" s="1638"/>
      <c r="AF27" s="1638"/>
      <c r="AG27" s="1638"/>
      <c r="AH27" s="1638"/>
      <c r="AI27" s="1638"/>
      <c r="AJ27" s="1638"/>
      <c r="AK27" s="1638"/>
      <c r="AL27" s="1638"/>
      <c r="AM27" s="1638"/>
      <c r="AN27" s="1639"/>
      <c r="AO27" s="1639"/>
      <c r="AP27" s="1639"/>
      <c r="AQ27" s="1639"/>
      <c r="AR27" s="1639"/>
      <c r="AS27" s="1638"/>
      <c r="AT27" s="1638"/>
      <c r="AU27" s="1638"/>
      <c r="AV27" s="1638"/>
      <c r="AW27" s="1640"/>
    </row>
    <row r="28" spans="1:55" s="273" customFormat="1" ht="19.5" customHeight="1">
      <c r="A28" s="3921" t="s">
        <v>822</v>
      </c>
      <c r="B28" s="3921"/>
      <c r="C28" s="3921"/>
      <c r="D28" s="3921"/>
      <c r="E28" s="3921"/>
      <c r="F28" s="3921"/>
      <c r="G28" s="3921"/>
      <c r="H28" s="3921"/>
      <c r="I28" s="3921"/>
      <c r="J28" s="3921"/>
      <c r="K28" s="3921"/>
      <c r="L28" s="3921"/>
      <c r="M28" s="3921"/>
      <c r="N28" s="3921"/>
      <c r="O28" s="3921"/>
      <c r="P28" s="3921"/>
      <c r="Q28" s="3921"/>
      <c r="R28" s="3921"/>
      <c r="S28" s="3921"/>
      <c r="T28" s="3921"/>
      <c r="U28" s="3921"/>
      <c r="V28" s="3921"/>
      <c r="W28" s="3921"/>
      <c r="X28" s="3921"/>
      <c r="Y28" s="3921"/>
      <c r="Z28" s="3921"/>
      <c r="AA28" s="3921"/>
      <c r="AB28" s="3921"/>
      <c r="AC28" s="3921"/>
      <c r="AD28" s="3921"/>
      <c r="AE28" s="3921"/>
      <c r="AF28" s="3921"/>
      <c r="AG28" s="3921"/>
      <c r="AH28" s="3921"/>
      <c r="AI28" s="3921"/>
      <c r="AJ28" s="3921"/>
      <c r="AK28" s="3921"/>
      <c r="AL28" s="3921"/>
      <c r="AM28" s="3921"/>
      <c r="AN28" s="3921"/>
      <c r="AO28" s="3921"/>
      <c r="AP28" s="3921"/>
      <c r="AQ28" s="3921"/>
      <c r="AR28" s="3921"/>
      <c r="AS28" s="3921"/>
      <c r="AT28" s="3921"/>
      <c r="AU28" s="3921"/>
      <c r="AV28" s="3921"/>
      <c r="AW28" s="3921"/>
      <c r="AY28" s="273">
        <f>SQRT(3)</f>
        <v>1.7320508075688772</v>
      </c>
      <c r="BA28" s="273">
        <v>3000</v>
      </c>
      <c r="BB28" s="273">
        <v>200</v>
      </c>
      <c r="BC28" s="273">
        <f>BA28*BB28</f>
        <v>600000</v>
      </c>
    </row>
    <row r="29" spans="1:55" s="273" customFormat="1" ht="19.5" customHeight="1">
      <c r="A29" s="3931" t="s">
        <v>823</v>
      </c>
      <c r="B29" s="3932"/>
      <c r="C29" s="3932"/>
      <c r="D29" s="3932"/>
      <c r="E29" s="3932"/>
      <c r="F29" s="3932"/>
      <c r="G29" s="3932"/>
      <c r="H29" s="3932"/>
      <c r="I29" s="3932"/>
      <c r="J29" s="3932"/>
      <c r="K29" s="3932"/>
      <c r="L29" s="3932"/>
      <c r="M29" s="1641"/>
      <c r="N29" s="1642"/>
      <c r="O29" s="1642">
        <v>1</v>
      </c>
      <c r="P29" s="1642" t="s">
        <v>824</v>
      </c>
      <c r="Q29" s="1642"/>
      <c r="R29" s="1642"/>
      <c r="S29" s="1642"/>
      <c r="T29" s="1642"/>
      <c r="U29" s="1642"/>
      <c r="V29" s="1642"/>
      <c r="W29" s="1642"/>
      <c r="X29" s="1642"/>
      <c r="Y29" s="1642"/>
      <c r="Z29" s="1642"/>
      <c r="AA29" s="1642"/>
      <c r="AB29" s="1642"/>
      <c r="AC29" s="1642"/>
      <c r="AD29" s="1642"/>
      <c r="AE29" s="1642"/>
      <c r="AF29" s="1642"/>
      <c r="AG29" s="1642"/>
      <c r="AH29" s="1642"/>
      <c r="AI29" s="1642"/>
      <c r="AJ29" s="1642"/>
      <c r="AK29" s="1642"/>
      <c r="AL29" s="1643"/>
      <c r="AM29" s="1642"/>
      <c r="AN29" s="1642"/>
      <c r="AO29" s="1642"/>
      <c r="AP29" s="1643"/>
      <c r="AQ29" s="1643"/>
      <c r="AR29" s="1642"/>
      <c r="AS29" s="1642"/>
      <c r="AT29" s="1642"/>
      <c r="AU29" s="1642"/>
      <c r="AV29" s="1642"/>
      <c r="AW29" s="1644"/>
    </row>
    <row r="30" spans="1:55" s="273" customFormat="1" ht="19.5" customHeight="1">
      <c r="A30" s="3931" t="s">
        <v>825</v>
      </c>
      <c r="B30" s="3932"/>
      <c r="C30" s="3932"/>
      <c r="D30" s="3932"/>
      <c r="E30" s="3932"/>
      <c r="F30" s="3932"/>
      <c r="G30" s="3932"/>
      <c r="H30" s="3932"/>
      <c r="I30" s="3932"/>
      <c r="J30" s="3932"/>
      <c r="K30" s="3932"/>
      <c r="L30" s="3932"/>
      <c r="M30" s="1641"/>
      <c r="N30" s="1643" t="s">
        <v>826</v>
      </c>
      <c r="O30" s="3932">
        <v>49.5</v>
      </c>
      <c r="P30" s="3932"/>
      <c r="Q30" s="3932"/>
      <c r="R30" s="3932"/>
      <c r="S30" s="3935" t="s">
        <v>827</v>
      </c>
      <c r="T30" s="3935"/>
      <c r="U30" s="3932">
        <v>50.5</v>
      </c>
      <c r="V30" s="3932"/>
      <c r="W30" s="3932"/>
      <c r="X30" s="3932"/>
      <c r="Y30" s="1643" t="s">
        <v>828</v>
      </c>
      <c r="Z30" s="1642" t="s">
        <v>829</v>
      </c>
      <c r="AA30" s="1642"/>
      <c r="AB30" s="1643"/>
      <c r="AC30" s="1643"/>
      <c r="AD30" s="1642"/>
      <c r="AE30" s="1642"/>
      <c r="AF30" s="1643"/>
      <c r="AG30" s="1643"/>
      <c r="AH30" s="1643"/>
      <c r="AI30" s="1643"/>
      <c r="AJ30" s="1643"/>
      <c r="AK30" s="1643"/>
      <c r="AL30" s="1643"/>
      <c r="AM30" s="1643"/>
      <c r="AN30" s="1643"/>
      <c r="AO30" s="1643"/>
      <c r="AP30" s="1643"/>
      <c r="AQ30" s="1643"/>
      <c r="AR30" s="1643"/>
      <c r="AS30" s="1643"/>
      <c r="AT30" s="1643"/>
      <c r="AU30" s="1643"/>
      <c r="AV30" s="1643"/>
      <c r="AW30" s="1645"/>
    </row>
    <row r="31" spans="1:55" s="273" customFormat="1" ht="19.5" customHeight="1">
      <c r="A31" s="3931" t="s">
        <v>830</v>
      </c>
      <c r="B31" s="3932"/>
      <c r="C31" s="3932"/>
      <c r="D31" s="3932"/>
      <c r="E31" s="3932"/>
      <c r="F31" s="3932"/>
      <c r="G31" s="3932"/>
      <c r="H31" s="3932"/>
      <c r="I31" s="3932"/>
      <c r="J31" s="3932"/>
      <c r="K31" s="3932"/>
      <c r="L31" s="3932"/>
      <c r="M31" s="1641"/>
      <c r="N31" s="1643" t="s">
        <v>831</v>
      </c>
      <c r="O31" s="3932">
        <v>4</v>
      </c>
      <c r="P31" s="3932"/>
      <c r="Q31" s="3932"/>
      <c r="R31" s="3932"/>
      <c r="S31" s="3935" t="s">
        <v>592</v>
      </c>
      <c r="T31" s="3935"/>
      <c r="U31" s="3932">
        <v>20</v>
      </c>
      <c r="V31" s="3932"/>
      <c r="W31" s="3932"/>
      <c r="X31" s="3932"/>
      <c r="Y31" s="1643" t="s">
        <v>828</v>
      </c>
      <c r="Z31" s="1643" t="s">
        <v>832</v>
      </c>
      <c r="AA31" s="1643"/>
      <c r="AB31" s="1643"/>
      <c r="AC31" s="1646"/>
      <c r="AD31" s="1646"/>
      <c r="AE31" s="1646"/>
      <c r="AF31" s="1646"/>
      <c r="AG31" s="1646"/>
      <c r="AH31" s="1646"/>
      <c r="AI31" s="1646"/>
      <c r="AJ31" s="1646"/>
      <c r="AK31" s="1646"/>
      <c r="AL31" s="1643"/>
      <c r="AM31" s="1646"/>
      <c r="AN31" s="1646"/>
      <c r="AO31" s="1646"/>
      <c r="AP31" s="1647"/>
      <c r="AQ31" s="1647"/>
      <c r="AR31" s="1646"/>
      <c r="AS31" s="1646"/>
      <c r="AT31" s="1646"/>
      <c r="AU31" s="1643"/>
      <c r="AV31" s="1643"/>
      <c r="AW31" s="1645"/>
    </row>
    <row r="32" spans="1:55" ht="21.95" customHeight="1">
      <c r="A32" s="268"/>
      <c r="B32" s="264"/>
      <c r="C32" s="264"/>
      <c r="D32" s="264"/>
      <c r="E32" s="264"/>
      <c r="F32" s="264"/>
      <c r="G32" s="264"/>
      <c r="H32" s="264"/>
      <c r="I32" s="264"/>
      <c r="J32" s="264"/>
      <c r="K32" s="264"/>
      <c r="L32" s="275"/>
      <c r="M32" s="276"/>
      <c r="N32" s="276"/>
      <c r="O32" s="3936" t="s">
        <v>833</v>
      </c>
      <c r="P32" s="3936"/>
      <c r="Q32" s="3936"/>
      <c r="R32" s="3936"/>
      <c r="S32" s="3936"/>
      <c r="T32" s="3936"/>
      <c r="U32" s="3936"/>
      <c r="V32" s="3936"/>
      <c r="W32" s="3936"/>
      <c r="X32" s="3936"/>
      <c r="Y32" s="3936"/>
      <c r="Z32" s="3936"/>
      <c r="AA32" s="3936"/>
      <c r="AB32" s="3936"/>
      <c r="AC32" s="3936"/>
      <c r="AD32" s="3936"/>
      <c r="AE32" s="3936"/>
      <c r="AF32" s="3937"/>
      <c r="AG32" s="3937"/>
      <c r="AH32" s="3937"/>
      <c r="AI32" s="3937"/>
      <c r="AJ32" s="3937"/>
      <c r="AK32" s="3937"/>
      <c r="AL32" s="3937"/>
      <c r="AM32" s="264"/>
      <c r="AN32" s="264"/>
      <c r="AO32" s="251"/>
      <c r="AP32" s="251"/>
      <c r="AQ32" s="264"/>
      <c r="AR32" s="264"/>
      <c r="AS32" s="264"/>
      <c r="AT32" s="264"/>
      <c r="AU32" s="275"/>
      <c r="AV32" s="275"/>
      <c r="AW32" s="277"/>
      <c r="BC32" s="273">
        <v>100</v>
      </c>
    </row>
    <row r="33" spans="1:55" s="273" customFormat="1" ht="30" customHeight="1">
      <c r="A33" s="3933" t="s">
        <v>834</v>
      </c>
      <c r="B33" s="3934"/>
      <c r="C33" s="3934"/>
      <c r="D33" s="3934"/>
      <c r="E33" s="3934"/>
      <c r="F33" s="3934"/>
      <c r="G33" s="3934"/>
      <c r="H33" s="3934"/>
      <c r="I33" s="3934"/>
      <c r="J33" s="3934"/>
      <c r="K33" s="3934"/>
      <c r="L33" s="3934"/>
      <c r="M33" s="3934"/>
      <c r="N33" s="3934"/>
      <c r="O33" s="3934"/>
      <c r="P33" s="3934"/>
      <c r="Q33" s="3934"/>
      <c r="R33" s="3934"/>
      <c r="S33" s="3934"/>
      <c r="T33" s="3934"/>
      <c r="U33" s="3934"/>
      <c r="V33" s="3934"/>
      <c r="W33" s="3934"/>
      <c r="X33" s="3934"/>
      <c r="Y33" s="3934"/>
      <c r="Z33" s="3934"/>
      <c r="AA33" s="3934"/>
      <c r="AB33" s="3934"/>
      <c r="AC33" s="3934"/>
      <c r="AD33" s="3934"/>
      <c r="AE33" s="3934"/>
      <c r="AF33" s="3934"/>
      <c r="AG33" s="3934"/>
      <c r="AH33" s="3934"/>
      <c r="AI33" s="3934"/>
      <c r="AJ33" s="3934"/>
      <c r="AK33" s="3934"/>
      <c r="AL33" s="3934"/>
      <c r="AM33" s="3934"/>
      <c r="AN33" s="3934"/>
      <c r="AO33" s="3934"/>
      <c r="AP33" s="3934"/>
      <c r="AQ33" s="3934"/>
      <c r="AR33" s="3934"/>
      <c r="AS33" s="3934"/>
      <c r="AT33" s="3934"/>
      <c r="AU33" s="3934"/>
      <c r="AV33" s="3934"/>
      <c r="AW33" s="3934"/>
      <c r="BC33" t="e">
        <f>#REF!/BC32/1.732</f>
        <v>#REF!</v>
      </c>
    </row>
    <row r="34" spans="1:55" s="273" customFormat="1" ht="19.5" customHeight="1">
      <c r="A34" s="287"/>
      <c r="B34" s="287"/>
      <c r="C34" s="288"/>
      <c r="D34" s="288"/>
      <c r="E34" s="289"/>
      <c r="F34" s="289" t="s">
        <v>849</v>
      </c>
      <c r="G34" s="289"/>
      <c r="H34" s="289"/>
      <c r="I34" s="290"/>
      <c r="J34" s="290"/>
      <c r="K34" s="290"/>
      <c r="L34" s="287"/>
      <c r="M34" s="288"/>
      <c r="N34" s="291"/>
      <c r="O34" s="291" t="s">
        <v>850</v>
      </c>
      <c r="P34" s="291"/>
      <c r="Q34" s="291"/>
      <c r="R34" s="291"/>
      <c r="S34" s="291"/>
      <c r="T34" s="291"/>
      <c r="U34" s="291"/>
      <c r="V34" s="291"/>
      <c r="W34" s="291"/>
      <c r="X34" s="291"/>
      <c r="Y34" s="292"/>
      <c r="Z34" s="292"/>
      <c r="AA34" s="273" t="s">
        <v>851</v>
      </c>
      <c r="AB34" s="292"/>
      <c r="AC34" s="292"/>
      <c r="AD34" s="292"/>
      <c r="AE34" s="292"/>
      <c r="AF34" s="292"/>
      <c r="AG34" s="292"/>
      <c r="AH34" s="292"/>
      <c r="AI34" s="292"/>
      <c r="AJ34" s="292"/>
      <c r="AK34" s="292"/>
      <c r="AL34" s="292"/>
      <c r="AM34" s="292"/>
      <c r="AN34" s="292"/>
      <c r="AO34" s="292"/>
      <c r="AP34" s="292"/>
      <c r="AQ34" s="293"/>
      <c r="AR34" s="293"/>
      <c r="AS34" s="293"/>
      <c r="AT34" s="293"/>
      <c r="AU34" s="293"/>
      <c r="AV34" s="293"/>
      <c r="AW34" s="293"/>
      <c r="AY34" s="283"/>
      <c r="AZ34" s="283"/>
      <c r="BA34" s="283"/>
      <c r="BB34" s="284"/>
    </row>
    <row r="35" spans="1:55" s="273" customFormat="1" ht="19.5" customHeight="1">
      <c r="A35" s="275"/>
      <c r="B35" s="275"/>
      <c r="C35" s="276" t="s">
        <v>852</v>
      </c>
      <c r="D35" s="276"/>
      <c r="E35" s="276"/>
      <c r="F35" s="276"/>
      <c r="G35" s="276"/>
      <c r="H35" s="275"/>
      <c r="I35" s="275"/>
      <c r="J35" s="276"/>
      <c r="K35" s="278"/>
      <c r="L35" s="278"/>
      <c r="M35" s="278"/>
      <c r="N35" s="279" t="s">
        <v>825</v>
      </c>
      <c r="O35" s="278"/>
      <c r="P35" s="278"/>
      <c r="Q35" s="278"/>
      <c r="R35" s="278"/>
      <c r="S35" s="276" t="s">
        <v>853</v>
      </c>
      <c r="T35" s="276"/>
      <c r="U35" s="3950" t="s">
        <v>854</v>
      </c>
      <c r="V35" s="3951"/>
      <c r="W35" s="276" t="s">
        <v>855</v>
      </c>
      <c r="Y35" t="s">
        <v>4353</v>
      </c>
      <c r="Z35" s="276"/>
      <c r="AA35" s="276"/>
      <c r="AB35" s="276"/>
      <c r="AC35" s="276"/>
      <c r="AD35" s="275"/>
      <c r="AE35" s="275"/>
      <c r="AF35" s="280"/>
      <c r="AG35" s="281"/>
      <c r="AH35" s="275" t="s">
        <v>856</v>
      </c>
      <c r="AI35" s="3952" t="s">
        <v>857</v>
      </c>
      <c r="AJ35" s="3952"/>
      <c r="AK35" s="3952"/>
      <c r="AL35" s="3952"/>
      <c r="AM35" s="3953"/>
      <c r="AN35" s="3953"/>
      <c r="AO35" s="3953"/>
      <c r="AP35" s="3953"/>
      <c r="AQ35" s="275"/>
      <c r="AR35" s="3928"/>
      <c r="AS35" s="3928"/>
      <c r="AT35" s="3928"/>
      <c r="AU35" s="3928"/>
      <c r="AV35" s="275"/>
      <c r="AW35" s="277"/>
      <c r="AY35" s="282" t="s">
        <v>838</v>
      </c>
      <c r="AZ35" s="282"/>
      <c r="BA35" s="283"/>
    </row>
    <row r="36" spans="1:55" s="273" customFormat="1" ht="30" customHeight="1">
      <c r="A36" s="3710" t="s">
        <v>839</v>
      </c>
      <c r="B36" s="3711"/>
      <c r="C36" s="3711"/>
      <c r="D36" s="3712"/>
      <c r="E36" s="3714" t="s">
        <v>840</v>
      </c>
      <c r="F36" s="3714"/>
      <c r="G36" s="3714"/>
      <c r="H36" s="3714"/>
      <c r="I36" s="3710" t="s">
        <v>841</v>
      </c>
      <c r="J36" s="3711"/>
      <c r="K36" s="3711"/>
      <c r="L36" s="3711"/>
      <c r="M36" s="3712"/>
      <c r="N36" s="3981" t="s">
        <v>858</v>
      </c>
      <c r="O36" s="3982"/>
      <c r="P36" s="3983" t="s">
        <v>859</v>
      </c>
      <c r="Q36" s="3984"/>
      <c r="R36" s="3949" t="s">
        <v>860</v>
      </c>
      <c r="S36" s="1713"/>
      <c r="T36" s="1713"/>
      <c r="U36" s="1713"/>
      <c r="V36" s="1713"/>
      <c r="W36" s="1713"/>
      <c r="X36" s="1713"/>
      <c r="Y36" s="1713"/>
      <c r="Z36" s="1714"/>
      <c r="AA36" s="3720" t="s">
        <v>861</v>
      </c>
      <c r="AB36" s="3954"/>
      <c r="AC36" s="3954"/>
      <c r="AD36" s="3954"/>
      <c r="AE36" s="3954"/>
      <c r="AF36" s="3954"/>
      <c r="AG36" s="3954"/>
      <c r="AH36" s="3955"/>
      <c r="AI36" s="3720" t="s">
        <v>862</v>
      </c>
      <c r="AJ36" s="3954"/>
      <c r="AK36" s="3954"/>
      <c r="AL36" s="3954"/>
      <c r="AM36" s="3954"/>
      <c r="AN36" s="3954"/>
      <c r="AO36" s="3954"/>
      <c r="AP36" s="3955"/>
      <c r="AQ36" s="3957" t="s">
        <v>863</v>
      </c>
      <c r="AR36" s="3958"/>
      <c r="AS36" s="3958"/>
      <c r="AT36" s="3958"/>
      <c r="AU36" s="3958"/>
      <c r="AV36" s="3958"/>
      <c r="AW36" s="3959"/>
      <c r="AY36" s="294">
        <f>IF(E37=0.2,2,5)</f>
        <v>5</v>
      </c>
      <c r="AZ36" s="285">
        <f>IF(AY36=2,5,2)</f>
        <v>2</v>
      </c>
      <c r="BA36" s="283"/>
    </row>
    <row r="37" spans="1:55" s="273" customFormat="1" ht="19.5" customHeight="1">
      <c r="A37" s="3639" t="s">
        <v>864</v>
      </c>
      <c r="B37" s="3639"/>
      <c r="C37" s="3639"/>
      <c r="D37" s="3639"/>
      <c r="E37" s="3974">
        <f>AF16</f>
        <v>0</v>
      </c>
      <c r="F37" s="3974"/>
      <c r="G37" s="3974"/>
      <c r="H37" s="3974"/>
      <c r="I37" s="3944">
        <v>100</v>
      </c>
      <c r="J37" s="3945"/>
      <c r="K37" s="3945"/>
      <c r="L37" s="295" t="s">
        <v>865</v>
      </c>
      <c r="M37" s="296" t="s">
        <v>866</v>
      </c>
      <c r="N37" s="3985">
        <v>1</v>
      </c>
      <c r="O37" s="3986"/>
      <c r="P37" s="3986"/>
      <c r="Q37" s="3987"/>
      <c r="R37" s="3946">
        <v>5</v>
      </c>
      <c r="S37" s="3946"/>
      <c r="T37" s="3946"/>
      <c r="U37" s="3946"/>
      <c r="V37" s="3946"/>
      <c r="W37" s="3946"/>
      <c r="X37" s="3946"/>
      <c r="Y37" s="3946"/>
      <c r="Z37" s="3946"/>
      <c r="AA37" s="3947" t="e">
        <f>(R37/($S$31))*16+4</f>
        <v>#VALUE!</v>
      </c>
      <c r="AB37" s="3947"/>
      <c r="AC37" s="3947"/>
      <c r="AD37" s="3947"/>
      <c r="AE37" s="3947"/>
      <c r="AF37" s="3947"/>
      <c r="AG37" s="3947"/>
      <c r="AH37" s="3947"/>
      <c r="AI37" s="3943">
        <v>20.0153</v>
      </c>
      <c r="AJ37" s="3943"/>
      <c r="AK37" s="3943"/>
      <c r="AL37" s="3943"/>
      <c r="AM37" s="3943"/>
      <c r="AN37" s="3943"/>
      <c r="AO37" s="3943"/>
      <c r="AP37" s="3943"/>
      <c r="AQ37" s="3940" t="e">
        <f t="shared" ref="AQ37:AQ42" si="0">ROUND((AI37-AA37)/16*100*$AZ$82,1)/$AZ$82</f>
        <v>#VALUE!</v>
      </c>
      <c r="AR37" s="3941"/>
      <c r="AS37" s="3941"/>
      <c r="AT37" s="3941"/>
      <c r="AU37" s="3941"/>
      <c r="AV37" s="3941"/>
      <c r="AW37" s="3942"/>
      <c r="AY37" s="273">
        <f t="shared" ref="AY37:AY42" si="1">$AR$81*I37/100</f>
        <v>0</v>
      </c>
      <c r="AZ37" s="283"/>
      <c r="BA37" s="283"/>
      <c r="BB37" s="300">
        <f>AR35</f>
        <v>0</v>
      </c>
    </row>
    <row r="38" spans="1:55" s="273" customFormat="1" ht="19.5" customHeight="1">
      <c r="A38" s="3639"/>
      <c r="B38" s="3639"/>
      <c r="C38" s="3639"/>
      <c r="D38" s="3639"/>
      <c r="E38" s="3974"/>
      <c r="F38" s="3974"/>
      <c r="G38" s="3974"/>
      <c r="H38" s="3974"/>
      <c r="I38" s="3944">
        <v>80</v>
      </c>
      <c r="J38" s="3945"/>
      <c r="K38" s="3945"/>
      <c r="L38" s="295" t="s">
        <v>867</v>
      </c>
      <c r="M38" s="296" t="s">
        <v>868</v>
      </c>
      <c r="N38" s="3988"/>
      <c r="O38" s="3989"/>
      <c r="P38" s="3989"/>
      <c r="Q38" s="3990"/>
      <c r="R38" s="3946">
        <v>4</v>
      </c>
      <c r="S38" s="3946"/>
      <c r="T38" s="3946"/>
      <c r="U38" s="3946"/>
      <c r="V38" s="3946"/>
      <c r="W38" s="3946"/>
      <c r="X38" s="3946"/>
      <c r="Y38" s="3946"/>
      <c r="Z38" s="3946"/>
      <c r="AA38" s="3947">
        <v>16.8</v>
      </c>
      <c r="AB38" s="3947"/>
      <c r="AC38" s="3947"/>
      <c r="AD38" s="3947"/>
      <c r="AE38" s="3947"/>
      <c r="AF38" s="3947"/>
      <c r="AG38" s="3947"/>
      <c r="AH38" s="3947"/>
      <c r="AI38" s="3943">
        <v>16.813400000000001</v>
      </c>
      <c r="AJ38" s="3943"/>
      <c r="AK38" s="3943"/>
      <c r="AL38" s="3943"/>
      <c r="AM38" s="3943"/>
      <c r="AN38" s="3943"/>
      <c r="AO38" s="3943"/>
      <c r="AP38" s="3943"/>
      <c r="AQ38" s="3940" t="e">
        <f t="shared" si="0"/>
        <v>#DIV/0!</v>
      </c>
      <c r="AR38" s="3941"/>
      <c r="AS38" s="3941"/>
      <c r="AT38" s="3941"/>
      <c r="AU38" s="3941"/>
      <c r="AV38" s="3941"/>
      <c r="AW38" s="3942"/>
      <c r="AY38" s="273">
        <f t="shared" si="1"/>
        <v>0</v>
      </c>
      <c r="AZ38" s="283"/>
      <c r="BA38" s="283"/>
      <c r="BB38" s="273">
        <f>AR35*0.8</f>
        <v>0</v>
      </c>
    </row>
    <row r="39" spans="1:55" s="273" customFormat="1" ht="19.5" customHeight="1">
      <c r="A39" s="3639"/>
      <c r="B39" s="3639"/>
      <c r="C39" s="3639"/>
      <c r="D39" s="3639"/>
      <c r="E39" s="3974"/>
      <c r="F39" s="3974"/>
      <c r="G39" s="3974"/>
      <c r="H39" s="3974"/>
      <c r="I39" s="3944">
        <v>60</v>
      </c>
      <c r="J39" s="3945"/>
      <c r="K39" s="3945"/>
      <c r="L39" s="295" t="s">
        <v>867</v>
      </c>
      <c r="M39" s="296" t="s">
        <v>868</v>
      </c>
      <c r="N39" s="3988"/>
      <c r="O39" s="3989"/>
      <c r="P39" s="3989"/>
      <c r="Q39" s="3990"/>
      <c r="R39" s="3946">
        <v>3</v>
      </c>
      <c r="S39" s="3946"/>
      <c r="T39" s="3946"/>
      <c r="U39" s="3946"/>
      <c r="V39" s="3946"/>
      <c r="W39" s="3946"/>
      <c r="X39" s="3946"/>
      <c r="Y39" s="3946"/>
      <c r="Z39" s="3946"/>
      <c r="AA39" s="3947">
        <v>13.6</v>
      </c>
      <c r="AB39" s="3947"/>
      <c r="AC39" s="3947"/>
      <c r="AD39" s="3947"/>
      <c r="AE39" s="3947"/>
      <c r="AF39" s="3947"/>
      <c r="AG39" s="3947"/>
      <c r="AH39" s="3947"/>
      <c r="AI39" s="3943">
        <v>13.6112</v>
      </c>
      <c r="AJ39" s="3943"/>
      <c r="AK39" s="3943"/>
      <c r="AL39" s="3943"/>
      <c r="AM39" s="3943"/>
      <c r="AN39" s="3943"/>
      <c r="AO39" s="3943"/>
      <c r="AP39" s="3943"/>
      <c r="AQ39" s="3940" t="e">
        <f t="shared" si="0"/>
        <v>#DIV/0!</v>
      </c>
      <c r="AR39" s="3941"/>
      <c r="AS39" s="3941"/>
      <c r="AT39" s="3941"/>
      <c r="AU39" s="3941"/>
      <c r="AV39" s="3941"/>
      <c r="AW39" s="3942"/>
      <c r="AY39" s="273">
        <f t="shared" si="1"/>
        <v>0</v>
      </c>
      <c r="AZ39" s="283"/>
      <c r="BA39" s="283"/>
      <c r="BB39" s="273">
        <f>AR35*0.6</f>
        <v>0</v>
      </c>
    </row>
    <row r="40" spans="1:55" s="273" customFormat="1" ht="19.5" customHeight="1">
      <c r="A40" s="3639"/>
      <c r="B40" s="3639"/>
      <c r="C40" s="3639"/>
      <c r="D40" s="3639"/>
      <c r="E40" s="3974"/>
      <c r="F40" s="3974"/>
      <c r="G40" s="3974"/>
      <c r="H40" s="3974"/>
      <c r="I40" s="3944">
        <v>40</v>
      </c>
      <c r="J40" s="3945"/>
      <c r="K40" s="3945"/>
      <c r="L40" s="295" t="s">
        <v>867</v>
      </c>
      <c r="M40" s="296" t="s">
        <v>868</v>
      </c>
      <c r="N40" s="3988"/>
      <c r="O40" s="3989"/>
      <c r="P40" s="3989"/>
      <c r="Q40" s="3990"/>
      <c r="R40" s="3946">
        <v>2</v>
      </c>
      <c r="S40" s="3946"/>
      <c r="T40" s="3946"/>
      <c r="U40" s="3946"/>
      <c r="V40" s="3946"/>
      <c r="W40" s="3946"/>
      <c r="X40" s="3946"/>
      <c r="Y40" s="3946"/>
      <c r="Z40" s="3946"/>
      <c r="AA40" s="3947">
        <v>10.4</v>
      </c>
      <c r="AB40" s="3947"/>
      <c r="AC40" s="3947"/>
      <c r="AD40" s="3947"/>
      <c r="AE40" s="3947"/>
      <c r="AF40" s="3947"/>
      <c r="AG40" s="3947"/>
      <c r="AH40" s="3947"/>
      <c r="AI40" s="3943">
        <v>10.409599999999999</v>
      </c>
      <c r="AJ40" s="3943"/>
      <c r="AK40" s="3943"/>
      <c r="AL40" s="3943"/>
      <c r="AM40" s="3943"/>
      <c r="AN40" s="3943"/>
      <c r="AO40" s="3943"/>
      <c r="AP40" s="3943"/>
      <c r="AQ40" s="3940" t="e">
        <f t="shared" si="0"/>
        <v>#DIV/0!</v>
      </c>
      <c r="AR40" s="3941"/>
      <c r="AS40" s="3941"/>
      <c r="AT40" s="3941"/>
      <c r="AU40" s="3941"/>
      <c r="AV40" s="3941"/>
      <c r="AW40" s="3942"/>
      <c r="AY40" s="273">
        <f t="shared" si="1"/>
        <v>0</v>
      </c>
      <c r="AZ40" s="283"/>
      <c r="BA40" s="283"/>
      <c r="BB40" s="273">
        <f>AR35*0.4</f>
        <v>0</v>
      </c>
    </row>
    <row r="41" spans="1:55" s="273" customFormat="1" ht="19.5" customHeight="1">
      <c r="A41" s="3639"/>
      <c r="B41" s="3639"/>
      <c r="C41" s="3639"/>
      <c r="D41" s="3639"/>
      <c r="E41" s="3974"/>
      <c r="F41" s="3974"/>
      <c r="G41" s="3974"/>
      <c r="H41" s="3974"/>
      <c r="I41" s="3944">
        <v>20</v>
      </c>
      <c r="J41" s="3945"/>
      <c r="K41" s="3945"/>
      <c r="L41" s="295" t="s">
        <v>867</v>
      </c>
      <c r="M41" s="296" t="s">
        <v>868</v>
      </c>
      <c r="N41" s="3988"/>
      <c r="O41" s="3989"/>
      <c r="P41" s="3989"/>
      <c r="Q41" s="3990"/>
      <c r="R41" s="3946">
        <v>1</v>
      </c>
      <c r="S41" s="3946"/>
      <c r="T41" s="3946"/>
      <c r="U41" s="3946"/>
      <c r="V41" s="3946"/>
      <c r="W41" s="3946"/>
      <c r="X41" s="3946"/>
      <c r="Y41" s="3946"/>
      <c r="Z41" s="3946"/>
      <c r="AA41" s="3947">
        <v>7.2</v>
      </c>
      <c r="AB41" s="3947"/>
      <c r="AC41" s="3947"/>
      <c r="AD41" s="3947"/>
      <c r="AE41" s="3947"/>
      <c r="AF41" s="3947"/>
      <c r="AG41" s="3947"/>
      <c r="AH41" s="3947"/>
      <c r="AI41" s="3943">
        <v>7.2027999999999999</v>
      </c>
      <c r="AJ41" s="3943"/>
      <c r="AK41" s="3943"/>
      <c r="AL41" s="3943"/>
      <c r="AM41" s="3943"/>
      <c r="AN41" s="3943"/>
      <c r="AO41" s="3943"/>
      <c r="AP41" s="3943"/>
      <c r="AQ41" s="3940" t="e">
        <f t="shared" si="0"/>
        <v>#DIV/0!</v>
      </c>
      <c r="AR41" s="3941"/>
      <c r="AS41" s="3941"/>
      <c r="AT41" s="3941"/>
      <c r="AU41" s="3941"/>
      <c r="AV41" s="3941"/>
      <c r="AW41" s="3942"/>
      <c r="AY41" s="273">
        <f t="shared" si="1"/>
        <v>0</v>
      </c>
      <c r="AZ41" s="283"/>
      <c r="BA41" s="283"/>
      <c r="BB41" s="273">
        <f>AR35*0.2</f>
        <v>0</v>
      </c>
    </row>
    <row r="42" spans="1:55" s="273" customFormat="1" ht="19.5" customHeight="1">
      <c r="A42" s="3639"/>
      <c r="B42" s="3639"/>
      <c r="C42" s="3639"/>
      <c r="D42" s="3639"/>
      <c r="E42" s="3974"/>
      <c r="F42" s="3974"/>
      <c r="G42" s="3974"/>
      <c r="H42" s="3974"/>
      <c r="I42" s="3944">
        <v>0</v>
      </c>
      <c r="J42" s="3945"/>
      <c r="K42" s="3945"/>
      <c r="L42" s="295" t="s">
        <v>867</v>
      </c>
      <c r="M42" s="296" t="s">
        <v>868</v>
      </c>
      <c r="N42" s="3991"/>
      <c r="O42" s="1749"/>
      <c r="P42" s="1749"/>
      <c r="Q42" s="1749"/>
      <c r="R42" s="3946">
        <v>0</v>
      </c>
      <c r="S42" s="3946"/>
      <c r="T42" s="3946"/>
      <c r="U42" s="3946"/>
      <c r="V42" s="3946"/>
      <c r="W42" s="3946"/>
      <c r="X42" s="3946"/>
      <c r="Y42" s="3946"/>
      <c r="Z42" s="3946"/>
      <c r="AA42" s="3947">
        <v>4</v>
      </c>
      <c r="AB42" s="3947"/>
      <c r="AC42" s="3947"/>
      <c r="AD42" s="3947"/>
      <c r="AE42" s="3947"/>
      <c r="AF42" s="3947"/>
      <c r="AG42" s="3947"/>
      <c r="AH42" s="3947"/>
      <c r="AI42" s="3943">
        <v>4.0029000000000003</v>
      </c>
      <c r="AJ42" s="3943"/>
      <c r="AK42" s="3943"/>
      <c r="AL42" s="3943"/>
      <c r="AM42" s="3943"/>
      <c r="AN42" s="3943"/>
      <c r="AO42" s="3943"/>
      <c r="AP42" s="3943"/>
      <c r="AQ42" s="3940" t="e">
        <f t="shared" si="0"/>
        <v>#DIV/0!</v>
      </c>
      <c r="AR42" s="3941"/>
      <c r="AS42" s="3941"/>
      <c r="AT42" s="3941"/>
      <c r="AU42" s="3941"/>
      <c r="AV42" s="3941"/>
      <c r="AW42" s="3942"/>
      <c r="AY42" s="273">
        <f t="shared" si="1"/>
        <v>0</v>
      </c>
      <c r="AZ42" s="283"/>
      <c r="BA42" s="283"/>
      <c r="BB42" s="273">
        <f>AR38*0.6</f>
        <v>0</v>
      </c>
    </row>
    <row r="43" spans="1:55" s="273" customFormat="1" ht="19.5" customHeight="1">
      <c r="B43" s="287"/>
      <c r="C43" s="288"/>
      <c r="D43" s="288"/>
      <c r="E43" s="289"/>
      <c r="F43" s="287"/>
      <c r="G43" s="289"/>
      <c r="H43" s="289"/>
      <c r="I43" s="290"/>
      <c r="J43" s="290"/>
      <c r="K43" s="290"/>
      <c r="L43" s="287"/>
      <c r="M43" s="288"/>
      <c r="N43" s="291"/>
      <c r="O43" s="291"/>
      <c r="P43" s="291"/>
      <c r="Q43" s="291"/>
      <c r="R43" s="291"/>
      <c r="S43" s="291"/>
      <c r="T43" s="291"/>
      <c r="U43" s="291"/>
      <c r="V43" s="291"/>
      <c r="W43" s="291"/>
      <c r="X43" s="291"/>
      <c r="Y43" s="292"/>
      <c r="Z43" s="292"/>
      <c r="AB43" s="292"/>
      <c r="AC43" s="292"/>
      <c r="AD43" s="292"/>
      <c r="AE43" s="292"/>
      <c r="AF43" s="292"/>
      <c r="AG43" s="292"/>
      <c r="AH43" s="292"/>
      <c r="AI43" s="292"/>
      <c r="AJ43" s="292"/>
      <c r="AK43" s="292"/>
      <c r="AL43" s="292"/>
      <c r="AM43" s="292"/>
      <c r="AN43" s="292"/>
      <c r="AO43" s="292"/>
      <c r="AP43" s="292"/>
      <c r="AQ43" s="293"/>
      <c r="AR43" s="293"/>
      <c r="AS43" s="293"/>
      <c r="AT43" s="293"/>
      <c r="AU43" s="293"/>
      <c r="AV43" s="293"/>
      <c r="AW43" s="293"/>
      <c r="AY43" s="283"/>
      <c r="AZ43" s="283"/>
      <c r="BA43" s="283"/>
      <c r="BB43" s="284"/>
    </row>
    <row r="44" spans="1:55" s="273" customFormat="1" ht="19.5" customHeight="1">
      <c r="A44" s="275"/>
      <c r="B44" s="275"/>
      <c r="C44" s="276" t="s">
        <v>869</v>
      </c>
      <c r="D44" s="276"/>
      <c r="E44" s="276"/>
      <c r="F44" s="276" t="s">
        <v>870</v>
      </c>
      <c r="G44" s="276"/>
      <c r="H44" s="275"/>
      <c r="I44" s="275"/>
      <c r="J44" s="276"/>
      <c r="K44" s="278"/>
      <c r="L44" s="278"/>
      <c r="M44" s="278"/>
      <c r="N44" s="279" t="s">
        <v>871</v>
      </c>
      <c r="O44" s="278"/>
      <c r="P44" s="278"/>
      <c r="Q44" s="278"/>
      <c r="R44" s="278"/>
      <c r="S44" s="276" t="s">
        <v>872</v>
      </c>
      <c r="T44" s="276"/>
      <c r="U44" s="3950" t="s">
        <v>873</v>
      </c>
      <c r="V44" s="3951"/>
      <c r="W44" s="276" t="s">
        <v>874</v>
      </c>
      <c r="Y44" s="276" t="s">
        <v>919</v>
      </c>
      <c r="Z44" s="276"/>
      <c r="AA44" s="276"/>
      <c r="AB44" s="276"/>
      <c r="AC44" s="276"/>
      <c r="AD44" s="275"/>
      <c r="AE44" s="275"/>
      <c r="AF44" s="280"/>
      <c r="AG44" s="281"/>
      <c r="AH44" s="275" t="s">
        <v>875</v>
      </c>
      <c r="AI44" s="3952" t="s">
        <v>876</v>
      </c>
      <c r="AJ44" s="3952"/>
      <c r="AK44" s="3952"/>
      <c r="AL44" s="3952"/>
      <c r="AM44" s="3953"/>
      <c r="AN44" s="3953"/>
      <c r="AO44" s="3953"/>
      <c r="AP44" s="3953"/>
      <c r="AQ44" s="275"/>
      <c r="AR44" s="3928"/>
      <c r="AS44" s="3928"/>
      <c r="AT44" s="3928"/>
      <c r="AU44" s="3928"/>
      <c r="AV44" s="275"/>
      <c r="AW44" s="277"/>
      <c r="AY44" s="282" t="s">
        <v>877</v>
      </c>
      <c r="AZ44" s="282"/>
      <c r="BA44" s="283"/>
    </row>
    <row r="45" spans="1:55" s="273" customFormat="1" ht="30" customHeight="1">
      <c r="A45" s="3710" t="s">
        <v>878</v>
      </c>
      <c r="B45" s="3711"/>
      <c r="C45" s="3711"/>
      <c r="D45" s="3712"/>
      <c r="E45" s="3714" t="s">
        <v>879</v>
      </c>
      <c r="F45" s="3714"/>
      <c r="G45" s="3714"/>
      <c r="H45" s="3714"/>
      <c r="I45" s="3710" t="s">
        <v>880</v>
      </c>
      <c r="J45" s="3711"/>
      <c r="K45" s="3711"/>
      <c r="L45" s="3711"/>
      <c r="M45" s="3712"/>
      <c r="N45" s="3981" t="s">
        <v>858</v>
      </c>
      <c r="O45" s="3982"/>
      <c r="P45" s="3983" t="s">
        <v>881</v>
      </c>
      <c r="Q45" s="3984"/>
      <c r="R45" s="3949" t="s">
        <v>882</v>
      </c>
      <c r="S45" s="1713"/>
      <c r="T45" s="1713"/>
      <c r="U45" s="1713"/>
      <c r="V45" s="1713"/>
      <c r="W45" s="1713"/>
      <c r="X45" s="1713"/>
      <c r="Y45" s="1713"/>
      <c r="Z45" s="1714"/>
      <c r="AA45" s="3720" t="s">
        <v>883</v>
      </c>
      <c r="AB45" s="3954"/>
      <c r="AC45" s="3954"/>
      <c r="AD45" s="3954"/>
      <c r="AE45" s="3954"/>
      <c r="AF45" s="3954"/>
      <c r="AG45" s="3954"/>
      <c r="AH45" s="3955"/>
      <c r="AI45" s="3720" t="s">
        <v>884</v>
      </c>
      <c r="AJ45" s="3954"/>
      <c r="AK45" s="3954"/>
      <c r="AL45" s="3954"/>
      <c r="AM45" s="3954"/>
      <c r="AN45" s="3954"/>
      <c r="AO45" s="3954"/>
      <c r="AP45" s="3955"/>
      <c r="AQ45" s="3957" t="s">
        <v>885</v>
      </c>
      <c r="AR45" s="3958"/>
      <c r="AS45" s="3958"/>
      <c r="AT45" s="3958"/>
      <c r="AU45" s="3958"/>
      <c r="AV45" s="3958"/>
      <c r="AW45" s="3959"/>
      <c r="AY45" s="294">
        <f>IF(E46=0.2,2,5)</f>
        <v>5</v>
      </c>
      <c r="AZ45" s="285">
        <f>IF(AY45=2,5,2)</f>
        <v>2</v>
      </c>
      <c r="BA45" s="283"/>
    </row>
    <row r="46" spans="1:55" s="273" customFormat="1" ht="19.5" customHeight="1">
      <c r="A46" s="3673" t="s">
        <v>886</v>
      </c>
      <c r="B46" s="3673"/>
      <c r="C46" s="3673"/>
      <c r="D46" s="3673"/>
      <c r="E46" s="3974">
        <f>AF25</f>
        <v>0</v>
      </c>
      <c r="F46" s="3974"/>
      <c r="G46" s="3974"/>
      <c r="H46" s="3974"/>
      <c r="I46" s="3944">
        <v>100</v>
      </c>
      <c r="J46" s="3945"/>
      <c r="K46" s="3945"/>
      <c r="L46" s="295" t="s">
        <v>835</v>
      </c>
      <c r="M46" s="296" t="s">
        <v>128</v>
      </c>
      <c r="N46" s="3985">
        <v>1</v>
      </c>
      <c r="O46" s="3986"/>
      <c r="P46" s="3986"/>
      <c r="Q46" s="3987"/>
      <c r="R46" s="3946">
        <v>5</v>
      </c>
      <c r="S46" s="3946"/>
      <c r="T46" s="3946"/>
      <c r="U46" s="3946"/>
      <c r="V46" s="3946"/>
      <c r="W46" s="3946"/>
      <c r="X46" s="3946"/>
      <c r="Y46" s="3946"/>
      <c r="Z46" s="3946"/>
      <c r="AA46" s="3947" t="e">
        <f>(R46/($S$31))*16+4</f>
        <v>#VALUE!</v>
      </c>
      <c r="AB46" s="3947"/>
      <c r="AC46" s="3947"/>
      <c r="AD46" s="3947"/>
      <c r="AE46" s="3947"/>
      <c r="AF46" s="3947"/>
      <c r="AG46" s="3947"/>
      <c r="AH46" s="3947"/>
      <c r="AI46" s="3943">
        <v>20.0153</v>
      </c>
      <c r="AJ46" s="3943"/>
      <c r="AK46" s="3943"/>
      <c r="AL46" s="3943"/>
      <c r="AM46" s="3943"/>
      <c r="AN46" s="3943"/>
      <c r="AO46" s="3943"/>
      <c r="AP46" s="3943"/>
      <c r="AQ46" s="3940" t="e">
        <f t="shared" ref="AQ46:AQ51" si="2">ROUND((AI46-AA46)/16*100*$AZ$82,1)/$AZ$82</f>
        <v>#VALUE!</v>
      </c>
      <c r="AR46" s="3941"/>
      <c r="AS46" s="3941"/>
      <c r="AT46" s="3941"/>
      <c r="AU46" s="3941"/>
      <c r="AV46" s="3941"/>
      <c r="AW46" s="3942"/>
      <c r="AY46" s="273">
        <f t="shared" ref="AY46:AY51" si="3">$AR$81*I46/100</f>
        <v>0</v>
      </c>
      <c r="AZ46" s="283"/>
      <c r="BA46" s="283"/>
      <c r="BB46" s="300">
        <f>AR44</f>
        <v>0</v>
      </c>
    </row>
    <row r="47" spans="1:55" s="273" customFormat="1" ht="19.5" customHeight="1">
      <c r="A47" s="3673"/>
      <c r="B47" s="3673"/>
      <c r="C47" s="3673"/>
      <c r="D47" s="3673"/>
      <c r="E47" s="3974"/>
      <c r="F47" s="3974"/>
      <c r="G47" s="3974"/>
      <c r="H47" s="3974"/>
      <c r="I47" s="3944">
        <v>80</v>
      </c>
      <c r="J47" s="3945"/>
      <c r="K47" s="3945"/>
      <c r="L47" s="295" t="s">
        <v>835</v>
      </c>
      <c r="M47" s="296" t="s">
        <v>128</v>
      </c>
      <c r="N47" s="3988"/>
      <c r="O47" s="3989"/>
      <c r="P47" s="3989"/>
      <c r="Q47" s="3990"/>
      <c r="R47" s="3946">
        <v>4</v>
      </c>
      <c r="S47" s="3946"/>
      <c r="T47" s="3946"/>
      <c r="U47" s="3946"/>
      <c r="V47" s="3946"/>
      <c r="W47" s="3946"/>
      <c r="X47" s="3946"/>
      <c r="Y47" s="3946"/>
      <c r="Z47" s="3946"/>
      <c r="AA47" s="3947">
        <v>16.8</v>
      </c>
      <c r="AB47" s="3947"/>
      <c r="AC47" s="3947"/>
      <c r="AD47" s="3947"/>
      <c r="AE47" s="3947"/>
      <c r="AF47" s="3947"/>
      <c r="AG47" s="3947"/>
      <c r="AH47" s="3947"/>
      <c r="AI47" s="3943">
        <v>16.813400000000001</v>
      </c>
      <c r="AJ47" s="3943"/>
      <c r="AK47" s="3943"/>
      <c r="AL47" s="3943"/>
      <c r="AM47" s="3943"/>
      <c r="AN47" s="3943"/>
      <c r="AO47" s="3943"/>
      <c r="AP47" s="3943"/>
      <c r="AQ47" s="3940" t="e">
        <f t="shared" si="2"/>
        <v>#DIV/0!</v>
      </c>
      <c r="AR47" s="3941"/>
      <c r="AS47" s="3941"/>
      <c r="AT47" s="3941"/>
      <c r="AU47" s="3941"/>
      <c r="AV47" s="3941"/>
      <c r="AW47" s="3942"/>
      <c r="AY47" s="273">
        <f t="shared" si="3"/>
        <v>0</v>
      </c>
      <c r="AZ47" s="283"/>
      <c r="BA47" s="283"/>
      <c r="BB47" s="273">
        <f>AR44*0.8</f>
        <v>0</v>
      </c>
    </row>
    <row r="48" spans="1:55" s="273" customFormat="1" ht="19.5" customHeight="1">
      <c r="A48" s="3673"/>
      <c r="B48" s="3673"/>
      <c r="C48" s="3673"/>
      <c r="D48" s="3673"/>
      <c r="E48" s="3974"/>
      <c r="F48" s="3974"/>
      <c r="G48" s="3974"/>
      <c r="H48" s="3974"/>
      <c r="I48" s="3944">
        <v>60</v>
      </c>
      <c r="J48" s="3945"/>
      <c r="K48" s="3945"/>
      <c r="L48" s="295" t="s">
        <v>835</v>
      </c>
      <c r="M48" s="296" t="s">
        <v>128</v>
      </c>
      <c r="N48" s="3988"/>
      <c r="O48" s="3989"/>
      <c r="P48" s="3989"/>
      <c r="Q48" s="3990"/>
      <c r="R48" s="3946">
        <v>3</v>
      </c>
      <c r="S48" s="3946"/>
      <c r="T48" s="3946"/>
      <c r="U48" s="3946"/>
      <c r="V48" s="3946"/>
      <c r="W48" s="3946"/>
      <c r="X48" s="3946"/>
      <c r="Y48" s="3946"/>
      <c r="Z48" s="3946"/>
      <c r="AA48" s="3947">
        <v>13.6</v>
      </c>
      <c r="AB48" s="3947"/>
      <c r="AC48" s="3947"/>
      <c r="AD48" s="3947"/>
      <c r="AE48" s="3947"/>
      <c r="AF48" s="3947"/>
      <c r="AG48" s="3947"/>
      <c r="AH48" s="3947"/>
      <c r="AI48" s="3943">
        <v>13.6112</v>
      </c>
      <c r="AJ48" s="3943"/>
      <c r="AK48" s="3943"/>
      <c r="AL48" s="3943"/>
      <c r="AM48" s="3943"/>
      <c r="AN48" s="3943"/>
      <c r="AO48" s="3943"/>
      <c r="AP48" s="3943"/>
      <c r="AQ48" s="3940" t="e">
        <f t="shared" si="2"/>
        <v>#DIV/0!</v>
      </c>
      <c r="AR48" s="3941"/>
      <c r="AS48" s="3941"/>
      <c r="AT48" s="3941"/>
      <c r="AU48" s="3941"/>
      <c r="AV48" s="3941"/>
      <c r="AW48" s="3942"/>
      <c r="AY48" s="273">
        <f t="shared" si="3"/>
        <v>0</v>
      </c>
      <c r="AZ48" s="283"/>
      <c r="BA48" s="283"/>
      <c r="BB48" s="273">
        <f>AR44*0.6</f>
        <v>0</v>
      </c>
    </row>
    <row r="49" spans="1:54" s="273" customFormat="1" ht="19.5" customHeight="1">
      <c r="A49" s="3673"/>
      <c r="B49" s="3673"/>
      <c r="C49" s="3673"/>
      <c r="D49" s="3673"/>
      <c r="E49" s="3974"/>
      <c r="F49" s="3974"/>
      <c r="G49" s="3974"/>
      <c r="H49" s="3974"/>
      <c r="I49" s="3944">
        <v>40</v>
      </c>
      <c r="J49" s="3945"/>
      <c r="K49" s="3945"/>
      <c r="L49" s="295" t="s">
        <v>835</v>
      </c>
      <c r="M49" s="296" t="s">
        <v>128</v>
      </c>
      <c r="N49" s="3988"/>
      <c r="O49" s="3989"/>
      <c r="P49" s="3989"/>
      <c r="Q49" s="3990"/>
      <c r="R49" s="3946">
        <v>2</v>
      </c>
      <c r="S49" s="3946"/>
      <c r="T49" s="3946"/>
      <c r="U49" s="3946"/>
      <c r="V49" s="3946"/>
      <c r="W49" s="3946"/>
      <c r="X49" s="3946"/>
      <c r="Y49" s="3946"/>
      <c r="Z49" s="3946"/>
      <c r="AA49" s="3947">
        <v>10.4</v>
      </c>
      <c r="AB49" s="3947"/>
      <c r="AC49" s="3947"/>
      <c r="AD49" s="3947"/>
      <c r="AE49" s="3947"/>
      <c r="AF49" s="3947"/>
      <c r="AG49" s="3947"/>
      <c r="AH49" s="3947"/>
      <c r="AI49" s="3943">
        <v>10.409599999999999</v>
      </c>
      <c r="AJ49" s="3943"/>
      <c r="AK49" s="3943"/>
      <c r="AL49" s="3943"/>
      <c r="AM49" s="3943"/>
      <c r="AN49" s="3943"/>
      <c r="AO49" s="3943"/>
      <c r="AP49" s="3943"/>
      <c r="AQ49" s="3940" t="e">
        <f t="shared" si="2"/>
        <v>#DIV/0!</v>
      </c>
      <c r="AR49" s="3941"/>
      <c r="AS49" s="3941"/>
      <c r="AT49" s="3941"/>
      <c r="AU49" s="3941"/>
      <c r="AV49" s="3941"/>
      <c r="AW49" s="3942"/>
      <c r="AY49" s="273">
        <f t="shared" si="3"/>
        <v>0</v>
      </c>
      <c r="AZ49" s="283"/>
      <c r="BA49" s="283"/>
      <c r="BB49" s="273">
        <f>AR44*0.4</f>
        <v>0</v>
      </c>
    </row>
    <row r="50" spans="1:54" s="273" customFormat="1" ht="19.5" customHeight="1">
      <c r="A50" s="3673"/>
      <c r="B50" s="3673"/>
      <c r="C50" s="3673"/>
      <c r="D50" s="3673"/>
      <c r="E50" s="3974"/>
      <c r="F50" s="3974"/>
      <c r="G50" s="3974"/>
      <c r="H50" s="3974"/>
      <c r="I50" s="3944">
        <v>20</v>
      </c>
      <c r="J50" s="3945"/>
      <c r="K50" s="3945"/>
      <c r="L50" s="295" t="s">
        <v>835</v>
      </c>
      <c r="M50" s="296" t="s">
        <v>128</v>
      </c>
      <c r="N50" s="3988"/>
      <c r="O50" s="3989"/>
      <c r="P50" s="3989"/>
      <c r="Q50" s="3990"/>
      <c r="R50" s="3946">
        <v>1</v>
      </c>
      <c r="S50" s="3946"/>
      <c r="T50" s="3946"/>
      <c r="U50" s="3946"/>
      <c r="V50" s="3946"/>
      <c r="W50" s="3946"/>
      <c r="X50" s="3946"/>
      <c r="Y50" s="3946"/>
      <c r="Z50" s="3946"/>
      <c r="AA50" s="3947">
        <v>7.2</v>
      </c>
      <c r="AB50" s="3947"/>
      <c r="AC50" s="3947"/>
      <c r="AD50" s="3947"/>
      <c r="AE50" s="3947"/>
      <c r="AF50" s="3947"/>
      <c r="AG50" s="3947"/>
      <c r="AH50" s="3947"/>
      <c r="AI50" s="3943">
        <v>7.2027999999999999</v>
      </c>
      <c r="AJ50" s="3943"/>
      <c r="AK50" s="3943"/>
      <c r="AL50" s="3943"/>
      <c r="AM50" s="3943"/>
      <c r="AN50" s="3943"/>
      <c r="AO50" s="3943"/>
      <c r="AP50" s="3943"/>
      <c r="AQ50" s="3940" t="e">
        <f t="shared" si="2"/>
        <v>#DIV/0!</v>
      </c>
      <c r="AR50" s="3941"/>
      <c r="AS50" s="3941"/>
      <c r="AT50" s="3941"/>
      <c r="AU50" s="3941"/>
      <c r="AV50" s="3941"/>
      <c r="AW50" s="3942"/>
      <c r="AY50" s="273">
        <f t="shared" si="3"/>
        <v>0</v>
      </c>
      <c r="AZ50" s="283"/>
      <c r="BA50" s="283"/>
      <c r="BB50" s="273">
        <f>AR44*0.2</f>
        <v>0</v>
      </c>
    </row>
    <row r="51" spans="1:54" s="273" customFormat="1" ht="19.5" customHeight="1">
      <c r="A51" s="3673"/>
      <c r="B51" s="3673"/>
      <c r="C51" s="3673"/>
      <c r="D51" s="3673"/>
      <c r="E51" s="3974"/>
      <c r="F51" s="3974"/>
      <c r="G51" s="3974"/>
      <c r="H51" s="3974"/>
      <c r="I51" s="3944">
        <v>0</v>
      </c>
      <c r="J51" s="3945"/>
      <c r="K51" s="3945"/>
      <c r="L51" s="295" t="s">
        <v>835</v>
      </c>
      <c r="M51" s="296" t="s">
        <v>128</v>
      </c>
      <c r="N51" s="3991"/>
      <c r="O51" s="1749"/>
      <c r="P51" s="1749"/>
      <c r="Q51" s="1749"/>
      <c r="R51" s="3946">
        <v>0</v>
      </c>
      <c r="S51" s="3946"/>
      <c r="T51" s="3946"/>
      <c r="U51" s="3946"/>
      <c r="V51" s="3946"/>
      <c r="W51" s="3946"/>
      <c r="X51" s="3946"/>
      <c r="Y51" s="3946"/>
      <c r="Z51" s="3946"/>
      <c r="AA51" s="3947">
        <v>4</v>
      </c>
      <c r="AB51" s="3947"/>
      <c r="AC51" s="3947"/>
      <c r="AD51" s="3947"/>
      <c r="AE51" s="3947"/>
      <c r="AF51" s="3947"/>
      <c r="AG51" s="3947"/>
      <c r="AH51" s="3947"/>
      <c r="AI51" s="3943">
        <v>4.0029000000000003</v>
      </c>
      <c r="AJ51" s="3943"/>
      <c r="AK51" s="3943"/>
      <c r="AL51" s="3943"/>
      <c r="AM51" s="3943"/>
      <c r="AN51" s="3943"/>
      <c r="AO51" s="3943"/>
      <c r="AP51" s="3943"/>
      <c r="AQ51" s="3940" t="e">
        <f t="shared" si="2"/>
        <v>#DIV/0!</v>
      </c>
      <c r="AR51" s="3941"/>
      <c r="AS51" s="3941"/>
      <c r="AT51" s="3941"/>
      <c r="AU51" s="3941"/>
      <c r="AV51" s="3941"/>
      <c r="AW51" s="3942"/>
      <c r="AY51" s="273">
        <f t="shared" si="3"/>
        <v>0</v>
      </c>
      <c r="AZ51" s="283"/>
      <c r="BA51" s="283"/>
      <c r="BB51" s="273">
        <f>AR47*0.6</f>
        <v>0</v>
      </c>
    </row>
    <row r="52" spans="1:54" s="273" customFormat="1" ht="19.5" customHeight="1">
      <c r="A52" s="301"/>
      <c r="B52" s="301"/>
      <c r="C52" s="301"/>
      <c r="D52" s="301"/>
      <c r="E52" s="289"/>
      <c r="F52" s="289"/>
      <c r="G52" s="289"/>
      <c r="H52" s="289"/>
      <c r="I52" s="290"/>
      <c r="J52" s="290"/>
      <c r="K52" s="290"/>
      <c r="L52" s="287"/>
      <c r="M52" s="288"/>
      <c r="N52" s="302"/>
      <c r="O52" s="302"/>
      <c r="P52" s="302"/>
      <c r="Q52" s="302"/>
      <c r="R52" s="303"/>
      <c r="S52" s="303"/>
      <c r="T52" s="303"/>
      <c r="U52" s="303"/>
      <c r="V52" s="303"/>
      <c r="W52" s="303"/>
      <c r="X52" s="303"/>
      <c r="Y52" s="303"/>
      <c r="Z52" s="303"/>
      <c r="AA52" s="292"/>
      <c r="AB52" s="292"/>
      <c r="AC52" s="292"/>
      <c r="AD52" s="292"/>
      <c r="AE52" s="292"/>
      <c r="AF52" s="292"/>
      <c r="AG52" s="292"/>
      <c r="AH52" s="292"/>
      <c r="AI52" s="304"/>
      <c r="AJ52" s="304"/>
      <c r="AK52" s="304"/>
      <c r="AL52" s="304"/>
      <c r="AM52" s="304"/>
      <c r="AN52" s="304"/>
      <c r="AO52" s="304"/>
      <c r="AP52" s="304"/>
      <c r="AQ52" s="305"/>
      <c r="AR52" s="305"/>
      <c r="AS52" s="305"/>
      <c r="AT52" s="305"/>
      <c r="AU52" s="305"/>
      <c r="AV52" s="305"/>
      <c r="AW52" s="305"/>
      <c r="AZ52" s="283"/>
      <c r="BA52" s="283"/>
    </row>
    <row r="53" spans="1:54" s="273" customFormat="1" ht="19.5" customHeight="1">
      <c r="A53" s="275"/>
      <c r="B53" s="275"/>
      <c r="C53" s="276" t="s">
        <v>887</v>
      </c>
      <c r="D53" s="276"/>
      <c r="E53" s="276"/>
      <c r="F53" s="276"/>
      <c r="G53" s="276"/>
      <c r="H53" s="275"/>
      <c r="I53" s="275"/>
      <c r="J53" s="276"/>
      <c r="K53" s="278"/>
      <c r="L53" s="278"/>
      <c r="M53" s="278"/>
      <c r="N53" s="279" t="s">
        <v>825</v>
      </c>
      <c r="O53" s="278"/>
      <c r="P53" s="278"/>
      <c r="Q53" s="278"/>
      <c r="R53" s="278"/>
      <c r="S53" s="276" t="s">
        <v>853</v>
      </c>
      <c r="T53" s="276"/>
      <c r="U53" s="3950" t="s">
        <v>854</v>
      </c>
      <c r="V53" s="3951"/>
      <c r="W53" s="276" t="s">
        <v>888</v>
      </c>
      <c r="Y53" s="276" t="s">
        <v>918</v>
      </c>
      <c r="Z53" s="276"/>
      <c r="AA53" s="276"/>
      <c r="AB53" s="276"/>
      <c r="AC53" s="276"/>
      <c r="AD53" s="275"/>
      <c r="AE53" s="275"/>
      <c r="AF53" s="280"/>
      <c r="AG53" s="281"/>
      <c r="AH53" s="275" t="s">
        <v>889</v>
      </c>
      <c r="AI53" s="3952" t="s">
        <v>890</v>
      </c>
      <c r="AJ53" s="3952"/>
      <c r="AK53" s="3952"/>
      <c r="AL53" s="3952"/>
      <c r="AM53" s="3953"/>
      <c r="AN53" s="3953"/>
      <c r="AO53" s="3953"/>
      <c r="AP53" s="3953"/>
      <c r="AQ53" s="3956" t="s">
        <v>891</v>
      </c>
      <c r="AR53" s="1970"/>
      <c r="AS53" s="1970"/>
      <c r="AT53" s="1970"/>
      <c r="AU53" s="1970"/>
      <c r="AV53" s="275"/>
      <c r="AW53" s="277"/>
      <c r="AY53" s="282" t="s">
        <v>838</v>
      </c>
      <c r="AZ53" s="282"/>
      <c r="BA53" s="283"/>
    </row>
    <row r="54" spans="1:54" s="273" customFormat="1" ht="30" customHeight="1">
      <c r="A54" s="3710" t="s">
        <v>839</v>
      </c>
      <c r="B54" s="3711"/>
      <c r="C54" s="3711"/>
      <c r="D54" s="3712"/>
      <c r="E54" s="3714" t="s">
        <v>840</v>
      </c>
      <c r="F54" s="3714"/>
      <c r="G54" s="3714"/>
      <c r="H54" s="3714"/>
      <c r="I54" s="3710" t="s">
        <v>841</v>
      </c>
      <c r="J54" s="3711"/>
      <c r="K54" s="3711"/>
      <c r="L54" s="3711"/>
      <c r="M54" s="3712"/>
      <c r="N54" s="3964" t="s">
        <v>892</v>
      </c>
      <c r="O54" s="3965"/>
      <c r="P54" s="3966" t="s">
        <v>893</v>
      </c>
      <c r="Q54" s="3967"/>
      <c r="R54" s="3720" t="s">
        <v>894</v>
      </c>
      <c r="S54" s="3954"/>
      <c r="T54" s="3954"/>
      <c r="U54" s="3954"/>
      <c r="V54" s="3954"/>
      <c r="W54" s="3954"/>
      <c r="X54" s="3954"/>
      <c r="Y54" s="3954"/>
      <c r="Z54" s="3955"/>
      <c r="AA54" s="3720" t="s">
        <v>883</v>
      </c>
      <c r="AB54" s="3954"/>
      <c r="AC54" s="3954"/>
      <c r="AD54" s="3954"/>
      <c r="AE54" s="3954"/>
      <c r="AF54" s="3954"/>
      <c r="AG54" s="3954"/>
      <c r="AH54" s="3955"/>
      <c r="AI54" s="3720" t="s">
        <v>884</v>
      </c>
      <c r="AJ54" s="3954"/>
      <c r="AK54" s="3954"/>
      <c r="AL54" s="3954"/>
      <c r="AM54" s="3954"/>
      <c r="AN54" s="3954"/>
      <c r="AO54" s="3954"/>
      <c r="AP54" s="3955"/>
      <c r="AQ54" s="3957" t="s">
        <v>885</v>
      </c>
      <c r="AR54" s="3958"/>
      <c r="AS54" s="3958"/>
      <c r="AT54" s="3958"/>
      <c r="AU54" s="3958"/>
      <c r="AV54" s="3958"/>
      <c r="AW54" s="3959"/>
      <c r="AY54" s="294">
        <f>IF(E55=0.2,2,5)</f>
        <v>5</v>
      </c>
      <c r="AZ54" s="285">
        <f>IF(AY54=2,5,2)</f>
        <v>2</v>
      </c>
      <c r="BA54" s="283"/>
    </row>
    <row r="55" spans="1:54" s="273" customFormat="1" ht="19.5" customHeight="1">
      <c r="A55" s="3673" t="s">
        <v>895</v>
      </c>
      <c r="B55" s="3673"/>
      <c r="C55" s="3673"/>
      <c r="D55" s="3673"/>
      <c r="E55" s="3962">
        <f>AF36</f>
        <v>0</v>
      </c>
      <c r="F55" s="3962"/>
      <c r="G55" s="3962"/>
      <c r="H55" s="3962"/>
      <c r="I55" s="3944">
        <v>100</v>
      </c>
      <c r="J55" s="3945"/>
      <c r="K55" s="3945"/>
      <c r="L55" s="295" t="s">
        <v>896</v>
      </c>
      <c r="M55" s="296" t="s">
        <v>836</v>
      </c>
      <c r="N55" s="3963">
        <v>1</v>
      </c>
      <c r="O55" s="3963"/>
      <c r="P55" s="3963"/>
      <c r="Q55" s="3963"/>
      <c r="R55" s="3960">
        <v>1000</v>
      </c>
      <c r="S55" s="3960"/>
      <c r="T55" s="3960"/>
      <c r="U55" s="3960"/>
      <c r="V55" s="3960"/>
      <c r="W55" s="3960"/>
      <c r="X55" s="3960"/>
      <c r="Y55" s="3960"/>
      <c r="Z55" s="3960"/>
      <c r="AA55" s="3925" t="e">
        <f>(R55/($S$32))*16+4</f>
        <v>#DIV/0!</v>
      </c>
      <c r="AB55" s="3925"/>
      <c r="AC55" s="3925"/>
      <c r="AD55" s="3925"/>
      <c r="AE55" s="3925"/>
      <c r="AF55" s="3925"/>
      <c r="AG55" s="3925"/>
      <c r="AH55" s="3925"/>
      <c r="AI55" s="3961">
        <v>19.983699999999999</v>
      </c>
      <c r="AJ55" s="3961"/>
      <c r="AK55" s="3961"/>
      <c r="AL55" s="3961"/>
      <c r="AM55" s="3961"/>
      <c r="AN55" s="3961"/>
      <c r="AO55" s="3961"/>
      <c r="AP55" s="3961"/>
      <c r="AQ55" s="3940" t="e">
        <f t="shared" ref="AQ55:AQ64" si="4">ROUND((AI55-AA55)/16*100*$AZ$83,1)/$AZ$83</f>
        <v>#DIV/0!</v>
      </c>
      <c r="AR55" s="3941"/>
      <c r="AS55" s="3941"/>
      <c r="AT55" s="3941"/>
      <c r="AU55" s="3941"/>
      <c r="AV55" s="3941"/>
      <c r="AW55" s="3942"/>
      <c r="AY55" s="273">
        <f t="shared" ref="AY55:AY64" si="5">$AR$82*I55/100</f>
        <v>0</v>
      </c>
      <c r="AZ55" s="283"/>
      <c r="BA55" s="283"/>
      <c r="BB55" s="300" t="e">
        <f>#REF!</f>
        <v>#REF!</v>
      </c>
    </row>
    <row r="56" spans="1:54" s="273" customFormat="1" ht="19.5" customHeight="1">
      <c r="A56" s="3673"/>
      <c r="B56" s="3673"/>
      <c r="C56" s="3673"/>
      <c r="D56" s="3673"/>
      <c r="E56" s="3962"/>
      <c r="F56" s="3962"/>
      <c r="G56" s="3962"/>
      <c r="H56" s="3962"/>
      <c r="I56" s="3944">
        <v>80</v>
      </c>
      <c r="J56" s="3945"/>
      <c r="K56" s="3945"/>
      <c r="L56" s="295" t="s">
        <v>896</v>
      </c>
      <c r="M56" s="296" t="s">
        <v>836</v>
      </c>
      <c r="N56" s="3963"/>
      <c r="O56" s="3963"/>
      <c r="P56" s="3963"/>
      <c r="Q56" s="3963"/>
      <c r="R56" s="3960">
        <v>800</v>
      </c>
      <c r="S56" s="3960"/>
      <c r="T56" s="3960"/>
      <c r="U56" s="3960"/>
      <c r="V56" s="3960"/>
      <c r="W56" s="3960"/>
      <c r="X56" s="3960"/>
      <c r="Y56" s="3960"/>
      <c r="Z56" s="3960"/>
      <c r="AA56" s="3925" t="e">
        <f>(R56/($S$32))*16+4</f>
        <v>#DIV/0!</v>
      </c>
      <c r="AB56" s="3925"/>
      <c r="AC56" s="3925"/>
      <c r="AD56" s="3925"/>
      <c r="AE56" s="3925"/>
      <c r="AF56" s="3925"/>
      <c r="AG56" s="3925"/>
      <c r="AH56" s="3925"/>
      <c r="AI56" s="3961">
        <v>16.7883</v>
      </c>
      <c r="AJ56" s="3961"/>
      <c r="AK56" s="3961"/>
      <c r="AL56" s="3961"/>
      <c r="AM56" s="3961"/>
      <c r="AN56" s="3961"/>
      <c r="AO56" s="3961"/>
      <c r="AP56" s="3961"/>
      <c r="AQ56" s="3940" t="e">
        <f t="shared" si="4"/>
        <v>#DIV/0!</v>
      </c>
      <c r="AR56" s="3941"/>
      <c r="AS56" s="3941"/>
      <c r="AT56" s="3941"/>
      <c r="AU56" s="3941"/>
      <c r="AV56" s="3941"/>
      <c r="AW56" s="3942"/>
      <c r="AY56" s="273">
        <f t="shared" si="5"/>
        <v>0</v>
      </c>
      <c r="AZ56" s="283"/>
      <c r="BA56" s="283"/>
      <c r="BB56" s="273" t="e">
        <f>#REF!*0.8</f>
        <v>#REF!</v>
      </c>
    </row>
    <row r="57" spans="1:54" s="273" customFormat="1" ht="19.5" customHeight="1">
      <c r="A57" s="3673"/>
      <c r="B57" s="3673"/>
      <c r="C57" s="3673"/>
      <c r="D57" s="3673"/>
      <c r="E57" s="3962"/>
      <c r="F57" s="3962"/>
      <c r="G57" s="3962"/>
      <c r="H57" s="3962"/>
      <c r="I57" s="3944">
        <v>60</v>
      </c>
      <c r="J57" s="3945"/>
      <c r="K57" s="3945"/>
      <c r="L57" s="306" t="s">
        <v>896</v>
      </c>
      <c r="M57" s="307" t="s">
        <v>836</v>
      </c>
      <c r="N57" s="3963"/>
      <c r="O57" s="3963"/>
      <c r="P57" s="3963"/>
      <c r="Q57" s="3963"/>
      <c r="R57" s="3960">
        <v>600</v>
      </c>
      <c r="S57" s="3960"/>
      <c r="T57" s="3960"/>
      <c r="U57" s="3960"/>
      <c r="V57" s="3960"/>
      <c r="W57" s="3960"/>
      <c r="X57" s="3960"/>
      <c r="Y57" s="3960"/>
      <c r="Z57" s="3960"/>
      <c r="AA57" s="3925" t="e">
        <f t="shared" ref="AA57:AA64" si="6">(R57/($S$32))*16+4</f>
        <v>#DIV/0!</v>
      </c>
      <c r="AB57" s="3925"/>
      <c r="AC57" s="3925"/>
      <c r="AD57" s="3925"/>
      <c r="AE57" s="3925"/>
      <c r="AF57" s="3925"/>
      <c r="AG57" s="3925"/>
      <c r="AH57" s="3925"/>
      <c r="AI57" s="3961">
        <v>13.5905</v>
      </c>
      <c r="AJ57" s="3961"/>
      <c r="AK57" s="3961"/>
      <c r="AL57" s="3961"/>
      <c r="AM57" s="3961"/>
      <c r="AN57" s="3961"/>
      <c r="AO57" s="3961"/>
      <c r="AP57" s="3961"/>
      <c r="AQ57" s="3940" t="e">
        <f t="shared" si="4"/>
        <v>#DIV/0!</v>
      </c>
      <c r="AR57" s="3941"/>
      <c r="AS57" s="3941"/>
      <c r="AT57" s="3941"/>
      <c r="AU57" s="3941"/>
      <c r="AV57" s="3941"/>
      <c r="AW57" s="3942"/>
      <c r="AY57" s="273">
        <f t="shared" si="5"/>
        <v>0</v>
      </c>
      <c r="AZ57" s="283"/>
      <c r="BA57" s="283"/>
      <c r="BB57" s="273" t="e">
        <f>#REF!*0.6</f>
        <v>#REF!</v>
      </c>
    </row>
    <row r="58" spans="1:54" s="273" customFormat="1" ht="19.5" customHeight="1">
      <c r="A58" s="3673"/>
      <c r="B58" s="3673"/>
      <c r="C58" s="3673"/>
      <c r="D58" s="3673"/>
      <c r="E58" s="3962"/>
      <c r="F58" s="3962"/>
      <c r="G58" s="3962"/>
      <c r="H58" s="3962"/>
      <c r="I58" s="3944">
        <v>40</v>
      </c>
      <c r="J58" s="3945"/>
      <c r="K58" s="3945"/>
      <c r="L58" s="306" t="s">
        <v>896</v>
      </c>
      <c r="M58" s="307" t="s">
        <v>836</v>
      </c>
      <c r="N58" s="3963"/>
      <c r="O58" s="3963"/>
      <c r="P58" s="3963"/>
      <c r="Q58" s="3963"/>
      <c r="R58" s="3960">
        <v>400</v>
      </c>
      <c r="S58" s="3960"/>
      <c r="T58" s="3960"/>
      <c r="U58" s="3960"/>
      <c r="V58" s="3960"/>
      <c r="W58" s="3960"/>
      <c r="X58" s="3960"/>
      <c r="Y58" s="3960"/>
      <c r="Z58" s="3960"/>
      <c r="AA58" s="3925" t="e">
        <f t="shared" si="6"/>
        <v>#DIV/0!</v>
      </c>
      <c r="AB58" s="3925"/>
      <c r="AC58" s="3925"/>
      <c r="AD58" s="3925"/>
      <c r="AE58" s="3925"/>
      <c r="AF58" s="3925"/>
      <c r="AG58" s="3925"/>
      <c r="AH58" s="3925"/>
      <c r="AI58" s="3961">
        <v>10.395</v>
      </c>
      <c r="AJ58" s="3961"/>
      <c r="AK58" s="3961"/>
      <c r="AL58" s="3961"/>
      <c r="AM58" s="3961"/>
      <c r="AN58" s="3961"/>
      <c r="AO58" s="3961"/>
      <c r="AP58" s="3961"/>
      <c r="AQ58" s="3940" t="e">
        <f t="shared" si="4"/>
        <v>#DIV/0!</v>
      </c>
      <c r="AR58" s="3941"/>
      <c r="AS58" s="3941"/>
      <c r="AT58" s="3941"/>
      <c r="AU58" s="3941"/>
      <c r="AV58" s="3941"/>
      <c r="AW58" s="3942"/>
      <c r="AY58" s="273">
        <f t="shared" si="5"/>
        <v>0</v>
      </c>
      <c r="AZ58" s="283"/>
      <c r="BA58" s="283"/>
      <c r="BB58" s="273" t="e">
        <f>#REF!*0.4</f>
        <v>#REF!</v>
      </c>
    </row>
    <row r="59" spans="1:54" s="273" customFormat="1" ht="19.5" customHeight="1">
      <c r="A59" s="3673"/>
      <c r="B59" s="3673"/>
      <c r="C59" s="3673"/>
      <c r="D59" s="3673"/>
      <c r="E59" s="3962"/>
      <c r="F59" s="3962"/>
      <c r="G59" s="3962"/>
      <c r="H59" s="3962"/>
      <c r="I59" s="3944">
        <v>20</v>
      </c>
      <c r="J59" s="3945"/>
      <c r="K59" s="3945"/>
      <c r="L59" s="306" t="s">
        <v>896</v>
      </c>
      <c r="M59" s="307" t="s">
        <v>836</v>
      </c>
      <c r="N59" s="3963"/>
      <c r="O59" s="3963"/>
      <c r="P59" s="3963"/>
      <c r="Q59" s="3963"/>
      <c r="R59" s="3960">
        <v>200</v>
      </c>
      <c r="S59" s="3960"/>
      <c r="T59" s="3960"/>
      <c r="U59" s="3960"/>
      <c r="V59" s="3960"/>
      <c r="W59" s="3960"/>
      <c r="X59" s="3960"/>
      <c r="Y59" s="3960"/>
      <c r="Z59" s="3960"/>
      <c r="AA59" s="3925" t="e">
        <f t="shared" si="6"/>
        <v>#DIV/0!</v>
      </c>
      <c r="AB59" s="3925"/>
      <c r="AC59" s="3925"/>
      <c r="AD59" s="3925"/>
      <c r="AE59" s="3925"/>
      <c r="AF59" s="3925"/>
      <c r="AG59" s="3925"/>
      <c r="AH59" s="3925"/>
      <c r="AI59" s="3961">
        <v>7.1966000000000001</v>
      </c>
      <c r="AJ59" s="3961"/>
      <c r="AK59" s="3961"/>
      <c r="AL59" s="3961"/>
      <c r="AM59" s="3961"/>
      <c r="AN59" s="3961"/>
      <c r="AO59" s="3961"/>
      <c r="AP59" s="3961"/>
      <c r="AQ59" s="3940" t="e">
        <f t="shared" si="4"/>
        <v>#DIV/0!</v>
      </c>
      <c r="AR59" s="3941"/>
      <c r="AS59" s="3941"/>
      <c r="AT59" s="3941"/>
      <c r="AU59" s="3941"/>
      <c r="AV59" s="3941"/>
      <c r="AW59" s="3942"/>
      <c r="AY59" s="273">
        <f t="shared" si="5"/>
        <v>0</v>
      </c>
      <c r="AZ59" s="283"/>
      <c r="BA59" s="283"/>
      <c r="BB59" s="273" t="e">
        <f>#REF!*0.2</f>
        <v>#REF!</v>
      </c>
    </row>
    <row r="60" spans="1:54" s="273" customFormat="1" ht="19.5" customHeight="1">
      <c r="A60" s="3673"/>
      <c r="B60" s="3673"/>
      <c r="C60" s="3673"/>
      <c r="D60" s="3673"/>
      <c r="E60" s="3962"/>
      <c r="F60" s="3962"/>
      <c r="G60" s="3962"/>
      <c r="H60" s="3962"/>
      <c r="I60" s="3944">
        <v>0</v>
      </c>
      <c r="J60" s="3945"/>
      <c r="K60" s="3945"/>
      <c r="L60" s="306" t="s">
        <v>896</v>
      </c>
      <c r="M60" s="307" t="s">
        <v>836</v>
      </c>
      <c r="N60" s="3963"/>
      <c r="O60" s="3963"/>
      <c r="P60" s="3963"/>
      <c r="Q60" s="3963"/>
      <c r="R60" s="3960">
        <v>0</v>
      </c>
      <c r="S60" s="3960"/>
      <c r="T60" s="3960"/>
      <c r="U60" s="3960"/>
      <c r="V60" s="3960"/>
      <c r="W60" s="3960"/>
      <c r="X60" s="3960"/>
      <c r="Y60" s="3960"/>
      <c r="Z60" s="3960"/>
      <c r="AA60" s="3925" t="e">
        <f t="shared" si="6"/>
        <v>#DIV/0!</v>
      </c>
      <c r="AB60" s="3925"/>
      <c r="AC60" s="3925"/>
      <c r="AD60" s="3925"/>
      <c r="AE60" s="3925"/>
      <c r="AF60" s="3925"/>
      <c r="AG60" s="3925"/>
      <c r="AH60" s="3925"/>
      <c r="AI60" s="3961">
        <v>3.9988000000000001</v>
      </c>
      <c r="AJ60" s="3961"/>
      <c r="AK60" s="3961"/>
      <c r="AL60" s="3961"/>
      <c r="AM60" s="3961"/>
      <c r="AN60" s="3961"/>
      <c r="AO60" s="3961"/>
      <c r="AP60" s="3961"/>
      <c r="AQ60" s="3940" t="e">
        <f t="shared" si="4"/>
        <v>#DIV/0!</v>
      </c>
      <c r="AR60" s="3941"/>
      <c r="AS60" s="3941"/>
      <c r="AT60" s="3941"/>
      <c r="AU60" s="3941"/>
      <c r="AV60" s="3941"/>
      <c r="AW60" s="3942"/>
      <c r="AY60" s="273">
        <f t="shared" si="5"/>
        <v>0</v>
      </c>
      <c r="AZ60" s="283"/>
      <c r="BA60" s="283"/>
      <c r="BB60" s="273">
        <f>AR56*0.6</f>
        <v>0</v>
      </c>
    </row>
    <row r="61" spans="1:54" s="273" customFormat="1" ht="19.5" customHeight="1">
      <c r="A61" s="3673"/>
      <c r="B61" s="3673"/>
      <c r="C61" s="3673"/>
      <c r="D61" s="3673"/>
      <c r="E61" s="3962"/>
      <c r="F61" s="3962"/>
      <c r="G61" s="3962"/>
      <c r="H61" s="3962"/>
      <c r="I61" s="3944">
        <v>100</v>
      </c>
      <c r="J61" s="3945"/>
      <c r="K61" s="3945"/>
      <c r="L61" s="295" t="s">
        <v>896</v>
      </c>
      <c r="M61" s="296" t="s">
        <v>836</v>
      </c>
      <c r="N61" s="3992">
        <v>0.5</v>
      </c>
      <c r="O61" s="3992"/>
      <c r="P61" s="3992"/>
      <c r="Q61" s="3992"/>
      <c r="R61" s="3960">
        <v>500</v>
      </c>
      <c r="S61" s="3960"/>
      <c r="T61" s="3960"/>
      <c r="U61" s="3960"/>
      <c r="V61" s="3960"/>
      <c r="W61" s="3960"/>
      <c r="X61" s="3960"/>
      <c r="Y61" s="3960"/>
      <c r="Z61" s="3960"/>
      <c r="AA61" s="3925" t="e">
        <f t="shared" si="6"/>
        <v>#DIV/0!</v>
      </c>
      <c r="AB61" s="3925"/>
      <c r="AC61" s="3925"/>
      <c r="AD61" s="3925"/>
      <c r="AE61" s="3925"/>
      <c r="AF61" s="3925"/>
      <c r="AG61" s="3925"/>
      <c r="AH61" s="3925"/>
      <c r="AI61" s="3961">
        <v>11.993</v>
      </c>
      <c r="AJ61" s="3961"/>
      <c r="AK61" s="3961"/>
      <c r="AL61" s="3961"/>
      <c r="AM61" s="3961"/>
      <c r="AN61" s="3961"/>
      <c r="AO61" s="3961"/>
      <c r="AP61" s="3961"/>
      <c r="AQ61" s="3940" t="e">
        <f t="shared" si="4"/>
        <v>#DIV/0!</v>
      </c>
      <c r="AR61" s="3941"/>
      <c r="AS61" s="3941"/>
      <c r="AT61" s="3941"/>
      <c r="AU61" s="3941"/>
      <c r="AV61" s="3941"/>
      <c r="AW61" s="3942"/>
      <c r="AY61" s="273">
        <f t="shared" si="5"/>
        <v>0</v>
      </c>
      <c r="AZ61" s="283"/>
      <c r="BA61" s="283"/>
      <c r="BB61" s="273">
        <f>6.6/1.732</f>
        <v>3.8106235565819859</v>
      </c>
    </row>
    <row r="62" spans="1:54" s="273" customFormat="1" ht="19.5" customHeight="1">
      <c r="A62" s="3673"/>
      <c r="B62" s="3673"/>
      <c r="C62" s="3673"/>
      <c r="D62" s="3673"/>
      <c r="E62" s="3962"/>
      <c r="F62" s="3962"/>
      <c r="G62" s="3962"/>
      <c r="H62" s="3962"/>
      <c r="I62" s="3944">
        <v>0</v>
      </c>
      <c r="J62" s="3945"/>
      <c r="K62" s="3945"/>
      <c r="L62" s="306" t="s">
        <v>896</v>
      </c>
      <c r="M62" s="307" t="s">
        <v>836</v>
      </c>
      <c r="N62" s="3992"/>
      <c r="O62" s="3992"/>
      <c r="P62" s="3992"/>
      <c r="Q62" s="3992"/>
      <c r="R62" s="3960">
        <v>0</v>
      </c>
      <c r="S62" s="3960"/>
      <c r="T62" s="3960"/>
      <c r="U62" s="3960"/>
      <c r="V62" s="3960"/>
      <c r="W62" s="3960"/>
      <c r="X62" s="3960"/>
      <c r="Y62" s="3960"/>
      <c r="Z62" s="3960"/>
      <c r="AA62" s="3925" t="e">
        <f t="shared" si="6"/>
        <v>#DIV/0!</v>
      </c>
      <c r="AB62" s="3925"/>
      <c r="AC62" s="3925"/>
      <c r="AD62" s="3925"/>
      <c r="AE62" s="3925"/>
      <c r="AF62" s="3925"/>
      <c r="AG62" s="3925"/>
      <c r="AH62" s="3925"/>
      <c r="AI62" s="3961">
        <v>3.9988999999999999</v>
      </c>
      <c r="AJ62" s="3961"/>
      <c r="AK62" s="3961"/>
      <c r="AL62" s="3961"/>
      <c r="AM62" s="3961"/>
      <c r="AN62" s="3961"/>
      <c r="AO62" s="3961"/>
      <c r="AP62" s="3961"/>
      <c r="AQ62" s="3940" t="e">
        <f t="shared" si="4"/>
        <v>#DIV/0!</v>
      </c>
      <c r="AR62" s="3941"/>
      <c r="AS62" s="3941"/>
      <c r="AT62" s="3941"/>
      <c r="AU62" s="3941"/>
      <c r="AV62" s="3941"/>
      <c r="AW62" s="3942"/>
      <c r="AY62" s="273">
        <f t="shared" si="5"/>
        <v>0</v>
      </c>
      <c r="AZ62" s="283"/>
      <c r="BA62" s="283"/>
      <c r="BB62" s="273">
        <f>1.732*3.85</f>
        <v>6.6681999999999997</v>
      </c>
    </row>
    <row r="63" spans="1:54" s="273" customFormat="1" ht="19.5" customHeight="1">
      <c r="A63" s="3673"/>
      <c r="B63" s="3673"/>
      <c r="C63" s="3673"/>
      <c r="D63" s="3673"/>
      <c r="E63" s="3962"/>
      <c r="F63" s="3962"/>
      <c r="G63" s="3962"/>
      <c r="H63" s="3962"/>
      <c r="I63" s="3944">
        <v>100</v>
      </c>
      <c r="J63" s="3945"/>
      <c r="K63" s="3945"/>
      <c r="L63" s="295" t="s">
        <v>896</v>
      </c>
      <c r="M63" s="296" t="s">
        <v>836</v>
      </c>
      <c r="N63" s="3993">
        <v>0.5</v>
      </c>
      <c r="O63" s="3993"/>
      <c r="P63" s="3993"/>
      <c r="Q63" s="3993"/>
      <c r="R63" s="3960">
        <v>500</v>
      </c>
      <c r="S63" s="3960"/>
      <c r="T63" s="3960"/>
      <c r="U63" s="3960"/>
      <c r="V63" s="3960"/>
      <c r="W63" s="3960"/>
      <c r="X63" s="3960"/>
      <c r="Y63" s="3960"/>
      <c r="Z63" s="3960"/>
      <c r="AA63" s="3925" t="e">
        <f t="shared" si="6"/>
        <v>#DIV/0!</v>
      </c>
      <c r="AB63" s="3925"/>
      <c r="AC63" s="3925"/>
      <c r="AD63" s="3925"/>
      <c r="AE63" s="3925"/>
      <c r="AF63" s="3925"/>
      <c r="AG63" s="3925"/>
      <c r="AH63" s="3925"/>
      <c r="AI63" s="3961">
        <v>11.9808</v>
      </c>
      <c r="AJ63" s="3961"/>
      <c r="AK63" s="3961"/>
      <c r="AL63" s="3961"/>
      <c r="AM63" s="3961"/>
      <c r="AN63" s="3961"/>
      <c r="AO63" s="3961"/>
      <c r="AP63" s="3961"/>
      <c r="AQ63" s="3940" t="e">
        <f t="shared" si="4"/>
        <v>#DIV/0!</v>
      </c>
      <c r="AR63" s="3941"/>
      <c r="AS63" s="3941"/>
      <c r="AT63" s="3941"/>
      <c r="AU63" s="3941"/>
      <c r="AV63" s="3941"/>
      <c r="AW63" s="3942"/>
      <c r="AY63" s="273">
        <f t="shared" si="5"/>
        <v>0</v>
      </c>
      <c r="AZ63" s="283"/>
      <c r="BA63" s="283"/>
    </row>
    <row r="64" spans="1:54" s="273" customFormat="1" ht="19.5" customHeight="1">
      <c r="A64" s="3673"/>
      <c r="B64" s="3673"/>
      <c r="C64" s="3673"/>
      <c r="D64" s="3673"/>
      <c r="E64" s="3962"/>
      <c r="F64" s="3962"/>
      <c r="G64" s="3962"/>
      <c r="H64" s="3962"/>
      <c r="I64" s="3944">
        <v>0</v>
      </c>
      <c r="J64" s="3945"/>
      <c r="K64" s="3945"/>
      <c r="L64" s="306" t="s">
        <v>896</v>
      </c>
      <c r="M64" s="307" t="s">
        <v>836</v>
      </c>
      <c r="N64" s="3993"/>
      <c r="O64" s="3993"/>
      <c r="P64" s="3993"/>
      <c r="Q64" s="3993"/>
      <c r="R64" s="3960">
        <v>0</v>
      </c>
      <c r="S64" s="3960"/>
      <c r="T64" s="3960"/>
      <c r="U64" s="3960"/>
      <c r="V64" s="3960"/>
      <c r="W64" s="3960"/>
      <c r="X64" s="3960"/>
      <c r="Y64" s="3960"/>
      <c r="Z64" s="3960"/>
      <c r="AA64" s="3925" t="e">
        <f t="shared" si="6"/>
        <v>#DIV/0!</v>
      </c>
      <c r="AB64" s="3925"/>
      <c r="AC64" s="3925"/>
      <c r="AD64" s="3925"/>
      <c r="AE64" s="3925"/>
      <c r="AF64" s="3925"/>
      <c r="AG64" s="3925"/>
      <c r="AH64" s="3925"/>
      <c r="AI64" s="3961">
        <v>3.9990000000000001</v>
      </c>
      <c r="AJ64" s="3961"/>
      <c r="AK64" s="3961"/>
      <c r="AL64" s="3961"/>
      <c r="AM64" s="3961"/>
      <c r="AN64" s="3961"/>
      <c r="AO64" s="3961"/>
      <c r="AP64" s="3961"/>
      <c r="AQ64" s="3940" t="e">
        <f t="shared" si="4"/>
        <v>#DIV/0!</v>
      </c>
      <c r="AR64" s="3941"/>
      <c r="AS64" s="3941"/>
      <c r="AT64" s="3941"/>
      <c r="AU64" s="3941"/>
      <c r="AV64" s="3941"/>
      <c r="AW64" s="3942"/>
      <c r="AY64" s="273">
        <f t="shared" si="5"/>
        <v>0</v>
      </c>
      <c r="AZ64" s="283"/>
      <c r="BA64" s="283"/>
    </row>
    <row r="65" spans="1:54" s="273" customFormat="1" ht="19.5" customHeight="1">
      <c r="A65" s="301"/>
      <c r="B65" s="301"/>
      <c r="C65" s="301"/>
      <c r="D65" s="301"/>
      <c r="E65" s="289"/>
      <c r="F65" s="289"/>
      <c r="G65" s="289"/>
      <c r="H65" s="289"/>
      <c r="I65" s="290"/>
      <c r="J65" s="290"/>
      <c r="K65" s="290"/>
      <c r="L65" s="287"/>
      <c r="M65" s="288"/>
      <c r="N65" s="302"/>
      <c r="O65" s="302"/>
      <c r="P65" s="302"/>
      <c r="Q65" s="302"/>
      <c r="R65" s="303"/>
      <c r="S65" s="303"/>
      <c r="T65" s="303"/>
      <c r="U65" s="303"/>
      <c r="V65" s="303"/>
      <c r="W65" s="303"/>
      <c r="X65" s="303"/>
      <c r="Y65" s="303"/>
      <c r="Z65" s="303"/>
      <c r="AA65" s="292"/>
      <c r="AB65" s="292"/>
      <c r="AC65" s="292"/>
      <c r="AD65" s="292"/>
      <c r="AE65" s="292"/>
      <c r="AF65" s="292"/>
      <c r="AG65" s="292"/>
      <c r="AH65" s="292"/>
      <c r="AI65" s="304"/>
      <c r="AJ65" s="304"/>
      <c r="AK65" s="304"/>
      <c r="AL65" s="304"/>
      <c r="AM65" s="304"/>
      <c r="AN65" s="304"/>
      <c r="AO65" s="304"/>
      <c r="AP65" s="304"/>
      <c r="AQ65" s="305"/>
      <c r="AR65" s="305"/>
      <c r="AS65" s="305"/>
      <c r="AT65" s="305"/>
      <c r="AU65" s="305"/>
      <c r="AV65" s="305"/>
      <c r="AW65" s="305"/>
      <c r="AZ65" s="283"/>
      <c r="BA65" s="283"/>
    </row>
    <row r="66" spans="1:54" s="273" customFormat="1" ht="19.5" customHeight="1">
      <c r="A66" s="275"/>
      <c r="B66" s="275"/>
      <c r="C66" s="276" t="s">
        <v>897</v>
      </c>
      <c r="D66" s="276"/>
      <c r="E66" s="276"/>
      <c r="F66" s="276"/>
      <c r="G66" s="276"/>
      <c r="H66" s="275"/>
      <c r="I66" s="275"/>
      <c r="J66" s="276"/>
      <c r="K66" s="278"/>
      <c r="L66" s="278"/>
      <c r="M66" s="278"/>
      <c r="N66" s="279" t="s">
        <v>825</v>
      </c>
      <c r="O66" s="278"/>
      <c r="P66" s="278"/>
      <c r="Q66" s="278"/>
      <c r="R66" s="278"/>
      <c r="S66" s="276" t="s">
        <v>853</v>
      </c>
      <c r="T66" s="276"/>
      <c r="U66" s="3950" t="s">
        <v>854</v>
      </c>
      <c r="V66" s="3951"/>
      <c r="W66" s="276" t="s">
        <v>898</v>
      </c>
      <c r="Y66" s="276" t="s">
        <v>918</v>
      </c>
      <c r="Z66" s="276"/>
      <c r="AA66" s="276"/>
      <c r="AB66" s="276"/>
      <c r="AC66" s="276"/>
      <c r="AD66" s="275"/>
      <c r="AE66" s="275"/>
      <c r="AF66" s="280"/>
      <c r="AG66" s="281"/>
      <c r="AH66" s="275" t="s">
        <v>889</v>
      </c>
      <c r="AI66" s="3952" t="s">
        <v>890</v>
      </c>
      <c r="AJ66" s="3952"/>
      <c r="AK66" s="3952"/>
      <c r="AL66" s="3952"/>
      <c r="AM66" s="3953"/>
      <c r="AN66" s="3953"/>
      <c r="AO66" s="3953"/>
      <c r="AP66" s="3953"/>
      <c r="AQ66" s="3956" t="s">
        <v>891</v>
      </c>
      <c r="AR66" s="1970"/>
      <c r="AS66" s="1970"/>
      <c r="AT66" s="1970"/>
      <c r="AU66" s="1970"/>
      <c r="AV66" s="275"/>
      <c r="AW66" s="277"/>
      <c r="AY66" s="282" t="s">
        <v>838</v>
      </c>
      <c r="AZ66" s="282"/>
      <c r="BA66" s="283"/>
    </row>
    <row r="67" spans="1:54" s="273" customFormat="1" ht="30" customHeight="1">
      <c r="A67" s="3710" t="s">
        <v>839</v>
      </c>
      <c r="B67" s="3711"/>
      <c r="C67" s="3711"/>
      <c r="D67" s="3712"/>
      <c r="E67" s="3714" t="s">
        <v>840</v>
      </c>
      <c r="F67" s="3714"/>
      <c r="G67" s="3714"/>
      <c r="H67" s="3714"/>
      <c r="I67" s="3710" t="s">
        <v>841</v>
      </c>
      <c r="J67" s="3711"/>
      <c r="K67" s="3711"/>
      <c r="L67" s="3711"/>
      <c r="M67" s="3712"/>
      <c r="N67" s="3964" t="s">
        <v>899</v>
      </c>
      <c r="O67" s="3965"/>
      <c r="P67" s="3966" t="s">
        <v>893</v>
      </c>
      <c r="Q67" s="3967"/>
      <c r="R67" s="3720" t="s">
        <v>900</v>
      </c>
      <c r="S67" s="3954"/>
      <c r="T67" s="3954"/>
      <c r="U67" s="3954"/>
      <c r="V67" s="3954"/>
      <c r="W67" s="3954"/>
      <c r="X67" s="3954"/>
      <c r="Y67" s="3954"/>
      <c r="Z67" s="3955"/>
      <c r="AA67" s="3720" t="s">
        <v>843</v>
      </c>
      <c r="AB67" s="3954"/>
      <c r="AC67" s="3954"/>
      <c r="AD67" s="3954"/>
      <c r="AE67" s="3954"/>
      <c r="AF67" s="3954"/>
      <c r="AG67" s="3954"/>
      <c r="AH67" s="3955"/>
      <c r="AI67" s="3720" t="s">
        <v>844</v>
      </c>
      <c r="AJ67" s="3954"/>
      <c r="AK67" s="3954"/>
      <c r="AL67" s="3954"/>
      <c r="AM67" s="3954"/>
      <c r="AN67" s="3954"/>
      <c r="AO67" s="3954"/>
      <c r="AP67" s="3955"/>
      <c r="AQ67" s="3957" t="s">
        <v>845</v>
      </c>
      <c r="AR67" s="3958"/>
      <c r="AS67" s="3958"/>
      <c r="AT67" s="3958"/>
      <c r="AU67" s="3958"/>
      <c r="AV67" s="3958"/>
      <c r="AW67" s="3959"/>
      <c r="AY67" s="294">
        <f>IF(E68=0.2,2,5)</f>
        <v>5</v>
      </c>
      <c r="AZ67" s="285">
        <f>IF(AY67=2,5,2)</f>
        <v>2</v>
      </c>
      <c r="BA67" s="283"/>
    </row>
    <row r="68" spans="1:54" s="273" customFormat="1" ht="19.5" customHeight="1">
      <c r="A68" s="3673" t="s">
        <v>901</v>
      </c>
      <c r="B68" s="3673"/>
      <c r="C68" s="3673"/>
      <c r="D68" s="3673"/>
      <c r="E68" s="3962">
        <f>AF49</f>
        <v>0</v>
      </c>
      <c r="F68" s="3962"/>
      <c r="G68" s="3962"/>
      <c r="H68" s="3962"/>
      <c r="I68" s="3944">
        <v>100</v>
      </c>
      <c r="J68" s="3945"/>
      <c r="K68" s="3945"/>
      <c r="L68" s="295" t="s">
        <v>896</v>
      </c>
      <c r="M68" s="296" t="s">
        <v>836</v>
      </c>
      <c r="N68" s="3963">
        <v>1</v>
      </c>
      <c r="O68" s="3963"/>
      <c r="P68" s="3963"/>
      <c r="Q68" s="3963"/>
      <c r="R68" s="3960">
        <v>1000</v>
      </c>
      <c r="S68" s="3960"/>
      <c r="T68" s="3960"/>
      <c r="U68" s="3960"/>
      <c r="V68" s="3960"/>
      <c r="W68" s="3960"/>
      <c r="X68" s="3960"/>
      <c r="Y68" s="3960"/>
      <c r="Z68" s="3960"/>
      <c r="AA68" s="3925" t="e">
        <f>(R68/($S$32))*16+4</f>
        <v>#DIV/0!</v>
      </c>
      <c r="AB68" s="3925"/>
      <c r="AC68" s="3925"/>
      <c r="AD68" s="3925"/>
      <c r="AE68" s="3925"/>
      <c r="AF68" s="3925"/>
      <c r="AG68" s="3925"/>
      <c r="AH68" s="3925"/>
      <c r="AI68" s="3961">
        <v>19.983699999999999</v>
      </c>
      <c r="AJ68" s="3961"/>
      <c r="AK68" s="3961"/>
      <c r="AL68" s="3961"/>
      <c r="AM68" s="3961"/>
      <c r="AN68" s="3961"/>
      <c r="AO68" s="3961"/>
      <c r="AP68" s="3961"/>
      <c r="AQ68" s="3940" t="e">
        <f t="shared" ref="AQ68:AQ77" si="7">ROUND((AI68-AA68)/16*100*$AZ$83,1)/$AZ$83</f>
        <v>#DIV/0!</v>
      </c>
      <c r="AR68" s="3941"/>
      <c r="AS68" s="3941"/>
      <c r="AT68" s="3941"/>
      <c r="AU68" s="3941"/>
      <c r="AV68" s="3941"/>
      <c r="AW68" s="3942"/>
      <c r="AY68" s="273">
        <f t="shared" ref="AY68:AY77" si="8">$AR$82*I68/100</f>
        <v>0</v>
      </c>
      <c r="AZ68" s="283"/>
      <c r="BA68" s="283"/>
      <c r="BB68" s="300" t="e">
        <f>#REF!</f>
        <v>#REF!</v>
      </c>
    </row>
    <row r="69" spans="1:54" s="273" customFormat="1" ht="19.5" customHeight="1">
      <c r="A69" s="3673"/>
      <c r="B69" s="3673"/>
      <c r="C69" s="3673"/>
      <c r="D69" s="3673"/>
      <c r="E69" s="3962"/>
      <c r="F69" s="3962"/>
      <c r="G69" s="3962"/>
      <c r="H69" s="3962"/>
      <c r="I69" s="3944">
        <v>80</v>
      </c>
      <c r="J69" s="3945"/>
      <c r="K69" s="3945"/>
      <c r="L69" s="295" t="s">
        <v>896</v>
      </c>
      <c r="M69" s="296" t="s">
        <v>836</v>
      </c>
      <c r="N69" s="3963"/>
      <c r="O69" s="3963"/>
      <c r="P69" s="3963"/>
      <c r="Q69" s="3963"/>
      <c r="R69" s="3960">
        <v>800</v>
      </c>
      <c r="S69" s="3960"/>
      <c r="T69" s="3960"/>
      <c r="U69" s="3960"/>
      <c r="V69" s="3960"/>
      <c r="W69" s="3960"/>
      <c r="X69" s="3960"/>
      <c r="Y69" s="3960"/>
      <c r="Z69" s="3960"/>
      <c r="AA69" s="3925" t="e">
        <f>(R69/($S$32))*16+4</f>
        <v>#DIV/0!</v>
      </c>
      <c r="AB69" s="3925"/>
      <c r="AC69" s="3925"/>
      <c r="AD69" s="3925"/>
      <c r="AE69" s="3925"/>
      <c r="AF69" s="3925"/>
      <c r="AG69" s="3925"/>
      <c r="AH69" s="3925"/>
      <c r="AI69" s="3961">
        <v>16.7883</v>
      </c>
      <c r="AJ69" s="3961"/>
      <c r="AK69" s="3961"/>
      <c r="AL69" s="3961"/>
      <c r="AM69" s="3961"/>
      <c r="AN69" s="3961"/>
      <c r="AO69" s="3961"/>
      <c r="AP69" s="3961"/>
      <c r="AQ69" s="3940" t="e">
        <f t="shared" si="7"/>
        <v>#DIV/0!</v>
      </c>
      <c r="AR69" s="3941"/>
      <c r="AS69" s="3941"/>
      <c r="AT69" s="3941"/>
      <c r="AU69" s="3941"/>
      <c r="AV69" s="3941"/>
      <c r="AW69" s="3942"/>
      <c r="AY69" s="273">
        <f t="shared" si="8"/>
        <v>0</v>
      </c>
      <c r="AZ69" s="283"/>
      <c r="BA69" s="283"/>
      <c r="BB69" s="273" t="e">
        <f>#REF!*0.8</f>
        <v>#REF!</v>
      </c>
    </row>
    <row r="70" spans="1:54" s="273" customFormat="1" ht="19.5" customHeight="1">
      <c r="A70" s="3673"/>
      <c r="B70" s="3673"/>
      <c r="C70" s="3673"/>
      <c r="D70" s="3673"/>
      <c r="E70" s="3962"/>
      <c r="F70" s="3962"/>
      <c r="G70" s="3962"/>
      <c r="H70" s="3962"/>
      <c r="I70" s="3944">
        <v>60</v>
      </c>
      <c r="J70" s="3945"/>
      <c r="K70" s="3945"/>
      <c r="L70" s="306" t="s">
        <v>896</v>
      </c>
      <c r="M70" s="307" t="s">
        <v>836</v>
      </c>
      <c r="N70" s="3963"/>
      <c r="O70" s="3963"/>
      <c r="P70" s="3963"/>
      <c r="Q70" s="3963"/>
      <c r="R70" s="3960">
        <v>600</v>
      </c>
      <c r="S70" s="3960"/>
      <c r="T70" s="3960"/>
      <c r="U70" s="3960"/>
      <c r="V70" s="3960"/>
      <c r="W70" s="3960"/>
      <c r="X70" s="3960"/>
      <c r="Y70" s="3960"/>
      <c r="Z70" s="3960"/>
      <c r="AA70" s="3925" t="e">
        <f t="shared" ref="AA70:AA77" si="9">(R70/($S$32))*16+4</f>
        <v>#DIV/0!</v>
      </c>
      <c r="AB70" s="3925"/>
      <c r="AC70" s="3925"/>
      <c r="AD70" s="3925"/>
      <c r="AE70" s="3925"/>
      <c r="AF70" s="3925"/>
      <c r="AG70" s="3925"/>
      <c r="AH70" s="3925"/>
      <c r="AI70" s="3961">
        <v>13.5905</v>
      </c>
      <c r="AJ70" s="3961"/>
      <c r="AK70" s="3961"/>
      <c r="AL70" s="3961"/>
      <c r="AM70" s="3961"/>
      <c r="AN70" s="3961"/>
      <c r="AO70" s="3961"/>
      <c r="AP70" s="3961"/>
      <c r="AQ70" s="3940" t="e">
        <f t="shared" si="7"/>
        <v>#DIV/0!</v>
      </c>
      <c r="AR70" s="3941"/>
      <c r="AS70" s="3941"/>
      <c r="AT70" s="3941"/>
      <c r="AU70" s="3941"/>
      <c r="AV70" s="3941"/>
      <c r="AW70" s="3942"/>
      <c r="AY70" s="273">
        <f t="shared" si="8"/>
        <v>0</v>
      </c>
      <c r="AZ70" s="283"/>
      <c r="BA70" s="283"/>
      <c r="BB70" s="273" t="e">
        <f>#REF!*0.6</f>
        <v>#REF!</v>
      </c>
    </row>
    <row r="71" spans="1:54" s="273" customFormat="1" ht="19.5" customHeight="1">
      <c r="A71" s="3673"/>
      <c r="B71" s="3673"/>
      <c r="C71" s="3673"/>
      <c r="D71" s="3673"/>
      <c r="E71" s="3962"/>
      <c r="F71" s="3962"/>
      <c r="G71" s="3962"/>
      <c r="H71" s="3962"/>
      <c r="I71" s="3944">
        <v>40</v>
      </c>
      <c r="J71" s="3945"/>
      <c r="K71" s="3945"/>
      <c r="L71" s="306" t="s">
        <v>896</v>
      </c>
      <c r="M71" s="307" t="s">
        <v>836</v>
      </c>
      <c r="N71" s="3963"/>
      <c r="O71" s="3963"/>
      <c r="P71" s="3963"/>
      <c r="Q71" s="3963"/>
      <c r="R71" s="3960">
        <v>400</v>
      </c>
      <c r="S71" s="3960"/>
      <c r="T71" s="3960"/>
      <c r="U71" s="3960"/>
      <c r="V71" s="3960"/>
      <c r="W71" s="3960"/>
      <c r="X71" s="3960"/>
      <c r="Y71" s="3960"/>
      <c r="Z71" s="3960"/>
      <c r="AA71" s="3925" t="e">
        <f t="shared" si="9"/>
        <v>#DIV/0!</v>
      </c>
      <c r="AB71" s="3925"/>
      <c r="AC71" s="3925"/>
      <c r="AD71" s="3925"/>
      <c r="AE71" s="3925"/>
      <c r="AF71" s="3925"/>
      <c r="AG71" s="3925"/>
      <c r="AH71" s="3925"/>
      <c r="AI71" s="3961">
        <v>10.395</v>
      </c>
      <c r="AJ71" s="3961"/>
      <c r="AK71" s="3961"/>
      <c r="AL71" s="3961"/>
      <c r="AM71" s="3961"/>
      <c r="AN71" s="3961"/>
      <c r="AO71" s="3961"/>
      <c r="AP71" s="3961"/>
      <c r="AQ71" s="3940" t="e">
        <f t="shared" si="7"/>
        <v>#DIV/0!</v>
      </c>
      <c r="AR71" s="3941"/>
      <c r="AS71" s="3941"/>
      <c r="AT71" s="3941"/>
      <c r="AU71" s="3941"/>
      <c r="AV71" s="3941"/>
      <c r="AW71" s="3942"/>
      <c r="AY71" s="273">
        <f t="shared" si="8"/>
        <v>0</v>
      </c>
      <c r="AZ71" s="283"/>
      <c r="BA71" s="283"/>
      <c r="BB71" s="273" t="e">
        <f>#REF!*0.4</f>
        <v>#REF!</v>
      </c>
    </row>
    <row r="72" spans="1:54" s="273" customFormat="1" ht="19.5" customHeight="1">
      <c r="A72" s="3673"/>
      <c r="B72" s="3673"/>
      <c r="C72" s="3673"/>
      <c r="D72" s="3673"/>
      <c r="E72" s="3962"/>
      <c r="F72" s="3962"/>
      <c r="G72" s="3962"/>
      <c r="H72" s="3962"/>
      <c r="I72" s="3944">
        <v>20</v>
      </c>
      <c r="J72" s="3945"/>
      <c r="K72" s="3945"/>
      <c r="L72" s="306" t="s">
        <v>896</v>
      </c>
      <c r="M72" s="307" t="s">
        <v>836</v>
      </c>
      <c r="N72" s="3963"/>
      <c r="O72" s="3963"/>
      <c r="P72" s="3963"/>
      <c r="Q72" s="3963"/>
      <c r="R72" s="3960">
        <v>200</v>
      </c>
      <c r="S72" s="3960"/>
      <c r="T72" s="3960"/>
      <c r="U72" s="3960"/>
      <c r="V72" s="3960"/>
      <c r="W72" s="3960"/>
      <c r="X72" s="3960"/>
      <c r="Y72" s="3960"/>
      <c r="Z72" s="3960"/>
      <c r="AA72" s="3925" t="e">
        <f t="shared" si="9"/>
        <v>#DIV/0!</v>
      </c>
      <c r="AB72" s="3925"/>
      <c r="AC72" s="3925"/>
      <c r="AD72" s="3925"/>
      <c r="AE72" s="3925"/>
      <c r="AF72" s="3925"/>
      <c r="AG72" s="3925"/>
      <c r="AH72" s="3925"/>
      <c r="AI72" s="3961">
        <v>7.1966000000000001</v>
      </c>
      <c r="AJ72" s="3961"/>
      <c r="AK72" s="3961"/>
      <c r="AL72" s="3961"/>
      <c r="AM72" s="3961"/>
      <c r="AN72" s="3961"/>
      <c r="AO72" s="3961"/>
      <c r="AP72" s="3961"/>
      <c r="AQ72" s="3940" t="e">
        <f t="shared" si="7"/>
        <v>#DIV/0!</v>
      </c>
      <c r="AR72" s="3941"/>
      <c r="AS72" s="3941"/>
      <c r="AT72" s="3941"/>
      <c r="AU72" s="3941"/>
      <c r="AV72" s="3941"/>
      <c r="AW72" s="3942"/>
      <c r="AY72" s="273">
        <f t="shared" si="8"/>
        <v>0</v>
      </c>
      <c r="AZ72" s="283"/>
      <c r="BA72" s="283"/>
      <c r="BB72" s="273" t="e">
        <f>#REF!*0.2</f>
        <v>#REF!</v>
      </c>
    </row>
    <row r="73" spans="1:54" s="273" customFormat="1" ht="19.5" customHeight="1">
      <c r="A73" s="3673"/>
      <c r="B73" s="3673"/>
      <c r="C73" s="3673"/>
      <c r="D73" s="3673"/>
      <c r="E73" s="3962"/>
      <c r="F73" s="3962"/>
      <c r="G73" s="3962"/>
      <c r="H73" s="3962"/>
      <c r="I73" s="3944">
        <v>0</v>
      </c>
      <c r="J73" s="3945"/>
      <c r="K73" s="3945"/>
      <c r="L73" s="306" t="s">
        <v>896</v>
      </c>
      <c r="M73" s="307" t="s">
        <v>836</v>
      </c>
      <c r="N73" s="3963"/>
      <c r="O73" s="3963"/>
      <c r="P73" s="3963"/>
      <c r="Q73" s="3963"/>
      <c r="R73" s="3960">
        <v>0</v>
      </c>
      <c r="S73" s="3960"/>
      <c r="T73" s="3960"/>
      <c r="U73" s="3960"/>
      <c r="V73" s="3960"/>
      <c r="W73" s="3960"/>
      <c r="X73" s="3960"/>
      <c r="Y73" s="3960"/>
      <c r="Z73" s="3960"/>
      <c r="AA73" s="3925" t="e">
        <f t="shared" si="9"/>
        <v>#DIV/0!</v>
      </c>
      <c r="AB73" s="3925"/>
      <c r="AC73" s="3925"/>
      <c r="AD73" s="3925"/>
      <c r="AE73" s="3925"/>
      <c r="AF73" s="3925"/>
      <c r="AG73" s="3925"/>
      <c r="AH73" s="3925"/>
      <c r="AI73" s="3961">
        <v>3.9988000000000001</v>
      </c>
      <c r="AJ73" s="3961"/>
      <c r="AK73" s="3961"/>
      <c r="AL73" s="3961"/>
      <c r="AM73" s="3961"/>
      <c r="AN73" s="3961"/>
      <c r="AO73" s="3961"/>
      <c r="AP73" s="3961"/>
      <c r="AQ73" s="3940" t="e">
        <f t="shared" si="7"/>
        <v>#DIV/0!</v>
      </c>
      <c r="AR73" s="3941"/>
      <c r="AS73" s="3941"/>
      <c r="AT73" s="3941"/>
      <c r="AU73" s="3941"/>
      <c r="AV73" s="3941"/>
      <c r="AW73" s="3942"/>
      <c r="AY73" s="273">
        <f t="shared" si="8"/>
        <v>0</v>
      </c>
      <c r="AZ73" s="283"/>
      <c r="BA73" s="283"/>
      <c r="BB73" s="273">
        <f>AR69*0.6</f>
        <v>0</v>
      </c>
    </row>
    <row r="74" spans="1:54" s="273" customFormat="1" ht="19.5" customHeight="1">
      <c r="A74" s="3673"/>
      <c r="B74" s="3673"/>
      <c r="C74" s="3673"/>
      <c r="D74" s="3673"/>
      <c r="E74" s="3962"/>
      <c r="F74" s="3962"/>
      <c r="G74" s="3962"/>
      <c r="H74" s="3962"/>
      <c r="I74" s="3944">
        <v>100</v>
      </c>
      <c r="J74" s="3945"/>
      <c r="K74" s="3945"/>
      <c r="L74" s="295" t="s">
        <v>896</v>
      </c>
      <c r="M74" s="296" t="s">
        <v>836</v>
      </c>
      <c r="N74" s="3992">
        <v>0.5</v>
      </c>
      <c r="O74" s="3992"/>
      <c r="P74" s="3992"/>
      <c r="Q74" s="3992"/>
      <c r="R74" s="3960">
        <v>500</v>
      </c>
      <c r="S74" s="3960"/>
      <c r="T74" s="3960"/>
      <c r="U74" s="3960"/>
      <c r="V74" s="3960"/>
      <c r="W74" s="3960"/>
      <c r="X74" s="3960"/>
      <c r="Y74" s="3960"/>
      <c r="Z74" s="3960"/>
      <c r="AA74" s="3925" t="e">
        <f t="shared" si="9"/>
        <v>#DIV/0!</v>
      </c>
      <c r="AB74" s="3925"/>
      <c r="AC74" s="3925"/>
      <c r="AD74" s="3925"/>
      <c r="AE74" s="3925"/>
      <c r="AF74" s="3925"/>
      <c r="AG74" s="3925"/>
      <c r="AH74" s="3925"/>
      <c r="AI74" s="3961">
        <v>11.993</v>
      </c>
      <c r="AJ74" s="3961"/>
      <c r="AK74" s="3961"/>
      <c r="AL74" s="3961"/>
      <c r="AM74" s="3961"/>
      <c r="AN74" s="3961"/>
      <c r="AO74" s="3961"/>
      <c r="AP74" s="3961"/>
      <c r="AQ74" s="3940" t="e">
        <f t="shared" si="7"/>
        <v>#DIV/0!</v>
      </c>
      <c r="AR74" s="3941"/>
      <c r="AS74" s="3941"/>
      <c r="AT74" s="3941"/>
      <c r="AU74" s="3941"/>
      <c r="AV74" s="3941"/>
      <c r="AW74" s="3942"/>
      <c r="AY74" s="273">
        <f t="shared" si="8"/>
        <v>0</v>
      </c>
      <c r="AZ74" s="283"/>
      <c r="BA74" s="283"/>
      <c r="BB74" s="273">
        <f>6.6/1.732</f>
        <v>3.8106235565819859</v>
      </c>
    </row>
    <row r="75" spans="1:54" s="273" customFormat="1" ht="19.5" customHeight="1">
      <c r="A75" s="3673"/>
      <c r="B75" s="3673"/>
      <c r="C75" s="3673"/>
      <c r="D75" s="3673"/>
      <c r="E75" s="3962"/>
      <c r="F75" s="3962"/>
      <c r="G75" s="3962"/>
      <c r="H75" s="3962"/>
      <c r="I75" s="3944">
        <v>0</v>
      </c>
      <c r="J75" s="3945"/>
      <c r="K75" s="3945"/>
      <c r="L75" s="306" t="s">
        <v>896</v>
      </c>
      <c r="M75" s="307" t="s">
        <v>836</v>
      </c>
      <c r="N75" s="3992"/>
      <c r="O75" s="3992"/>
      <c r="P75" s="3992"/>
      <c r="Q75" s="3992"/>
      <c r="R75" s="3960">
        <v>0</v>
      </c>
      <c r="S75" s="3960"/>
      <c r="T75" s="3960"/>
      <c r="U75" s="3960"/>
      <c r="V75" s="3960"/>
      <c r="W75" s="3960"/>
      <c r="X75" s="3960"/>
      <c r="Y75" s="3960"/>
      <c r="Z75" s="3960"/>
      <c r="AA75" s="3925" t="e">
        <f t="shared" si="9"/>
        <v>#DIV/0!</v>
      </c>
      <c r="AB75" s="3925"/>
      <c r="AC75" s="3925"/>
      <c r="AD75" s="3925"/>
      <c r="AE75" s="3925"/>
      <c r="AF75" s="3925"/>
      <c r="AG75" s="3925"/>
      <c r="AH75" s="3925"/>
      <c r="AI75" s="3961">
        <v>3.9988999999999999</v>
      </c>
      <c r="AJ75" s="3961"/>
      <c r="AK75" s="3961"/>
      <c r="AL75" s="3961"/>
      <c r="AM75" s="3961"/>
      <c r="AN75" s="3961"/>
      <c r="AO75" s="3961"/>
      <c r="AP75" s="3961"/>
      <c r="AQ75" s="3940" t="e">
        <f t="shared" si="7"/>
        <v>#DIV/0!</v>
      </c>
      <c r="AR75" s="3941"/>
      <c r="AS75" s="3941"/>
      <c r="AT75" s="3941"/>
      <c r="AU75" s="3941"/>
      <c r="AV75" s="3941"/>
      <c r="AW75" s="3942"/>
      <c r="AY75" s="273">
        <f t="shared" si="8"/>
        <v>0</v>
      </c>
      <c r="AZ75" s="283"/>
      <c r="BA75" s="283"/>
      <c r="BB75" s="273">
        <f>1.732*3.85</f>
        <v>6.6681999999999997</v>
      </c>
    </row>
    <row r="76" spans="1:54" s="273" customFormat="1" ht="19.5" customHeight="1">
      <c r="A76" s="3673"/>
      <c r="B76" s="3673"/>
      <c r="C76" s="3673"/>
      <c r="D76" s="3673"/>
      <c r="E76" s="3962"/>
      <c r="F76" s="3962"/>
      <c r="G76" s="3962"/>
      <c r="H76" s="3962"/>
      <c r="I76" s="3944">
        <v>100</v>
      </c>
      <c r="J76" s="3945"/>
      <c r="K76" s="3945"/>
      <c r="L76" s="295" t="s">
        <v>896</v>
      </c>
      <c r="M76" s="296" t="s">
        <v>836</v>
      </c>
      <c r="N76" s="3993">
        <v>0.5</v>
      </c>
      <c r="O76" s="3993"/>
      <c r="P76" s="3993"/>
      <c r="Q76" s="3993"/>
      <c r="R76" s="3960">
        <v>500</v>
      </c>
      <c r="S76" s="3960"/>
      <c r="T76" s="3960"/>
      <c r="U76" s="3960"/>
      <c r="V76" s="3960"/>
      <c r="W76" s="3960"/>
      <c r="X76" s="3960"/>
      <c r="Y76" s="3960"/>
      <c r="Z76" s="3960"/>
      <c r="AA76" s="3925" t="e">
        <f t="shared" si="9"/>
        <v>#DIV/0!</v>
      </c>
      <c r="AB76" s="3925"/>
      <c r="AC76" s="3925"/>
      <c r="AD76" s="3925"/>
      <c r="AE76" s="3925"/>
      <c r="AF76" s="3925"/>
      <c r="AG76" s="3925"/>
      <c r="AH76" s="3925"/>
      <c r="AI76" s="3961">
        <v>11.9808</v>
      </c>
      <c r="AJ76" s="3961"/>
      <c r="AK76" s="3961"/>
      <c r="AL76" s="3961"/>
      <c r="AM76" s="3961"/>
      <c r="AN76" s="3961"/>
      <c r="AO76" s="3961"/>
      <c r="AP76" s="3961"/>
      <c r="AQ76" s="3940" t="e">
        <f t="shared" si="7"/>
        <v>#DIV/0!</v>
      </c>
      <c r="AR76" s="3941"/>
      <c r="AS76" s="3941"/>
      <c r="AT76" s="3941"/>
      <c r="AU76" s="3941"/>
      <c r="AV76" s="3941"/>
      <c r="AW76" s="3942"/>
      <c r="AY76" s="273">
        <f t="shared" si="8"/>
        <v>0</v>
      </c>
      <c r="AZ76" s="283"/>
      <c r="BA76" s="283"/>
    </row>
    <row r="77" spans="1:54" s="273" customFormat="1" ht="19.5" customHeight="1">
      <c r="A77" s="3673"/>
      <c r="B77" s="3673"/>
      <c r="C77" s="3673"/>
      <c r="D77" s="3673"/>
      <c r="E77" s="3962"/>
      <c r="F77" s="3962"/>
      <c r="G77" s="3962"/>
      <c r="H77" s="3962"/>
      <c r="I77" s="3944">
        <v>0</v>
      </c>
      <c r="J77" s="3945"/>
      <c r="K77" s="3945"/>
      <c r="L77" s="306" t="s">
        <v>896</v>
      </c>
      <c r="M77" s="307" t="s">
        <v>836</v>
      </c>
      <c r="N77" s="3993"/>
      <c r="O77" s="3993"/>
      <c r="P77" s="3993"/>
      <c r="Q77" s="3993"/>
      <c r="R77" s="3960">
        <v>0</v>
      </c>
      <c r="S77" s="3960"/>
      <c r="T77" s="3960"/>
      <c r="U77" s="3960"/>
      <c r="V77" s="3960"/>
      <c r="W77" s="3960"/>
      <c r="X77" s="3960"/>
      <c r="Y77" s="3960"/>
      <c r="Z77" s="3960"/>
      <c r="AA77" s="3925" t="e">
        <f t="shared" si="9"/>
        <v>#DIV/0!</v>
      </c>
      <c r="AB77" s="3925"/>
      <c r="AC77" s="3925"/>
      <c r="AD77" s="3925"/>
      <c r="AE77" s="3925"/>
      <c r="AF77" s="3925"/>
      <c r="AG77" s="3925"/>
      <c r="AH77" s="3925"/>
      <c r="AI77" s="3961">
        <v>3.9990000000000001</v>
      </c>
      <c r="AJ77" s="3961"/>
      <c r="AK77" s="3961"/>
      <c r="AL77" s="3961"/>
      <c r="AM77" s="3961"/>
      <c r="AN77" s="3961"/>
      <c r="AO77" s="3961"/>
      <c r="AP77" s="3961"/>
      <c r="AQ77" s="3940" t="e">
        <f t="shared" si="7"/>
        <v>#DIV/0!</v>
      </c>
      <c r="AR77" s="3941"/>
      <c r="AS77" s="3941"/>
      <c r="AT77" s="3941"/>
      <c r="AU77" s="3941"/>
      <c r="AV77" s="3941"/>
      <c r="AW77" s="3942"/>
      <c r="AY77" s="273">
        <f t="shared" si="8"/>
        <v>0</v>
      </c>
      <c r="AZ77" s="283"/>
      <c r="BA77" s="283"/>
    </row>
    <row r="78" spans="1:54" s="1695" customFormat="1" ht="19.5" customHeight="1">
      <c r="A78" s="1682"/>
      <c r="B78" s="1683"/>
      <c r="C78" s="1683"/>
      <c r="D78" s="1683"/>
      <c r="E78" s="1684"/>
      <c r="F78" s="1685"/>
      <c r="G78" s="1685"/>
      <c r="H78" s="1685"/>
      <c r="I78" s="1686"/>
      <c r="J78" s="1686"/>
      <c r="K78" s="1686"/>
      <c r="L78" s="1687"/>
      <c r="M78" s="1688"/>
      <c r="N78" s="1689"/>
      <c r="O78" s="1690"/>
      <c r="P78" s="1690"/>
      <c r="Q78" s="1690"/>
      <c r="R78" s="1691"/>
      <c r="S78" s="1691"/>
      <c r="T78" s="1691"/>
      <c r="U78" s="1691"/>
      <c r="V78" s="1691"/>
      <c r="W78" s="1691"/>
      <c r="X78" s="1691"/>
      <c r="Y78" s="1691"/>
      <c r="Z78" s="1691"/>
      <c r="AA78" s="1692"/>
      <c r="AB78" s="1692"/>
      <c r="AC78" s="1692"/>
      <c r="AD78" s="1692"/>
      <c r="AE78" s="1692"/>
      <c r="AF78" s="1692"/>
      <c r="AG78" s="1692"/>
      <c r="AH78" s="1692"/>
      <c r="AI78" s="1693"/>
      <c r="AJ78" s="1693"/>
      <c r="AK78" s="1693"/>
      <c r="AL78" s="1693"/>
      <c r="AM78" s="1693"/>
      <c r="AN78" s="1693"/>
      <c r="AO78" s="1693"/>
      <c r="AP78" s="1693"/>
      <c r="AQ78" s="1694"/>
      <c r="AR78" s="1694"/>
      <c r="AS78" s="1694"/>
      <c r="AT78" s="1694"/>
      <c r="AU78" s="1694"/>
      <c r="AV78" s="1694"/>
      <c r="AW78" s="1694"/>
      <c r="AZ78" s="1696"/>
      <c r="BA78" s="1696"/>
    </row>
    <row r="79" spans="1:54" s="273" customFormat="1" ht="19.5" customHeight="1">
      <c r="A79" s="274"/>
      <c r="B79" s="275"/>
      <c r="C79" s="276"/>
      <c r="D79" s="276"/>
      <c r="E79" t="s">
        <v>816</v>
      </c>
      <c r="F79" s="276"/>
      <c r="G79" s="276" t="str">
        <f>P29</f>
        <v>频率</v>
      </c>
      <c r="H79" s="276"/>
      <c r="I79" s="276"/>
      <c r="J79" s="276"/>
      <c r="K79" s="278"/>
      <c r="L79" s="278"/>
      <c r="M79" s="278"/>
      <c r="N79" s="279" t="s">
        <v>825</v>
      </c>
      <c r="O79" s="278"/>
      <c r="P79" s="278"/>
      <c r="Q79" s="278"/>
      <c r="R79" s="278"/>
      <c r="S79" s="276"/>
      <c r="T79" s="276"/>
      <c r="U79" s="276" t="s">
        <v>918</v>
      </c>
      <c r="V79" s="276"/>
      <c r="W79" s="276"/>
      <c r="X79" s="276"/>
      <c r="Y79" s="276"/>
      <c r="Z79" s="276"/>
      <c r="AA79" s="276"/>
      <c r="AB79" s="276"/>
      <c r="AC79" s="276"/>
      <c r="AD79" s="275"/>
      <c r="AE79" s="275"/>
      <c r="AF79" s="275"/>
      <c r="AG79" s="275"/>
      <c r="AH79" s="275"/>
      <c r="AI79" s="275"/>
      <c r="AJ79" s="275"/>
      <c r="AK79" s="275"/>
      <c r="AL79" s="275"/>
      <c r="AM79" s="280" t="s">
        <v>835</v>
      </c>
      <c r="AN79" s="281" t="s">
        <v>836</v>
      </c>
      <c r="AO79" s="275" t="s">
        <v>837</v>
      </c>
      <c r="AP79" s="3928">
        <f>W27</f>
        <v>100</v>
      </c>
      <c r="AQ79" s="3928"/>
      <c r="AR79" s="3928"/>
      <c r="AS79" s="3928"/>
      <c r="AT79" s="275" t="str">
        <f>AA27</f>
        <v>V</v>
      </c>
      <c r="AU79" s="275"/>
      <c r="AV79" s="275"/>
      <c r="AW79" s="275"/>
      <c r="AX79" s="275"/>
      <c r="AY79" s="282" t="s">
        <v>838</v>
      </c>
      <c r="AZ79" s="282"/>
      <c r="BA79" s="283"/>
      <c r="BB79" s="284"/>
    </row>
    <row r="80" spans="1:54" s="273" customFormat="1" ht="30" customHeight="1">
      <c r="A80" s="3710" t="s">
        <v>839</v>
      </c>
      <c r="B80" s="3711"/>
      <c r="C80" s="3711"/>
      <c r="D80" s="3712"/>
      <c r="E80" s="3714" t="s">
        <v>840</v>
      </c>
      <c r="F80" s="3714"/>
      <c r="G80" s="3714"/>
      <c r="H80" s="3714"/>
      <c r="I80" s="3710" t="s">
        <v>841</v>
      </c>
      <c r="J80" s="3711"/>
      <c r="K80" s="3711"/>
      <c r="L80" s="3711"/>
      <c r="M80" s="3712"/>
      <c r="N80" s="3957" t="s">
        <v>842</v>
      </c>
      <c r="O80" s="3711"/>
      <c r="P80" s="3711"/>
      <c r="Q80" s="3711"/>
      <c r="R80" s="3711"/>
      <c r="S80" s="3711"/>
      <c r="T80" s="3711"/>
      <c r="U80" s="3711"/>
      <c r="V80" s="3711"/>
      <c r="W80" s="3720" t="s">
        <v>843</v>
      </c>
      <c r="X80" s="3934"/>
      <c r="Y80" s="3934"/>
      <c r="Z80" s="3934"/>
      <c r="AA80" s="3934"/>
      <c r="AB80" s="3934"/>
      <c r="AC80" s="3934"/>
      <c r="AD80" s="3934"/>
      <c r="AE80" s="3934"/>
      <c r="AF80" s="3720" t="s">
        <v>844</v>
      </c>
      <c r="AG80" s="3934"/>
      <c r="AH80" s="3934"/>
      <c r="AI80" s="3934"/>
      <c r="AJ80" s="3934"/>
      <c r="AK80" s="3934"/>
      <c r="AL80" s="3934"/>
      <c r="AM80" s="3934"/>
      <c r="AN80" s="3934"/>
      <c r="AO80" s="3720" t="s">
        <v>845</v>
      </c>
      <c r="AP80" s="3934"/>
      <c r="AQ80" s="3934"/>
      <c r="AR80" s="3934"/>
      <c r="AS80" s="3934"/>
      <c r="AT80" s="3934"/>
      <c r="AU80" s="3934"/>
      <c r="AV80" s="3934"/>
      <c r="AW80" s="3980"/>
      <c r="AX80" s="1598" t="s">
        <v>4013</v>
      </c>
      <c r="AY80" s="282">
        <f>IF(E81=0.2,2,5)</f>
        <v>5</v>
      </c>
      <c r="AZ80" s="285">
        <f>IF(AY80=2,5,2)</f>
        <v>2</v>
      </c>
      <c r="BA80" s="283"/>
      <c r="BB80" s="284"/>
    </row>
    <row r="81" spans="1:56" s="273" customFormat="1" ht="19.5" customHeight="1">
      <c r="A81" s="3673" t="s">
        <v>846</v>
      </c>
      <c r="B81" s="3673"/>
      <c r="C81" s="3673"/>
      <c r="D81" s="3673"/>
      <c r="E81" s="3962">
        <f>AF7</f>
        <v>0</v>
      </c>
      <c r="F81" s="3962"/>
      <c r="G81" s="3962"/>
      <c r="H81" s="3962"/>
      <c r="I81" s="3926">
        <v>50.5</v>
      </c>
      <c r="J81" s="3927"/>
      <c r="K81" s="3927"/>
      <c r="L81" s="286" t="s">
        <v>847</v>
      </c>
      <c r="M81" s="270" t="s">
        <v>848</v>
      </c>
      <c r="N81" s="3922">
        <v>50.5</v>
      </c>
      <c r="O81" s="3923"/>
      <c r="P81" s="3923"/>
      <c r="Q81" s="3923"/>
      <c r="R81" s="3923"/>
      <c r="S81" s="3923"/>
      <c r="T81" s="3923"/>
      <c r="U81" s="3923"/>
      <c r="V81" s="3924"/>
      <c r="W81" s="3925" t="e">
        <f t="shared" ref="W81:W87" si="10">(N81-$O$32)/($U$32-$O$32)*16+4</f>
        <v>#VALUE!</v>
      </c>
      <c r="X81" s="3925"/>
      <c r="Y81" s="3925"/>
      <c r="Z81" s="3925"/>
      <c r="AA81" s="3925"/>
      <c r="AB81" s="3925"/>
      <c r="AC81" s="3925"/>
      <c r="AD81" s="3925"/>
      <c r="AE81" s="3925"/>
      <c r="AF81" s="3925">
        <v>19.999400000000001</v>
      </c>
      <c r="AG81" s="3925"/>
      <c r="AH81" s="3925"/>
      <c r="AI81" s="3925"/>
      <c r="AJ81" s="3925"/>
      <c r="AK81" s="3925"/>
      <c r="AL81" s="3925"/>
      <c r="AM81" s="3925"/>
      <c r="AN81" s="3925"/>
      <c r="AO81" s="3920" t="e">
        <f t="shared" ref="AO81:AO87" si="11">ROUND((AF81-W81)/16*100*$AZ$82,1)/$AZ$82</f>
        <v>#VALUE!</v>
      </c>
      <c r="AP81" s="3920"/>
      <c r="AQ81" s="3920"/>
      <c r="AR81" s="3920"/>
      <c r="AS81" s="3920"/>
      <c r="AT81" s="3920"/>
      <c r="AU81" s="3920"/>
      <c r="AV81" s="3920"/>
      <c r="AW81" s="3920"/>
      <c r="AX81" s="3904"/>
      <c r="AY81" s="283"/>
      <c r="AZ81" s="283"/>
      <c r="BA81" s="283"/>
      <c r="BB81" s="284"/>
    </row>
    <row r="82" spans="1:56" s="273" customFormat="1" ht="19.5" customHeight="1">
      <c r="A82" s="3673"/>
      <c r="B82" s="3673"/>
      <c r="C82" s="3673"/>
      <c r="D82" s="3673"/>
      <c r="E82" s="3962"/>
      <c r="F82" s="3962"/>
      <c r="G82" s="3962"/>
      <c r="H82" s="3962"/>
      <c r="I82" s="3926">
        <v>50.3</v>
      </c>
      <c r="J82" s="3927"/>
      <c r="K82" s="3927"/>
      <c r="L82" s="286" t="s">
        <v>847</v>
      </c>
      <c r="M82" s="270" t="s">
        <v>848</v>
      </c>
      <c r="N82" s="3922">
        <v>50.3</v>
      </c>
      <c r="O82" s="3923"/>
      <c r="P82" s="3923"/>
      <c r="Q82" s="3923"/>
      <c r="R82" s="3923"/>
      <c r="S82" s="3923"/>
      <c r="T82" s="3923"/>
      <c r="U82" s="3923"/>
      <c r="V82" s="3924"/>
      <c r="W82" s="3925" t="e">
        <f t="shared" si="10"/>
        <v>#VALUE!</v>
      </c>
      <c r="X82" s="3925"/>
      <c r="Y82" s="3925"/>
      <c r="Z82" s="3925"/>
      <c r="AA82" s="3925"/>
      <c r="AB82" s="3925"/>
      <c r="AC82" s="3925"/>
      <c r="AD82" s="3925"/>
      <c r="AE82" s="3925"/>
      <c r="AF82" s="3925">
        <v>16.794499999999999</v>
      </c>
      <c r="AG82" s="3925"/>
      <c r="AH82" s="3925"/>
      <c r="AI82" s="3925"/>
      <c r="AJ82" s="3925"/>
      <c r="AK82" s="3925"/>
      <c r="AL82" s="3925"/>
      <c r="AM82" s="3925"/>
      <c r="AN82" s="3925"/>
      <c r="AO82" s="3920" t="e">
        <f t="shared" si="11"/>
        <v>#VALUE!</v>
      </c>
      <c r="AP82" s="3920"/>
      <c r="AQ82" s="3920"/>
      <c r="AR82" s="3920"/>
      <c r="AS82" s="3920"/>
      <c r="AT82" s="3920"/>
      <c r="AU82" s="3920"/>
      <c r="AV82" s="3920"/>
      <c r="AW82" s="3920"/>
      <c r="AX82" s="3904"/>
      <c r="AY82" s="283"/>
      <c r="AZ82" s="283"/>
      <c r="BA82" s="283"/>
      <c r="BB82" s="284"/>
    </row>
    <row r="83" spans="1:56" s="273" customFormat="1" ht="19.5" customHeight="1">
      <c r="A83" s="3673"/>
      <c r="B83" s="3673"/>
      <c r="C83" s="3673"/>
      <c r="D83" s="3673"/>
      <c r="E83" s="3962"/>
      <c r="F83" s="3962"/>
      <c r="G83" s="3962"/>
      <c r="H83" s="3962"/>
      <c r="I83" s="3926">
        <v>50.1</v>
      </c>
      <c r="J83" s="3927"/>
      <c r="K83" s="3927"/>
      <c r="L83" s="286" t="s">
        <v>847</v>
      </c>
      <c r="M83" s="270" t="s">
        <v>848</v>
      </c>
      <c r="N83" s="3922">
        <v>50.1</v>
      </c>
      <c r="O83" s="3923"/>
      <c r="P83" s="3923"/>
      <c r="Q83" s="3923"/>
      <c r="R83" s="3923"/>
      <c r="S83" s="3923"/>
      <c r="T83" s="3923"/>
      <c r="U83" s="3923"/>
      <c r="V83" s="3924"/>
      <c r="W83" s="3925" t="e">
        <f t="shared" si="10"/>
        <v>#VALUE!</v>
      </c>
      <c r="X83" s="3925"/>
      <c r="Y83" s="3925"/>
      <c r="Z83" s="3925"/>
      <c r="AA83" s="3925"/>
      <c r="AB83" s="3925"/>
      <c r="AC83" s="3925"/>
      <c r="AD83" s="3925"/>
      <c r="AE83" s="3925"/>
      <c r="AF83" s="3925">
        <v>13.59226</v>
      </c>
      <c r="AG83" s="3925"/>
      <c r="AH83" s="3925"/>
      <c r="AI83" s="3925"/>
      <c r="AJ83" s="3925"/>
      <c r="AK83" s="3925"/>
      <c r="AL83" s="3925"/>
      <c r="AM83" s="3925"/>
      <c r="AN83" s="3925"/>
      <c r="AO83" s="3920" t="e">
        <f t="shared" si="11"/>
        <v>#VALUE!</v>
      </c>
      <c r="AP83" s="3920"/>
      <c r="AQ83" s="3920"/>
      <c r="AR83" s="3920"/>
      <c r="AS83" s="3920"/>
      <c r="AT83" s="3920"/>
      <c r="AU83" s="3920"/>
      <c r="AV83" s="3920"/>
      <c r="AW83" s="3920"/>
      <c r="AX83" s="3904"/>
      <c r="AY83" s="283"/>
      <c r="AZ83" s="283"/>
      <c r="BA83" s="283"/>
      <c r="BB83" s="284"/>
    </row>
    <row r="84" spans="1:56" s="273" customFormat="1" ht="19.5" customHeight="1">
      <c r="A84" s="3673"/>
      <c r="B84" s="3673"/>
      <c r="C84" s="3673"/>
      <c r="D84" s="3673"/>
      <c r="E84" s="3962"/>
      <c r="F84" s="3962"/>
      <c r="G84" s="3962"/>
      <c r="H84" s="3962"/>
      <c r="I84" s="3926">
        <v>50</v>
      </c>
      <c r="J84" s="3927"/>
      <c r="K84" s="3927"/>
      <c r="L84" s="286" t="s">
        <v>847</v>
      </c>
      <c r="M84" s="270" t="s">
        <v>848</v>
      </c>
      <c r="N84" s="3922">
        <v>50</v>
      </c>
      <c r="O84" s="3923"/>
      <c r="P84" s="3923"/>
      <c r="Q84" s="3923"/>
      <c r="R84" s="3923"/>
      <c r="S84" s="3923"/>
      <c r="T84" s="3923"/>
      <c r="U84" s="3923"/>
      <c r="V84" s="3924"/>
      <c r="W84" s="3925" t="e">
        <f t="shared" si="10"/>
        <v>#VALUE!</v>
      </c>
      <c r="X84" s="3925"/>
      <c r="Y84" s="3925"/>
      <c r="Z84" s="3925"/>
      <c r="AA84" s="3925"/>
      <c r="AB84" s="3925"/>
      <c r="AC84" s="3925"/>
      <c r="AD84" s="3925"/>
      <c r="AE84" s="3925"/>
      <c r="AF84" s="3925">
        <v>11.99067</v>
      </c>
      <c r="AG84" s="3925"/>
      <c r="AH84" s="3925"/>
      <c r="AI84" s="3925"/>
      <c r="AJ84" s="3925"/>
      <c r="AK84" s="3925"/>
      <c r="AL84" s="3925"/>
      <c r="AM84" s="3925"/>
      <c r="AN84" s="3925"/>
      <c r="AO84" s="3920" t="e">
        <f t="shared" si="11"/>
        <v>#VALUE!</v>
      </c>
      <c r="AP84" s="3920"/>
      <c r="AQ84" s="3920"/>
      <c r="AR84" s="3920"/>
      <c r="AS84" s="3920"/>
      <c r="AT84" s="3920"/>
      <c r="AU84" s="3920"/>
      <c r="AV84" s="3920"/>
      <c r="AW84" s="3920"/>
      <c r="AX84" s="3904"/>
      <c r="AY84" s="283"/>
      <c r="AZ84" s="283"/>
      <c r="BA84" s="283"/>
      <c r="BB84" s="284"/>
      <c r="BD84" s="273">
        <v>10.3698</v>
      </c>
    </row>
    <row r="85" spans="1:56" s="273" customFormat="1" ht="19.5" customHeight="1">
      <c r="A85" s="3673"/>
      <c r="B85" s="3673"/>
      <c r="C85" s="3673"/>
      <c r="D85" s="3673"/>
      <c r="E85" s="3962"/>
      <c r="F85" s="3962"/>
      <c r="G85" s="3962"/>
      <c r="H85" s="3962"/>
      <c r="I85" s="3926">
        <v>49.9</v>
      </c>
      <c r="J85" s="3927"/>
      <c r="K85" s="3927"/>
      <c r="L85" s="286" t="s">
        <v>847</v>
      </c>
      <c r="M85" s="270" t="s">
        <v>848</v>
      </c>
      <c r="N85" s="3922">
        <v>49.9</v>
      </c>
      <c r="O85" s="3923"/>
      <c r="P85" s="3923"/>
      <c r="Q85" s="3923"/>
      <c r="R85" s="3923"/>
      <c r="S85" s="3923"/>
      <c r="T85" s="3923"/>
      <c r="U85" s="3923"/>
      <c r="V85" s="3924"/>
      <c r="W85" s="3925" t="e">
        <f t="shared" si="10"/>
        <v>#VALUE!</v>
      </c>
      <c r="X85" s="3925"/>
      <c r="Y85" s="3925"/>
      <c r="Z85" s="3925"/>
      <c r="AA85" s="3925"/>
      <c r="AB85" s="3925"/>
      <c r="AC85" s="3925"/>
      <c r="AD85" s="3925"/>
      <c r="AE85" s="3925"/>
      <c r="AF85" s="3925">
        <v>10.3986</v>
      </c>
      <c r="AG85" s="3925"/>
      <c r="AH85" s="3925"/>
      <c r="AI85" s="3925"/>
      <c r="AJ85" s="3925"/>
      <c r="AK85" s="3925"/>
      <c r="AL85" s="3925"/>
      <c r="AM85" s="3925"/>
      <c r="AN85" s="3925"/>
      <c r="AO85" s="3920" t="e">
        <f t="shared" si="11"/>
        <v>#VALUE!</v>
      </c>
      <c r="AP85" s="3920"/>
      <c r="AQ85" s="3920"/>
      <c r="AR85" s="3920"/>
      <c r="AS85" s="3920"/>
      <c r="AT85" s="3920"/>
      <c r="AU85" s="3920"/>
      <c r="AV85" s="3920"/>
      <c r="AW85" s="3920"/>
      <c r="AX85" s="3904"/>
      <c r="AY85" s="283"/>
      <c r="AZ85" s="283"/>
      <c r="BA85" s="283"/>
      <c r="BB85" s="284"/>
    </row>
    <row r="86" spans="1:56" s="273" customFormat="1" ht="19.5" customHeight="1">
      <c r="A86" s="3673"/>
      <c r="B86" s="3673"/>
      <c r="C86" s="3673"/>
      <c r="D86" s="3673"/>
      <c r="E86" s="3962"/>
      <c r="F86" s="3962"/>
      <c r="G86" s="3962"/>
      <c r="H86" s="3962"/>
      <c r="I86" s="3926">
        <v>49.7</v>
      </c>
      <c r="J86" s="3927"/>
      <c r="K86" s="3927"/>
      <c r="L86" s="286" t="s">
        <v>847</v>
      </c>
      <c r="M86" s="270" t="s">
        <v>848</v>
      </c>
      <c r="N86" s="3922">
        <v>49.7</v>
      </c>
      <c r="O86" s="3923"/>
      <c r="P86" s="3923"/>
      <c r="Q86" s="3923"/>
      <c r="R86" s="3923"/>
      <c r="S86" s="3923"/>
      <c r="T86" s="3923"/>
      <c r="U86" s="3923"/>
      <c r="V86" s="3924"/>
      <c r="W86" s="3925" t="e">
        <f t="shared" si="10"/>
        <v>#VALUE!</v>
      </c>
      <c r="X86" s="3925"/>
      <c r="Y86" s="3925"/>
      <c r="Z86" s="3925"/>
      <c r="AA86" s="3925"/>
      <c r="AB86" s="3925"/>
      <c r="AC86" s="3925"/>
      <c r="AD86" s="3925"/>
      <c r="AE86" s="3925"/>
      <c r="AF86" s="3925">
        <v>7.1874399999999996</v>
      </c>
      <c r="AG86" s="3925"/>
      <c r="AH86" s="3925"/>
      <c r="AI86" s="3925"/>
      <c r="AJ86" s="3925"/>
      <c r="AK86" s="3925"/>
      <c r="AL86" s="3925"/>
      <c r="AM86" s="3925"/>
      <c r="AN86" s="3925"/>
      <c r="AO86" s="3920" t="e">
        <f t="shared" si="11"/>
        <v>#VALUE!</v>
      </c>
      <c r="AP86" s="3920"/>
      <c r="AQ86" s="3920"/>
      <c r="AR86" s="3920"/>
      <c r="AS86" s="3920"/>
      <c r="AT86" s="3920"/>
      <c r="AU86" s="3920"/>
      <c r="AV86" s="3920"/>
      <c r="AW86" s="3920"/>
      <c r="AX86" s="3904"/>
      <c r="AY86" s="283"/>
      <c r="AZ86" s="283"/>
      <c r="BA86" s="283"/>
      <c r="BB86" s="284"/>
    </row>
    <row r="87" spans="1:56" s="273" customFormat="1" ht="19.5" customHeight="1">
      <c r="A87" s="3673"/>
      <c r="B87" s="3673"/>
      <c r="C87" s="3673"/>
      <c r="D87" s="3673"/>
      <c r="E87" s="3962"/>
      <c r="F87" s="3962"/>
      <c r="G87" s="3962"/>
      <c r="H87" s="3962"/>
      <c r="I87" s="3926">
        <v>49.5</v>
      </c>
      <c r="J87" s="3927"/>
      <c r="K87" s="3927"/>
      <c r="L87" s="286" t="s">
        <v>847</v>
      </c>
      <c r="M87" s="270" t="s">
        <v>848</v>
      </c>
      <c r="N87" s="3922">
        <v>49.5</v>
      </c>
      <c r="O87" s="3923"/>
      <c r="P87" s="3923"/>
      <c r="Q87" s="3923"/>
      <c r="R87" s="3923"/>
      <c r="S87" s="3923"/>
      <c r="T87" s="3923"/>
      <c r="U87" s="3923"/>
      <c r="V87" s="3924"/>
      <c r="W87" s="3925" t="e">
        <f t="shared" si="10"/>
        <v>#VALUE!</v>
      </c>
      <c r="X87" s="3925"/>
      <c r="Y87" s="3925"/>
      <c r="Z87" s="3925"/>
      <c r="AA87" s="3925"/>
      <c r="AB87" s="3925"/>
      <c r="AC87" s="3925"/>
      <c r="AD87" s="3925"/>
      <c r="AE87" s="3925"/>
      <c r="AF87" s="3948">
        <v>3.9854799999999999</v>
      </c>
      <c r="AG87" s="3948"/>
      <c r="AH87" s="3948"/>
      <c r="AI87" s="3948"/>
      <c r="AJ87" s="3948"/>
      <c r="AK87" s="3948"/>
      <c r="AL87" s="3948"/>
      <c r="AM87" s="3948"/>
      <c r="AN87" s="3948"/>
      <c r="AO87" s="3920" t="e">
        <f t="shared" si="11"/>
        <v>#VALUE!</v>
      </c>
      <c r="AP87" s="3920"/>
      <c r="AQ87" s="3920"/>
      <c r="AR87" s="3920"/>
      <c r="AS87" s="3920"/>
      <c r="AT87" s="3920"/>
      <c r="AU87" s="3920"/>
      <c r="AV87" s="3920"/>
      <c r="AW87" s="3920"/>
      <c r="AX87" s="3904"/>
      <c r="AY87" s="283"/>
      <c r="AZ87" s="283"/>
      <c r="BA87" s="283"/>
      <c r="BB87" s="284"/>
    </row>
    <row r="88" spans="1:56" s="273" customFormat="1" ht="19.5" customHeight="1">
      <c r="A88" s="301"/>
      <c r="B88" s="301"/>
      <c r="C88" s="301"/>
      <c r="D88" s="301"/>
      <c r="E88" s="289"/>
      <c r="F88" s="289"/>
      <c r="G88" s="289"/>
      <c r="H88" s="289"/>
      <c r="I88" s="290"/>
      <c r="J88" s="290"/>
      <c r="K88" s="290"/>
      <c r="L88" s="287"/>
      <c r="M88" s="288"/>
      <c r="N88" s="302"/>
      <c r="O88" s="302"/>
      <c r="P88" s="302"/>
      <c r="Q88" s="302"/>
      <c r="R88" s="303"/>
      <c r="S88" s="303"/>
      <c r="T88" s="303"/>
      <c r="U88" s="303"/>
      <c r="V88" s="303"/>
      <c r="W88" s="303"/>
      <c r="X88" s="303"/>
      <c r="Y88" s="303"/>
      <c r="Z88" s="303"/>
      <c r="AA88" s="292"/>
      <c r="AB88" s="292"/>
      <c r="AC88" s="292"/>
      <c r="AD88" s="292"/>
      <c r="AE88" s="292"/>
      <c r="AF88" s="292"/>
      <c r="AG88" s="292"/>
      <c r="AH88" s="292"/>
      <c r="AI88" s="304"/>
      <c r="AJ88" s="304"/>
      <c r="AK88" s="304"/>
      <c r="AL88" s="304"/>
      <c r="AM88" s="304"/>
      <c r="AN88" s="304"/>
      <c r="AO88" s="304"/>
      <c r="AP88" s="304"/>
      <c r="AQ88" s="305"/>
      <c r="AR88" s="305"/>
      <c r="AS88" s="305"/>
      <c r="AT88" s="305"/>
      <c r="AU88" s="305"/>
      <c r="AV88" s="305"/>
      <c r="AW88" s="305"/>
      <c r="AZ88" s="283"/>
      <c r="BA88" s="283"/>
    </row>
    <row r="89" spans="1:56" s="273" customFormat="1" ht="19.5" customHeight="1">
      <c r="A89" s="275"/>
      <c r="B89" s="275"/>
      <c r="C89" s="276" t="s">
        <v>902</v>
      </c>
      <c r="D89" s="276"/>
      <c r="E89" s="276"/>
      <c r="F89" s="276"/>
      <c r="G89" s="276"/>
      <c r="H89" s="275"/>
      <c r="I89" s="275"/>
      <c r="J89" s="276"/>
      <c r="K89" s="278"/>
      <c r="L89" s="278"/>
      <c r="M89" s="278"/>
      <c r="N89" s="279" t="s">
        <v>825</v>
      </c>
      <c r="O89" s="278"/>
      <c r="P89" s="278"/>
      <c r="Q89" s="278"/>
      <c r="R89" s="278"/>
      <c r="S89" s="276" t="s">
        <v>853</v>
      </c>
      <c r="T89" s="276"/>
      <c r="U89" s="3950" t="s">
        <v>854</v>
      </c>
      <c r="V89" s="3951"/>
      <c r="W89" s="276" t="s">
        <v>903</v>
      </c>
      <c r="Y89" s="276" t="s">
        <v>918</v>
      </c>
      <c r="Z89" s="276"/>
      <c r="AA89" s="276"/>
      <c r="AB89" s="276"/>
      <c r="AC89" s="276"/>
      <c r="AD89" s="275"/>
      <c r="AE89" s="275"/>
      <c r="AF89" s="280"/>
      <c r="AG89" s="281"/>
      <c r="AH89" s="275" t="s">
        <v>889</v>
      </c>
      <c r="AI89" s="3952" t="s">
        <v>890</v>
      </c>
      <c r="AJ89" s="3952"/>
      <c r="AK89" s="3952"/>
      <c r="AL89" s="3952"/>
      <c r="AM89" s="3953"/>
      <c r="AN89" s="3953"/>
      <c r="AO89" s="3953"/>
      <c r="AP89" s="3953"/>
      <c r="AQ89" s="3956" t="s">
        <v>891</v>
      </c>
      <c r="AR89" s="1970"/>
      <c r="AS89" s="1970"/>
      <c r="AT89" s="1970"/>
      <c r="AU89" s="1970"/>
      <c r="AV89" s="275"/>
      <c r="AW89" s="277"/>
      <c r="AY89" s="282" t="s">
        <v>838</v>
      </c>
      <c r="AZ89" s="282"/>
      <c r="BA89" s="283"/>
    </row>
    <row r="90" spans="1:56" s="273" customFormat="1" ht="30" customHeight="1">
      <c r="A90" s="3710" t="s">
        <v>839</v>
      </c>
      <c r="B90" s="3711"/>
      <c r="C90" s="3711"/>
      <c r="D90" s="3712"/>
      <c r="E90" s="3714" t="s">
        <v>840</v>
      </c>
      <c r="F90" s="3714"/>
      <c r="G90" s="3714"/>
      <c r="H90" s="3714"/>
      <c r="I90" s="3710" t="s">
        <v>841</v>
      </c>
      <c r="J90" s="3711"/>
      <c r="K90" s="3711"/>
      <c r="L90" s="3711"/>
      <c r="M90" s="3712"/>
      <c r="N90" s="1749" t="s">
        <v>835</v>
      </c>
      <c r="O90" s="1749"/>
      <c r="P90" s="1749" t="s">
        <v>904</v>
      </c>
      <c r="Q90" s="1749"/>
      <c r="R90" s="3994" t="s">
        <v>905</v>
      </c>
      <c r="S90" s="3995"/>
      <c r="T90" s="3995"/>
      <c r="U90" s="3995"/>
      <c r="V90" s="3995"/>
      <c r="W90" s="3995"/>
      <c r="X90" s="3995"/>
      <c r="Y90" s="3995"/>
      <c r="Z90" s="3996"/>
      <c r="AA90" s="3720" t="s">
        <v>843</v>
      </c>
      <c r="AB90" s="3954"/>
      <c r="AC90" s="3954"/>
      <c r="AD90" s="3954"/>
      <c r="AE90" s="3954"/>
      <c r="AF90" s="3954"/>
      <c r="AG90" s="3954"/>
      <c r="AH90" s="3955"/>
      <c r="AI90" s="3720" t="s">
        <v>844</v>
      </c>
      <c r="AJ90" s="3954"/>
      <c r="AK90" s="3954"/>
      <c r="AL90" s="3954"/>
      <c r="AM90" s="3954"/>
      <c r="AN90" s="3954"/>
      <c r="AO90" s="3954"/>
      <c r="AP90" s="3955"/>
      <c r="AQ90" s="3957" t="s">
        <v>845</v>
      </c>
      <c r="AR90" s="3958"/>
      <c r="AS90" s="3958"/>
      <c r="AT90" s="3958"/>
      <c r="AU90" s="3958"/>
      <c r="AV90" s="3958"/>
      <c r="AW90" s="3959"/>
      <c r="AY90" s="294">
        <f>IF(E91=0.2,2,5)</f>
        <v>5</v>
      </c>
      <c r="AZ90" s="285">
        <f>IF(AY90=2,5,2)</f>
        <v>2</v>
      </c>
      <c r="BA90" s="283"/>
    </row>
    <row r="91" spans="1:56" s="273" customFormat="1" ht="19.5" customHeight="1">
      <c r="A91" s="3673" t="s">
        <v>906</v>
      </c>
      <c r="B91" s="3673"/>
      <c r="C91" s="3673"/>
      <c r="D91" s="3673"/>
      <c r="E91" s="3962">
        <f>AF51</f>
        <v>0</v>
      </c>
      <c r="F91" s="3962"/>
      <c r="G91" s="3962"/>
      <c r="H91" s="3962"/>
      <c r="I91" s="3926">
        <v>0.5</v>
      </c>
      <c r="J91" s="3927"/>
      <c r="K91" s="3927"/>
      <c r="L91" s="295" t="s">
        <v>907</v>
      </c>
      <c r="M91" s="296"/>
      <c r="N91" s="1749" t="s">
        <v>908</v>
      </c>
      <c r="O91" s="1749"/>
      <c r="P91" s="1749" t="s">
        <v>909</v>
      </c>
      <c r="Q91" s="1749"/>
      <c r="R91" s="3968" t="s">
        <v>910</v>
      </c>
      <c r="S91" s="3968"/>
      <c r="T91" s="3968"/>
      <c r="U91" s="3968"/>
      <c r="V91" s="3968"/>
      <c r="W91" s="3968"/>
      <c r="X91" s="3968"/>
      <c r="Y91" s="3968"/>
      <c r="Z91" s="3968"/>
      <c r="AA91" s="3925">
        <v>20</v>
      </c>
      <c r="AB91" s="3925"/>
      <c r="AC91" s="3925"/>
      <c r="AD91" s="3925"/>
      <c r="AE91" s="3925"/>
      <c r="AF91" s="3925"/>
      <c r="AG91" s="3925"/>
      <c r="AH91" s="3925"/>
      <c r="AI91" s="3961">
        <v>20.020800000000001</v>
      </c>
      <c r="AJ91" s="3961"/>
      <c r="AK91" s="3961"/>
      <c r="AL91" s="3961"/>
      <c r="AM91" s="3961"/>
      <c r="AN91" s="3961"/>
      <c r="AO91" s="3961"/>
      <c r="AP91" s="3961"/>
      <c r="AQ91" s="3940" t="e">
        <f>ROUND((AI91-AA91)/16*100*$AZ$84,1)/$AZ$84</f>
        <v>#DIV/0!</v>
      </c>
      <c r="AR91" s="3941"/>
      <c r="AS91" s="3941"/>
      <c r="AT91" s="3941"/>
      <c r="AU91" s="3941"/>
      <c r="AV91" s="3941"/>
      <c r="AW91" s="3942"/>
      <c r="AY91" s="273">
        <f>$AR$83*I91/100</f>
        <v>0</v>
      </c>
      <c r="AZ91" s="283"/>
      <c r="BA91" s="283"/>
      <c r="BB91" s="300">
        <f>AR89</f>
        <v>0</v>
      </c>
    </row>
    <row r="92" spans="1:56" s="273" customFormat="1" ht="19.5" customHeight="1">
      <c r="A92" s="3673"/>
      <c r="B92" s="3673"/>
      <c r="C92" s="3673"/>
      <c r="D92" s="3673"/>
      <c r="E92" s="3962"/>
      <c r="F92" s="3962"/>
      <c r="G92" s="3962"/>
      <c r="H92" s="3962"/>
      <c r="I92" s="3926">
        <v>0.8</v>
      </c>
      <c r="J92" s="3927"/>
      <c r="K92" s="3927"/>
      <c r="L92" s="295" t="s">
        <v>907</v>
      </c>
      <c r="M92" s="296"/>
      <c r="N92" s="1749"/>
      <c r="O92" s="1749"/>
      <c r="P92" s="1749"/>
      <c r="Q92" s="1749"/>
      <c r="R92" s="3968" t="s">
        <v>911</v>
      </c>
      <c r="S92" s="3968"/>
      <c r="T92" s="3968"/>
      <c r="U92" s="3968"/>
      <c r="V92" s="3968"/>
      <c r="W92" s="3968"/>
      <c r="X92" s="3968"/>
      <c r="Y92" s="3968"/>
      <c r="Z92" s="3968"/>
      <c r="AA92" s="3925">
        <v>14.144</v>
      </c>
      <c r="AB92" s="3925"/>
      <c r="AC92" s="3925"/>
      <c r="AD92" s="3925"/>
      <c r="AE92" s="3925"/>
      <c r="AF92" s="3925"/>
      <c r="AG92" s="3925"/>
      <c r="AH92" s="3925"/>
      <c r="AI92" s="3961">
        <v>14.3813</v>
      </c>
      <c r="AJ92" s="3961"/>
      <c r="AK92" s="3961"/>
      <c r="AL92" s="3961"/>
      <c r="AM92" s="3961"/>
      <c r="AN92" s="3961"/>
      <c r="AO92" s="3961"/>
      <c r="AP92" s="3961"/>
      <c r="AQ92" s="3940" t="e">
        <f>ROUND((AI92-AA92)/16*100*$AZ$84,1)/$AZ$84</f>
        <v>#DIV/0!</v>
      </c>
      <c r="AR92" s="3941"/>
      <c r="AS92" s="3941"/>
      <c r="AT92" s="3941"/>
      <c r="AU92" s="3941"/>
      <c r="AV92" s="3941"/>
      <c r="AW92" s="3942"/>
      <c r="AY92" s="273">
        <f>$AR$83*I92/100</f>
        <v>0</v>
      </c>
      <c r="AZ92" s="283"/>
      <c r="BA92" s="283"/>
      <c r="BB92" s="273">
        <f>AR89*0.8</f>
        <v>0</v>
      </c>
    </row>
    <row r="93" spans="1:56" s="273" customFormat="1" ht="19.5" customHeight="1">
      <c r="A93" s="3673"/>
      <c r="B93" s="3673"/>
      <c r="C93" s="3673"/>
      <c r="D93" s="3673"/>
      <c r="E93" s="3962"/>
      <c r="F93" s="3962"/>
      <c r="G93" s="3962"/>
      <c r="H93" s="3962"/>
      <c r="I93" s="3926">
        <v>1</v>
      </c>
      <c r="J93" s="3927"/>
      <c r="K93" s="3927"/>
      <c r="L93" s="295"/>
      <c r="M93" s="296"/>
      <c r="N93" s="1749"/>
      <c r="O93" s="1749"/>
      <c r="P93" s="1749"/>
      <c r="Q93" s="1749"/>
      <c r="R93" s="3968" t="s">
        <v>912</v>
      </c>
      <c r="S93" s="3968"/>
      <c r="T93" s="3968"/>
      <c r="U93" s="3968"/>
      <c r="V93" s="3968"/>
      <c r="W93" s="3968"/>
      <c r="X93" s="3968"/>
      <c r="Y93" s="3968"/>
      <c r="Z93" s="3968"/>
      <c r="AA93" s="3925">
        <v>12</v>
      </c>
      <c r="AB93" s="3925"/>
      <c r="AC93" s="3925"/>
      <c r="AD93" s="3925"/>
      <c r="AE93" s="3925"/>
      <c r="AF93" s="3925"/>
      <c r="AG93" s="3925"/>
      <c r="AH93" s="3925"/>
      <c r="AI93" s="3961">
        <v>12.019299999999999</v>
      </c>
      <c r="AJ93" s="3961"/>
      <c r="AK93" s="3961"/>
      <c r="AL93" s="3961"/>
      <c r="AM93" s="3961"/>
      <c r="AN93" s="3961"/>
      <c r="AO93" s="3961"/>
      <c r="AP93" s="3961"/>
      <c r="AQ93" s="3940" t="e">
        <f>ROUND((AI93-AA93)/16*100*$AZ$84,1)/$AZ$84</f>
        <v>#DIV/0!</v>
      </c>
      <c r="AR93" s="3941"/>
      <c r="AS93" s="3941"/>
      <c r="AT93" s="3941"/>
      <c r="AU93" s="3941"/>
      <c r="AV93" s="3941"/>
      <c r="AW93" s="3942"/>
      <c r="AY93" s="273">
        <f>$AR$83*I93/100</f>
        <v>0</v>
      </c>
      <c r="AZ93" s="283"/>
      <c r="BA93" s="283"/>
      <c r="BB93" s="273">
        <f>AR89*0.6</f>
        <v>0</v>
      </c>
    </row>
    <row r="94" spans="1:56" s="273" customFormat="1" ht="19.5" customHeight="1">
      <c r="A94" s="3673"/>
      <c r="B94" s="3673"/>
      <c r="C94" s="3673"/>
      <c r="D94" s="3673"/>
      <c r="E94" s="3962"/>
      <c r="F94" s="3962"/>
      <c r="G94" s="3962"/>
      <c r="H94" s="3962"/>
      <c r="I94" s="3926">
        <v>0.8</v>
      </c>
      <c r="J94" s="3927"/>
      <c r="K94" s="3927"/>
      <c r="L94" s="295" t="s">
        <v>913</v>
      </c>
      <c r="M94" s="296"/>
      <c r="N94" s="1749"/>
      <c r="O94" s="1749"/>
      <c r="P94" s="1749"/>
      <c r="Q94" s="1749"/>
      <c r="R94" s="3968" t="s">
        <v>914</v>
      </c>
      <c r="S94" s="3968"/>
      <c r="T94" s="3968"/>
      <c r="U94" s="3968"/>
      <c r="V94" s="3968"/>
      <c r="W94" s="3968"/>
      <c r="X94" s="3968"/>
      <c r="Y94" s="3968"/>
      <c r="Z94" s="3968"/>
      <c r="AA94" s="3925">
        <v>9.8559999999999999</v>
      </c>
      <c r="AB94" s="3925"/>
      <c r="AC94" s="3925"/>
      <c r="AD94" s="3925"/>
      <c r="AE94" s="3925"/>
      <c r="AF94" s="3925"/>
      <c r="AG94" s="3925"/>
      <c r="AH94" s="3925"/>
      <c r="AI94" s="3961">
        <v>10.0783</v>
      </c>
      <c r="AJ94" s="3961"/>
      <c r="AK94" s="3961"/>
      <c r="AL94" s="3961"/>
      <c r="AM94" s="3961"/>
      <c r="AN94" s="3961"/>
      <c r="AO94" s="3961"/>
      <c r="AP94" s="3961"/>
      <c r="AQ94" s="3940" t="e">
        <f>ROUND((AI94-AA94)/16*100*$AZ$84,1)/$AZ$84</f>
        <v>#DIV/0!</v>
      </c>
      <c r="AR94" s="3941"/>
      <c r="AS94" s="3941"/>
      <c r="AT94" s="3941"/>
      <c r="AU94" s="3941"/>
      <c r="AV94" s="3941"/>
      <c r="AW94" s="3942"/>
      <c r="AY94" s="273">
        <f>$AR$83*I94/100</f>
        <v>0</v>
      </c>
      <c r="AZ94" s="283"/>
      <c r="BA94" s="283"/>
      <c r="BB94" s="273">
        <f>AR89*0.4</f>
        <v>0</v>
      </c>
    </row>
    <row r="95" spans="1:56" s="273" customFormat="1" ht="19.5" customHeight="1">
      <c r="A95" s="3673"/>
      <c r="B95" s="3673"/>
      <c r="C95" s="3673"/>
      <c r="D95" s="3673"/>
      <c r="E95" s="3962"/>
      <c r="F95" s="3962"/>
      <c r="G95" s="3962"/>
      <c r="H95" s="3962"/>
      <c r="I95" s="3926">
        <v>0.5</v>
      </c>
      <c r="J95" s="3927"/>
      <c r="K95" s="3927"/>
      <c r="L95" s="295" t="s">
        <v>913</v>
      </c>
      <c r="M95" s="296"/>
      <c r="N95" s="1749"/>
      <c r="O95" s="1749"/>
      <c r="P95" s="1749"/>
      <c r="Q95" s="1749"/>
      <c r="R95" s="3968" t="s">
        <v>915</v>
      </c>
      <c r="S95" s="3968"/>
      <c r="T95" s="3968"/>
      <c r="U95" s="3968"/>
      <c r="V95" s="3968"/>
      <c r="W95" s="3968"/>
      <c r="X95" s="3968"/>
      <c r="Y95" s="3968"/>
      <c r="Z95" s="3968"/>
      <c r="AA95" s="3925">
        <v>4</v>
      </c>
      <c r="AB95" s="3925"/>
      <c r="AC95" s="3925"/>
      <c r="AD95" s="3925"/>
      <c r="AE95" s="3925"/>
      <c r="AF95" s="3925"/>
      <c r="AG95" s="3925"/>
      <c r="AH95" s="3925"/>
      <c r="AI95" s="3961">
        <v>4.3712999999999997</v>
      </c>
      <c r="AJ95" s="3961"/>
      <c r="AK95" s="3961"/>
      <c r="AL95" s="3961"/>
      <c r="AM95" s="3961"/>
      <c r="AN95" s="3961"/>
      <c r="AO95" s="3961"/>
      <c r="AP95" s="3961"/>
      <c r="AQ95" s="3940" t="e">
        <f>ROUND((AI95-AA95)/16*100*$AZ$84,1)/$AZ$84</f>
        <v>#DIV/0!</v>
      </c>
      <c r="AR95" s="3941"/>
      <c r="AS95" s="3941"/>
      <c r="AT95" s="3941"/>
      <c r="AU95" s="3941"/>
      <c r="AV95" s="3941"/>
      <c r="AW95" s="3942"/>
      <c r="AY95" s="273">
        <f>$AR$83*I95/100</f>
        <v>0</v>
      </c>
      <c r="AZ95" s="283"/>
      <c r="BA95" s="283"/>
      <c r="BB95" s="273">
        <f>AR89*0.2</f>
        <v>0</v>
      </c>
    </row>
    <row r="96" spans="1:56" s="273" customFormat="1" ht="19.5" customHeight="1"/>
    <row r="97" spans="1:53" s="273" customFormat="1" ht="19.5" customHeight="1">
      <c r="A97" s="275"/>
      <c r="B97" s="275"/>
      <c r="C97" s="276" t="s">
        <v>916</v>
      </c>
      <c r="D97" s="276"/>
      <c r="E97" s="276"/>
      <c r="F97" s="276"/>
      <c r="G97" s="276"/>
      <c r="H97" s="275"/>
      <c r="I97" s="275"/>
      <c r="J97" s="276"/>
      <c r="K97" s="278"/>
      <c r="L97" s="278"/>
      <c r="M97" s="278"/>
      <c r="N97" s="279" t="s">
        <v>825</v>
      </c>
      <c r="O97" s="278"/>
      <c r="P97" s="278"/>
      <c r="Q97" s="278"/>
      <c r="R97" s="278"/>
      <c r="S97" s="276" t="s">
        <v>853</v>
      </c>
      <c r="T97" s="276"/>
      <c r="U97" s="3950" t="s">
        <v>854</v>
      </c>
      <c r="V97" s="3951"/>
      <c r="W97" s="276" t="s">
        <v>903</v>
      </c>
      <c r="Y97" s="276" t="s">
        <v>918</v>
      </c>
      <c r="Z97" s="276"/>
      <c r="AA97" s="276"/>
      <c r="AB97" s="276"/>
      <c r="AC97" s="276"/>
      <c r="AD97" s="275"/>
      <c r="AE97" s="275"/>
      <c r="AF97" s="280"/>
      <c r="AG97" s="281"/>
      <c r="AH97" s="275" t="s">
        <v>889</v>
      </c>
      <c r="AI97" s="3952" t="s">
        <v>890</v>
      </c>
      <c r="AJ97" s="3952"/>
      <c r="AK97" s="3952"/>
      <c r="AL97" s="3952"/>
      <c r="AM97" s="3953"/>
      <c r="AN97" s="3953"/>
      <c r="AO97" s="3953"/>
      <c r="AP97" s="3953"/>
      <c r="AQ97" s="3956" t="s">
        <v>891</v>
      </c>
      <c r="AR97" s="1970"/>
      <c r="AS97" s="1970"/>
      <c r="AT97" s="1970"/>
      <c r="AU97" s="1970"/>
      <c r="AV97" s="275"/>
      <c r="AW97" s="277"/>
      <c r="AY97" s="282" t="s">
        <v>838</v>
      </c>
      <c r="AZ97" s="282"/>
      <c r="BA97" s="283"/>
    </row>
    <row r="98" spans="1:53" s="273" customFormat="1" ht="30" customHeight="1">
      <c r="A98" s="3710" t="s">
        <v>839</v>
      </c>
      <c r="B98" s="3711"/>
      <c r="C98" s="3711"/>
      <c r="D98" s="3712"/>
      <c r="E98" s="3714" t="s">
        <v>840</v>
      </c>
      <c r="F98" s="3714"/>
      <c r="G98" s="3714"/>
      <c r="H98" s="3714"/>
      <c r="I98" s="3710" t="s">
        <v>841</v>
      </c>
      <c r="J98" s="3711"/>
      <c r="K98" s="3711"/>
      <c r="L98" s="3711"/>
      <c r="M98" s="3712"/>
      <c r="N98" s="3720" t="s">
        <v>917</v>
      </c>
      <c r="O98" s="3954"/>
      <c r="P98" s="3954"/>
      <c r="Q98" s="3954"/>
      <c r="R98" s="3954"/>
      <c r="S98" s="3954"/>
      <c r="T98" s="3954"/>
      <c r="U98" s="3954"/>
      <c r="V98" s="3955"/>
      <c r="W98" s="3720" t="s">
        <v>843</v>
      </c>
      <c r="X98" s="3954"/>
      <c r="Y98" s="3954"/>
      <c r="Z98" s="3954"/>
      <c r="AA98" s="3954"/>
      <c r="AB98" s="3954"/>
      <c r="AC98" s="3954"/>
      <c r="AD98" s="3955"/>
      <c r="AE98" s="3720" t="s">
        <v>844</v>
      </c>
      <c r="AF98" s="3954"/>
      <c r="AG98" s="3954"/>
      <c r="AH98" s="3954"/>
      <c r="AI98" s="3954"/>
      <c r="AJ98" s="3954"/>
      <c r="AK98" s="3954"/>
      <c r="AL98" s="3955"/>
      <c r="AM98" s="3957" t="s">
        <v>845</v>
      </c>
      <c r="AN98" s="3958"/>
      <c r="AO98" s="3958"/>
      <c r="AP98" s="3958"/>
      <c r="AQ98" s="3958"/>
      <c r="AR98" s="3958"/>
      <c r="AS98" s="3959"/>
      <c r="AU98" s="294">
        <f>IF(E99=0.2,2,5)</f>
        <v>5</v>
      </c>
      <c r="AV98" s="285">
        <f>IF(AU98=2,5,2)</f>
        <v>2</v>
      </c>
      <c r="AW98" s="283"/>
    </row>
    <row r="99" spans="1:53" s="273" customFormat="1" ht="19.5" customHeight="1">
      <c r="A99" s="3673" t="s">
        <v>893</v>
      </c>
      <c r="B99" s="3673"/>
      <c r="C99" s="3673"/>
      <c r="D99" s="3673"/>
      <c r="E99" s="3974">
        <f>E59</f>
        <v>0</v>
      </c>
      <c r="F99" s="3974"/>
      <c r="G99" s="3974"/>
      <c r="H99" s="3974"/>
      <c r="I99" s="3969">
        <v>0</v>
      </c>
      <c r="J99" s="3970"/>
      <c r="K99" s="3970"/>
      <c r="L99" s="295"/>
      <c r="M99" s="1697" t="s">
        <v>4431</v>
      </c>
      <c r="N99" s="3975" t="s">
        <v>4430</v>
      </c>
      <c r="O99" s="3971"/>
      <c r="P99" s="3971"/>
      <c r="Q99" s="3971"/>
      <c r="R99" s="3971"/>
      <c r="S99" s="3971"/>
      <c r="T99" s="3971"/>
      <c r="U99" s="3971"/>
      <c r="V99" s="3971"/>
      <c r="W99" s="3973" t="e">
        <f>(N99/($S$31))*16+4</f>
        <v>#VALUE!</v>
      </c>
      <c r="X99" s="3973"/>
      <c r="Y99" s="3973"/>
      <c r="Z99" s="3973"/>
      <c r="AA99" s="3973"/>
      <c r="AB99" s="3973"/>
      <c r="AC99" s="3973"/>
      <c r="AD99" s="3973"/>
      <c r="AE99" s="3972">
        <v>20.0212</v>
      </c>
      <c r="AF99" s="3972"/>
      <c r="AG99" s="3972"/>
      <c r="AH99" s="3972"/>
      <c r="AI99" s="3972"/>
      <c r="AJ99" s="3972"/>
      <c r="AK99" s="3972"/>
      <c r="AL99" s="3972"/>
      <c r="AM99" s="3940" t="e">
        <f>ROUND((AE99-W99)/16*100*$AZ$82,1)/$AZ$82</f>
        <v>#VALUE!</v>
      </c>
      <c r="AN99" s="3941"/>
      <c r="AO99" s="3941"/>
      <c r="AP99" s="3941"/>
      <c r="AQ99" s="3941"/>
      <c r="AR99" s="3941"/>
      <c r="AS99" s="3942"/>
      <c r="AU99" s="273">
        <f>$AR$81*I99/100</f>
        <v>0</v>
      </c>
      <c r="AV99" s="283"/>
      <c r="AW99" s="283"/>
      <c r="AX99" s="300">
        <f>AR97</f>
        <v>0</v>
      </c>
    </row>
    <row r="100" spans="1:53" s="273" customFormat="1" ht="19.5" customHeight="1">
      <c r="A100" s="3673"/>
      <c r="B100" s="3673"/>
      <c r="C100" s="3673"/>
      <c r="D100" s="3673"/>
      <c r="E100" s="3974"/>
      <c r="F100" s="3974"/>
      <c r="G100" s="3974"/>
      <c r="H100" s="3974"/>
      <c r="I100" s="3969">
        <v>30</v>
      </c>
      <c r="J100" s="3970"/>
      <c r="K100" s="3970"/>
      <c r="L100" s="295"/>
      <c r="M100" s="1697" t="s">
        <v>4431</v>
      </c>
      <c r="N100" s="3971" t="s">
        <v>910</v>
      </c>
      <c r="O100" s="3971"/>
      <c r="P100" s="3971"/>
      <c r="Q100" s="3971"/>
      <c r="R100" s="3971"/>
      <c r="S100" s="3971"/>
      <c r="T100" s="3971"/>
      <c r="U100" s="3971"/>
      <c r="V100" s="3971"/>
      <c r="W100" s="3973"/>
      <c r="X100" s="3973"/>
      <c r="Y100" s="3973"/>
      <c r="Z100" s="3973"/>
      <c r="AA100" s="3973"/>
      <c r="AB100" s="3973"/>
      <c r="AC100" s="3973"/>
      <c r="AD100" s="3973"/>
      <c r="AE100" s="3972"/>
      <c r="AF100" s="3972"/>
      <c r="AG100" s="3972"/>
      <c r="AH100" s="3972"/>
      <c r="AI100" s="3972"/>
      <c r="AJ100" s="3972"/>
      <c r="AK100" s="3972"/>
      <c r="AL100" s="3972"/>
      <c r="AM100" s="3940" t="e">
        <f>ROUND((AE100-W100)/16*100*$AZ$82,1)/$AZ$82</f>
        <v>#DIV/0!</v>
      </c>
      <c r="AN100" s="3941"/>
      <c r="AO100" s="3941"/>
      <c r="AP100" s="3941"/>
      <c r="AQ100" s="3941"/>
      <c r="AR100" s="3941"/>
      <c r="AS100" s="3942"/>
      <c r="AU100" s="273">
        <f>$AR$81*I100/100</f>
        <v>0</v>
      </c>
      <c r="AV100" s="283"/>
      <c r="AW100" s="283"/>
      <c r="AX100" s="273">
        <f>AR97*0.8</f>
        <v>0</v>
      </c>
    </row>
    <row r="101" spans="1:53" s="273" customFormat="1" ht="19.5" customHeight="1">
      <c r="A101" s="3673"/>
      <c r="B101" s="3673"/>
      <c r="C101" s="3673"/>
      <c r="D101" s="3673"/>
      <c r="E101" s="3974"/>
      <c r="F101" s="3974"/>
      <c r="G101" s="3974"/>
      <c r="H101" s="3974"/>
      <c r="I101" s="3944"/>
      <c r="J101" s="3945"/>
      <c r="K101" s="3945"/>
      <c r="L101" s="295"/>
      <c r="M101" s="296"/>
      <c r="N101" s="3971" t="s">
        <v>910</v>
      </c>
      <c r="O101" s="3971"/>
      <c r="P101" s="3971"/>
      <c r="Q101" s="3971"/>
      <c r="R101" s="3971"/>
      <c r="S101" s="3971"/>
      <c r="T101" s="3971"/>
      <c r="U101" s="3971"/>
      <c r="V101" s="3971"/>
      <c r="W101" s="3973"/>
      <c r="X101" s="3973"/>
      <c r="Y101" s="3973"/>
      <c r="Z101" s="3973"/>
      <c r="AA101" s="3973"/>
      <c r="AB101" s="3973"/>
      <c r="AC101" s="3973"/>
      <c r="AD101" s="3973"/>
      <c r="AE101" s="3972"/>
      <c r="AF101" s="3972"/>
      <c r="AG101" s="3972"/>
      <c r="AH101" s="3972"/>
      <c r="AI101" s="3972"/>
      <c r="AJ101" s="3972"/>
      <c r="AK101" s="3972"/>
      <c r="AL101" s="3972"/>
      <c r="AM101" s="3940" t="e">
        <f>ROUND((AE101-W101)/16*100*$AZ$82,1)/$AZ$82</f>
        <v>#DIV/0!</v>
      </c>
      <c r="AN101" s="3941"/>
      <c r="AO101" s="3941"/>
      <c r="AP101" s="3941"/>
      <c r="AQ101" s="3941"/>
      <c r="AR101" s="3941"/>
      <c r="AS101" s="3942"/>
      <c r="AU101" s="273">
        <f>$AR$81*I101/100</f>
        <v>0</v>
      </c>
      <c r="AV101" s="283"/>
      <c r="AW101" s="283"/>
      <c r="AX101" s="273">
        <f>AR97*0.6</f>
        <v>0</v>
      </c>
    </row>
    <row r="102" spans="1:53" s="273" customFormat="1" ht="19.5" customHeight="1">
      <c r="A102" s="3673"/>
      <c r="B102" s="3673"/>
      <c r="C102" s="3673"/>
      <c r="D102" s="3673"/>
      <c r="E102" s="3974"/>
      <c r="F102" s="3974"/>
      <c r="G102" s="3974"/>
      <c r="H102" s="3974"/>
      <c r="I102" s="3944"/>
      <c r="J102" s="3945"/>
      <c r="K102" s="3945"/>
      <c r="L102" s="295"/>
      <c r="M102" s="296"/>
      <c r="N102" s="3971" t="s">
        <v>910</v>
      </c>
      <c r="O102" s="3971"/>
      <c r="P102" s="3971"/>
      <c r="Q102" s="3971"/>
      <c r="R102" s="3971"/>
      <c r="S102" s="3971"/>
      <c r="T102" s="3971"/>
      <c r="U102" s="3971"/>
      <c r="V102" s="3971"/>
      <c r="W102" s="3973"/>
      <c r="X102" s="3973"/>
      <c r="Y102" s="3973"/>
      <c r="Z102" s="3973"/>
      <c r="AA102" s="3973"/>
      <c r="AB102" s="3973"/>
      <c r="AC102" s="3973"/>
      <c r="AD102" s="3973"/>
      <c r="AE102" s="3972"/>
      <c r="AF102" s="3972"/>
      <c r="AG102" s="3972"/>
      <c r="AH102" s="3972"/>
      <c r="AI102" s="3972"/>
      <c r="AJ102" s="3972"/>
      <c r="AK102" s="3972"/>
      <c r="AL102" s="3972"/>
      <c r="AM102" s="3940" t="e">
        <f>ROUND((AE102-W102)/16*100*$AZ$82,1)/$AZ$82</f>
        <v>#DIV/0!</v>
      </c>
      <c r="AN102" s="3941"/>
      <c r="AO102" s="3941"/>
      <c r="AP102" s="3941"/>
      <c r="AQ102" s="3941"/>
      <c r="AR102" s="3941"/>
      <c r="AS102" s="3942"/>
      <c r="AU102" s="273">
        <f>$AR$81*I102/100</f>
        <v>0</v>
      </c>
      <c r="AV102" s="283"/>
      <c r="AW102" s="283"/>
      <c r="AX102" s="273">
        <f>AR97*0.4</f>
        <v>0</v>
      </c>
    </row>
    <row r="103" spans="1:53" s="273" customFormat="1" ht="19.5" customHeight="1">
      <c r="A103" s="3673"/>
      <c r="B103" s="3673"/>
      <c r="C103" s="3673"/>
      <c r="D103" s="3673"/>
      <c r="E103" s="3974"/>
      <c r="F103" s="3974"/>
      <c r="G103" s="3974"/>
      <c r="H103" s="3974"/>
      <c r="I103" s="3944"/>
      <c r="J103" s="3945"/>
      <c r="K103" s="3945"/>
      <c r="L103" s="295"/>
      <c r="M103" s="296"/>
      <c r="N103" s="3971" t="s">
        <v>910</v>
      </c>
      <c r="O103" s="3971"/>
      <c r="P103" s="3971"/>
      <c r="Q103" s="3971"/>
      <c r="R103" s="3971"/>
      <c r="S103" s="3971"/>
      <c r="T103" s="3971"/>
      <c r="U103" s="3971"/>
      <c r="V103" s="3971"/>
      <c r="W103" s="3973"/>
      <c r="X103" s="3973"/>
      <c r="Y103" s="3973"/>
      <c r="Z103" s="3973"/>
      <c r="AA103" s="3973"/>
      <c r="AB103" s="3973"/>
      <c r="AC103" s="3973"/>
      <c r="AD103" s="3973"/>
      <c r="AE103" s="3972"/>
      <c r="AF103" s="3972"/>
      <c r="AG103" s="3972"/>
      <c r="AH103" s="3972"/>
      <c r="AI103" s="3972"/>
      <c r="AJ103" s="3972"/>
      <c r="AK103" s="3972"/>
      <c r="AL103" s="3972"/>
      <c r="AM103" s="3940" t="e">
        <f>ROUND((AE103-W103)/16*100*$AZ$82,1)/$AZ$82</f>
        <v>#DIV/0!</v>
      </c>
      <c r="AN103" s="3941"/>
      <c r="AO103" s="3941"/>
      <c r="AP103" s="3941"/>
      <c r="AQ103" s="3941"/>
      <c r="AR103" s="3941"/>
      <c r="AS103" s="3942"/>
      <c r="AU103" s="273">
        <f>$AR$81*I103/100</f>
        <v>0</v>
      </c>
      <c r="AV103" s="283"/>
      <c r="AW103" s="283"/>
      <c r="AX103" s="273">
        <f>AR97*0.2</f>
        <v>0</v>
      </c>
    </row>
    <row r="104" spans="1:53" s="273" customFormat="1" ht="19.5" customHeight="1">
      <c r="A104" s="3673"/>
      <c r="B104" s="3673"/>
      <c r="C104" s="3673"/>
      <c r="D104" s="3673"/>
      <c r="E104" s="3974"/>
      <c r="F104" s="3974"/>
      <c r="G104" s="3974"/>
      <c r="H104" s="3974"/>
      <c r="I104" s="308"/>
      <c r="J104" s="309"/>
      <c r="K104" s="309"/>
      <c r="L104" s="295"/>
      <c r="M104" s="296"/>
      <c r="N104" s="3971"/>
      <c r="O104" s="3971"/>
      <c r="P104" s="3971"/>
      <c r="Q104" s="3971"/>
      <c r="R104" s="3971"/>
      <c r="S104" s="3971"/>
      <c r="T104" s="3971"/>
      <c r="U104" s="3971"/>
      <c r="V104" s="3971"/>
      <c r="W104" s="3973"/>
      <c r="X104" s="3973"/>
      <c r="Y104" s="3973"/>
      <c r="Z104" s="3973"/>
      <c r="AA104" s="3973"/>
      <c r="AB104" s="3973"/>
      <c r="AC104" s="3973"/>
      <c r="AD104" s="3973"/>
      <c r="AE104" s="3972"/>
      <c r="AF104" s="3972"/>
      <c r="AG104" s="3972"/>
      <c r="AH104" s="3972"/>
      <c r="AI104" s="3972"/>
      <c r="AJ104" s="3972"/>
      <c r="AK104" s="3972"/>
      <c r="AL104" s="3972"/>
      <c r="AM104" s="297"/>
      <c r="AN104" s="298"/>
      <c r="AO104" s="298"/>
      <c r="AP104" s="298"/>
      <c r="AQ104" s="298"/>
      <c r="AR104" s="298"/>
      <c r="AS104" s="299"/>
      <c r="AV104" s="283"/>
      <c r="AW104" s="283"/>
    </row>
    <row r="105" spans="1:53" s="273" customFormat="1" ht="19.5" customHeight="1">
      <c r="A105" s="3673"/>
      <c r="B105" s="3673"/>
      <c r="C105" s="3673"/>
      <c r="D105" s="3673"/>
      <c r="E105" s="3974"/>
      <c r="F105" s="3974"/>
      <c r="G105" s="3974"/>
      <c r="H105" s="3974"/>
      <c r="I105" s="308"/>
      <c r="J105" s="309"/>
      <c r="K105" s="309"/>
      <c r="L105" s="295"/>
      <c r="M105" s="296"/>
      <c r="N105" s="3971"/>
      <c r="O105" s="3971"/>
      <c r="P105" s="3971"/>
      <c r="Q105" s="3971"/>
      <c r="R105" s="3971"/>
      <c r="S105" s="3971"/>
      <c r="T105" s="3971"/>
      <c r="U105" s="3971"/>
      <c r="V105" s="3971"/>
      <c r="W105" s="3973"/>
      <c r="X105" s="3973"/>
      <c r="Y105" s="3973"/>
      <c r="Z105" s="3973"/>
      <c r="AA105" s="3973"/>
      <c r="AB105" s="3973"/>
      <c r="AC105" s="3973"/>
      <c r="AD105" s="3973"/>
      <c r="AE105" s="3972"/>
      <c r="AF105" s="3972"/>
      <c r="AG105" s="3972"/>
      <c r="AH105" s="3972"/>
      <c r="AI105" s="3972"/>
      <c r="AJ105" s="3972"/>
      <c r="AK105" s="3972"/>
      <c r="AL105" s="3972"/>
      <c r="AM105" s="297"/>
      <c r="AN105" s="298"/>
      <c r="AO105" s="298"/>
      <c r="AP105" s="298"/>
      <c r="AQ105" s="298"/>
      <c r="AR105" s="298"/>
      <c r="AS105" s="299"/>
      <c r="AV105" s="283"/>
      <c r="AW105" s="283"/>
    </row>
    <row r="106" spans="1:53" s="273" customFormat="1" ht="19.5" customHeight="1">
      <c r="A106" s="3673"/>
      <c r="B106" s="3673"/>
      <c r="C106" s="3673"/>
      <c r="D106" s="3673"/>
      <c r="E106" s="3974"/>
      <c r="F106" s="3974"/>
      <c r="G106" s="3974"/>
      <c r="H106" s="3974"/>
      <c r="I106" s="308"/>
      <c r="J106" s="309"/>
      <c r="K106" s="309"/>
      <c r="L106" s="295"/>
      <c r="M106" s="296"/>
      <c r="N106" s="3971"/>
      <c r="O106" s="3971"/>
      <c r="P106" s="3971"/>
      <c r="Q106" s="3971"/>
      <c r="R106" s="3971"/>
      <c r="S106" s="3971"/>
      <c r="T106" s="3971"/>
      <c r="U106" s="3971"/>
      <c r="V106" s="3971"/>
      <c r="W106" s="3973"/>
      <c r="X106" s="3973"/>
      <c r="Y106" s="3973"/>
      <c r="Z106" s="3973"/>
      <c r="AA106" s="3973"/>
      <c r="AB106" s="3973"/>
      <c r="AC106" s="3973"/>
      <c r="AD106" s="3973"/>
      <c r="AE106" s="3972"/>
      <c r="AF106" s="3972"/>
      <c r="AG106" s="3972"/>
      <c r="AH106" s="3972"/>
      <c r="AI106" s="3972"/>
      <c r="AJ106" s="3972"/>
      <c r="AK106" s="3972"/>
      <c r="AL106" s="3972"/>
      <c r="AM106" s="297"/>
      <c r="AN106" s="298"/>
      <c r="AO106" s="298"/>
      <c r="AP106" s="298"/>
      <c r="AQ106" s="298"/>
      <c r="AR106" s="298"/>
      <c r="AS106" s="299"/>
      <c r="AV106" s="283"/>
      <c r="AW106" s="283"/>
    </row>
    <row r="107" spans="1:53" s="273" customFormat="1" ht="19.5" customHeight="1">
      <c r="A107" s="3673"/>
      <c r="B107" s="3673"/>
      <c r="C107" s="3673"/>
      <c r="D107" s="3673"/>
      <c r="E107" s="3974"/>
      <c r="F107" s="3974"/>
      <c r="G107" s="3974"/>
      <c r="H107" s="3974"/>
      <c r="I107" s="3944"/>
      <c r="J107" s="3945"/>
      <c r="K107" s="3945"/>
      <c r="L107" s="295"/>
      <c r="M107" s="296"/>
      <c r="N107" s="3971" t="s">
        <v>910</v>
      </c>
      <c r="O107" s="3971"/>
      <c r="P107" s="3971"/>
      <c r="Q107" s="3971"/>
      <c r="R107" s="3971"/>
      <c r="S107" s="3971"/>
      <c r="T107" s="3971"/>
      <c r="U107" s="3971"/>
      <c r="V107" s="3971"/>
      <c r="W107" s="3973"/>
      <c r="X107" s="3973"/>
      <c r="Y107" s="3973"/>
      <c r="Z107" s="3973"/>
      <c r="AA107" s="3973"/>
      <c r="AB107" s="3973"/>
      <c r="AC107" s="3973"/>
      <c r="AD107" s="3973"/>
      <c r="AE107" s="3972"/>
      <c r="AF107" s="3972"/>
      <c r="AG107" s="3972"/>
      <c r="AH107" s="3972"/>
      <c r="AI107" s="3972"/>
      <c r="AJ107" s="3972"/>
      <c r="AK107" s="3972"/>
      <c r="AL107" s="3972"/>
      <c r="AM107" s="3940" t="e">
        <f>ROUND((AE107-W107)/16*100*$AZ$82,1)/$AZ$82</f>
        <v>#DIV/0!</v>
      </c>
      <c r="AN107" s="3941"/>
      <c r="AO107" s="3941"/>
      <c r="AP107" s="3941"/>
      <c r="AQ107" s="3941"/>
      <c r="AR107" s="3941"/>
      <c r="AS107" s="3942"/>
      <c r="AU107" s="273">
        <f>$AR$81*I107/100</f>
        <v>0</v>
      </c>
      <c r="AV107" s="283"/>
      <c r="AW107" s="283"/>
      <c r="AX107" s="273">
        <f>AN100*0.6</f>
        <v>0</v>
      </c>
    </row>
    <row r="108" spans="1:53" s="273" customFormat="1" ht="19.5" customHeight="1"/>
    <row r="111" spans="1:53">
      <c r="A111" s="237" t="s">
        <v>593</v>
      </c>
      <c r="B111" s="234"/>
      <c r="C111" s="234"/>
      <c r="D111" s="234"/>
      <c r="E111" s="234"/>
      <c r="F111" s="234"/>
      <c r="G111" s="234"/>
      <c r="H111" s="234"/>
      <c r="I111" s="234"/>
      <c r="J111" s="234"/>
      <c r="K111" s="234"/>
      <c r="L111" s="234"/>
      <c r="M111" s="234"/>
      <c r="N111" s="234"/>
      <c r="O111" s="234"/>
      <c r="P111" s="234"/>
      <c r="Q111" s="234"/>
      <c r="R111" s="234"/>
      <c r="S111" s="234"/>
      <c r="T111" s="234"/>
      <c r="U111" s="234"/>
      <c r="V111" s="234"/>
      <c r="W111" s="234"/>
      <c r="X111" s="234"/>
      <c r="Y111" s="234"/>
      <c r="Z111" s="234"/>
      <c r="AA111" s="234"/>
      <c r="AB111" s="234"/>
      <c r="AC111" s="234"/>
      <c r="AD111" s="234"/>
      <c r="AE111" s="234"/>
      <c r="AF111" s="234"/>
      <c r="AG111" s="234"/>
      <c r="AH111" s="234"/>
      <c r="AI111" s="234"/>
      <c r="AJ111" s="234"/>
      <c r="AK111" s="234"/>
      <c r="AL111" s="234"/>
      <c r="AM111" s="234"/>
      <c r="AN111" s="234"/>
      <c r="AO111" s="234"/>
      <c r="AP111" s="234"/>
      <c r="AQ111" s="234"/>
      <c r="AR111" s="234"/>
      <c r="AS111" s="234"/>
      <c r="AT111" s="234"/>
      <c r="AU111" s="234"/>
      <c r="AV111" s="234"/>
      <c r="AW111" s="234"/>
    </row>
    <row r="112" spans="1:53">
      <c r="A112" s="234"/>
      <c r="B112" s="237" t="s">
        <v>594</v>
      </c>
      <c r="C112" s="234"/>
      <c r="D112" s="234"/>
      <c r="E112" s="234"/>
      <c r="F112" s="234"/>
      <c r="G112" s="234"/>
      <c r="H112" s="234"/>
      <c r="I112" s="234"/>
      <c r="J112" s="234"/>
      <c r="K112" s="234"/>
      <c r="L112" s="234"/>
      <c r="M112" s="234"/>
      <c r="N112" s="234"/>
      <c r="O112" s="234"/>
      <c r="P112" s="234"/>
      <c r="Q112" s="234"/>
      <c r="R112" s="234"/>
      <c r="S112" s="234"/>
      <c r="T112" s="234"/>
      <c r="U112" s="234"/>
      <c r="V112" s="234"/>
      <c r="W112" s="234"/>
      <c r="X112" s="234"/>
      <c r="Y112" s="234"/>
      <c r="Z112" s="234"/>
      <c r="AA112" s="234"/>
      <c r="AB112" s="234"/>
      <c r="AC112" s="234"/>
      <c r="AD112" s="234"/>
      <c r="AE112" s="234"/>
      <c r="AF112" s="234"/>
      <c r="AG112" s="234"/>
      <c r="AH112" s="234"/>
      <c r="AI112" s="234"/>
      <c r="AJ112" s="234"/>
      <c r="AK112" s="234"/>
      <c r="AL112" s="234"/>
      <c r="AM112" s="234"/>
      <c r="AN112" s="234"/>
      <c r="AO112" s="234"/>
      <c r="AP112" s="234"/>
      <c r="AQ112" s="234"/>
      <c r="AR112" s="234"/>
      <c r="AS112" s="234"/>
      <c r="AT112" s="234"/>
      <c r="AU112" s="234"/>
      <c r="AV112" s="234"/>
      <c r="AW112" s="234"/>
    </row>
  </sheetData>
  <mergeCells count="382">
    <mergeCell ref="W105:AD105"/>
    <mergeCell ref="W106:AD106"/>
    <mergeCell ref="AX81:AX87"/>
    <mergeCell ref="N102:V102"/>
    <mergeCell ref="W102:AD102"/>
    <mergeCell ref="AE102:AL102"/>
    <mergeCell ref="AM102:AS102"/>
    <mergeCell ref="I103:K103"/>
    <mergeCell ref="N103:V103"/>
    <mergeCell ref="W103:AD103"/>
    <mergeCell ref="AE103:AL103"/>
    <mergeCell ref="AM103:AS103"/>
    <mergeCell ref="AQ97:AU97"/>
    <mergeCell ref="U97:V97"/>
    <mergeCell ref="I99:K99"/>
    <mergeCell ref="I102:K102"/>
    <mergeCell ref="AE98:AL98"/>
    <mergeCell ref="AM98:AS98"/>
    <mergeCell ref="A98:D98"/>
    <mergeCell ref="E98:H98"/>
    <mergeCell ref="I98:M98"/>
    <mergeCell ref="N98:V98"/>
    <mergeCell ref="W98:AD98"/>
    <mergeCell ref="AI95:AP95"/>
    <mergeCell ref="N107:V107"/>
    <mergeCell ref="W107:AD107"/>
    <mergeCell ref="AE107:AL107"/>
    <mergeCell ref="AM107:AS107"/>
    <mergeCell ref="I107:K107"/>
    <mergeCell ref="W100:AD100"/>
    <mergeCell ref="AE100:AL100"/>
    <mergeCell ref="AM100:AS100"/>
    <mergeCell ref="AE101:AL101"/>
    <mergeCell ref="AM101:AS101"/>
    <mergeCell ref="AE104:AL104"/>
    <mergeCell ref="AE105:AL105"/>
    <mergeCell ref="AE106:AL106"/>
    <mergeCell ref="N104:V104"/>
    <mergeCell ref="N105:V105"/>
    <mergeCell ref="N106:V106"/>
    <mergeCell ref="W104:AD104"/>
    <mergeCell ref="AI97:AP97"/>
    <mergeCell ref="A90:D90"/>
    <mergeCell ref="E90:H90"/>
    <mergeCell ref="I90:M90"/>
    <mergeCell ref="N90:O90"/>
    <mergeCell ref="P90:Q90"/>
    <mergeCell ref="A91:D95"/>
    <mergeCell ref="E91:H95"/>
    <mergeCell ref="N91:O95"/>
    <mergeCell ref="P91:Q95"/>
    <mergeCell ref="AQ69:AW69"/>
    <mergeCell ref="I70:K70"/>
    <mergeCell ref="N74:Q75"/>
    <mergeCell ref="N76:Q77"/>
    <mergeCell ref="I77:K77"/>
    <mergeCell ref="R77:Z77"/>
    <mergeCell ref="AA77:AH77"/>
    <mergeCell ref="AQ95:AW95"/>
    <mergeCell ref="AI89:AP89"/>
    <mergeCell ref="R90:Z90"/>
    <mergeCell ref="AA90:AH90"/>
    <mergeCell ref="AI90:AP90"/>
    <mergeCell ref="AQ90:AW90"/>
    <mergeCell ref="U89:V89"/>
    <mergeCell ref="AQ89:AU89"/>
    <mergeCell ref="AI74:AP74"/>
    <mergeCell ref="AQ91:AW91"/>
    <mergeCell ref="R74:Z74"/>
    <mergeCell ref="I75:K75"/>
    <mergeCell ref="AQ76:AW76"/>
    <mergeCell ref="AI77:AP77"/>
    <mergeCell ref="R75:Z75"/>
    <mergeCell ref="AA75:AH75"/>
    <mergeCell ref="AQ74:AW74"/>
    <mergeCell ref="A54:D54"/>
    <mergeCell ref="E54:H54"/>
    <mergeCell ref="I54:M54"/>
    <mergeCell ref="N54:O54"/>
    <mergeCell ref="P54:Q54"/>
    <mergeCell ref="A55:D64"/>
    <mergeCell ref="E55:H64"/>
    <mergeCell ref="I55:K55"/>
    <mergeCell ref="N55:Q60"/>
    <mergeCell ref="N61:Q62"/>
    <mergeCell ref="I62:K62"/>
    <mergeCell ref="N63:Q64"/>
    <mergeCell ref="I57:K57"/>
    <mergeCell ref="I58:K58"/>
    <mergeCell ref="I60:K60"/>
    <mergeCell ref="I59:K59"/>
    <mergeCell ref="I61:K61"/>
    <mergeCell ref="I56:K56"/>
    <mergeCell ref="A46:D51"/>
    <mergeCell ref="E46:H51"/>
    <mergeCell ref="I46:K46"/>
    <mergeCell ref="N46:Q51"/>
    <mergeCell ref="R46:Z46"/>
    <mergeCell ref="AA46:AH46"/>
    <mergeCell ref="AI46:AP46"/>
    <mergeCell ref="AQ46:AW46"/>
    <mergeCell ref="I47:K47"/>
    <mergeCell ref="R47:Z47"/>
    <mergeCell ref="AA47:AH47"/>
    <mergeCell ref="AQ47:AW47"/>
    <mergeCell ref="I48:K48"/>
    <mergeCell ref="AI47:AP47"/>
    <mergeCell ref="R48:Z48"/>
    <mergeCell ref="AA48:AH48"/>
    <mergeCell ref="AI48:AP48"/>
    <mergeCell ref="I49:K49"/>
    <mergeCell ref="R49:Z49"/>
    <mergeCell ref="AA49:AH49"/>
    <mergeCell ref="I51:K51"/>
    <mergeCell ref="R51:Z51"/>
    <mergeCell ref="AI50:AP50"/>
    <mergeCell ref="AQ50:AW50"/>
    <mergeCell ref="A45:D45"/>
    <mergeCell ref="E45:H45"/>
    <mergeCell ref="I45:M45"/>
    <mergeCell ref="N45:O45"/>
    <mergeCell ref="P45:Q45"/>
    <mergeCell ref="R45:Z45"/>
    <mergeCell ref="AA45:AH45"/>
    <mergeCell ref="AI45:AP45"/>
    <mergeCell ref="AQ45:AW45"/>
    <mergeCell ref="A36:D36"/>
    <mergeCell ref="E36:H36"/>
    <mergeCell ref="I36:M36"/>
    <mergeCell ref="N36:O36"/>
    <mergeCell ref="P36:Q36"/>
    <mergeCell ref="AQ36:AW36"/>
    <mergeCell ref="AA36:AH36"/>
    <mergeCell ref="AI36:AP36"/>
    <mergeCell ref="A37:D42"/>
    <mergeCell ref="E37:H42"/>
    <mergeCell ref="I37:K37"/>
    <mergeCell ref="N37:Q42"/>
    <mergeCell ref="R37:Z37"/>
    <mergeCell ref="AA37:AH37"/>
    <mergeCell ref="I39:K39"/>
    <mergeCell ref="R39:Z39"/>
    <mergeCell ref="AA39:AH39"/>
    <mergeCell ref="I41:K41"/>
    <mergeCell ref="AI37:AP37"/>
    <mergeCell ref="AQ37:AW37"/>
    <mergeCell ref="I38:K38"/>
    <mergeCell ref="R38:Z38"/>
    <mergeCell ref="AA38:AH38"/>
    <mergeCell ref="AI38:AP38"/>
    <mergeCell ref="A99:D107"/>
    <mergeCell ref="E99:H107"/>
    <mergeCell ref="N99:V99"/>
    <mergeCell ref="W99:AD99"/>
    <mergeCell ref="A26:AW26"/>
    <mergeCell ref="E27:M27"/>
    <mergeCell ref="O27:S27"/>
    <mergeCell ref="T27:U27"/>
    <mergeCell ref="W27:Z27"/>
    <mergeCell ref="AQ94:AW94"/>
    <mergeCell ref="U30:X30"/>
    <mergeCell ref="O31:R31"/>
    <mergeCell ref="S31:T31"/>
    <mergeCell ref="U31:X31"/>
    <mergeCell ref="A80:D80"/>
    <mergeCell ref="E80:H80"/>
    <mergeCell ref="I80:M80"/>
    <mergeCell ref="N80:V80"/>
    <mergeCell ref="W80:AE80"/>
    <mergeCell ref="AO80:AW80"/>
    <mergeCell ref="A81:D87"/>
    <mergeCell ref="E81:H87"/>
    <mergeCell ref="I81:K81"/>
    <mergeCell ref="N81:V81"/>
    <mergeCell ref="I100:K100"/>
    <mergeCell ref="I101:K101"/>
    <mergeCell ref="N101:V101"/>
    <mergeCell ref="AE99:AL99"/>
    <mergeCell ref="AM99:AS99"/>
    <mergeCell ref="N100:V100"/>
    <mergeCell ref="W101:AD101"/>
    <mergeCell ref="R95:Z95"/>
    <mergeCell ref="AQ92:AW92"/>
    <mergeCell ref="AA95:AH95"/>
    <mergeCell ref="I94:K94"/>
    <mergeCell ref="R94:Z94"/>
    <mergeCell ref="AA94:AH94"/>
    <mergeCell ref="AI94:AP94"/>
    <mergeCell ref="AA93:AH93"/>
    <mergeCell ref="AI93:AP93"/>
    <mergeCell ref="AQ93:AW93"/>
    <mergeCell ref="I93:K93"/>
    <mergeCell ref="R93:Z93"/>
    <mergeCell ref="I92:K92"/>
    <mergeCell ref="R92:Z92"/>
    <mergeCell ref="AA92:AH92"/>
    <mergeCell ref="AI92:AP92"/>
    <mergeCell ref="I95:K95"/>
    <mergeCell ref="AI75:AP75"/>
    <mergeCell ref="AQ75:AW75"/>
    <mergeCell ref="I91:K91"/>
    <mergeCell ref="R91:Z91"/>
    <mergeCell ref="AA91:AH91"/>
    <mergeCell ref="AI91:AP91"/>
    <mergeCell ref="AQ77:AW77"/>
    <mergeCell ref="AA76:AH76"/>
    <mergeCell ref="AI76:AP76"/>
    <mergeCell ref="AA67:AH67"/>
    <mergeCell ref="AI67:AP67"/>
    <mergeCell ref="I63:K63"/>
    <mergeCell ref="R63:Z63"/>
    <mergeCell ref="A68:D77"/>
    <mergeCell ref="E68:H77"/>
    <mergeCell ref="N68:Q73"/>
    <mergeCell ref="I69:K69"/>
    <mergeCell ref="I71:K71"/>
    <mergeCell ref="R71:Z71"/>
    <mergeCell ref="R76:Z76"/>
    <mergeCell ref="I73:K73"/>
    <mergeCell ref="R73:Z73"/>
    <mergeCell ref="I76:K76"/>
    <mergeCell ref="A67:D67"/>
    <mergeCell ref="E67:H67"/>
    <mergeCell ref="I67:M67"/>
    <mergeCell ref="N67:O67"/>
    <mergeCell ref="P67:Q67"/>
    <mergeCell ref="R69:Z69"/>
    <mergeCell ref="AA69:AH69"/>
    <mergeCell ref="I74:K74"/>
    <mergeCell ref="I72:K72"/>
    <mergeCell ref="R72:Z72"/>
    <mergeCell ref="AA72:AH72"/>
    <mergeCell ref="R70:Z70"/>
    <mergeCell ref="AI69:AP69"/>
    <mergeCell ref="AA70:AH70"/>
    <mergeCell ref="AI70:AP70"/>
    <mergeCell ref="AA74:AH74"/>
    <mergeCell ref="AA71:AH71"/>
    <mergeCell ref="AA73:AH73"/>
    <mergeCell ref="AI72:AP72"/>
    <mergeCell ref="AQ63:AW63"/>
    <mergeCell ref="I64:K64"/>
    <mergeCell ref="R64:Z64"/>
    <mergeCell ref="AA64:AH64"/>
    <mergeCell ref="AA63:AH63"/>
    <mergeCell ref="AI71:AP71"/>
    <mergeCell ref="AI73:AP73"/>
    <mergeCell ref="AQ73:AW73"/>
    <mergeCell ref="AQ71:AW71"/>
    <mergeCell ref="AI64:AP64"/>
    <mergeCell ref="I68:K68"/>
    <mergeCell ref="R68:Z68"/>
    <mergeCell ref="AA68:AH68"/>
    <mergeCell ref="AI68:AP68"/>
    <mergeCell ref="AQ68:AW68"/>
    <mergeCell ref="AQ70:AW70"/>
    <mergeCell ref="AQ72:AW72"/>
    <mergeCell ref="AQ66:AU66"/>
    <mergeCell ref="AQ67:AW67"/>
    <mergeCell ref="AQ64:AW64"/>
    <mergeCell ref="AI66:AP66"/>
    <mergeCell ref="AI63:AP63"/>
    <mergeCell ref="U66:V66"/>
    <mergeCell ref="R67:Z67"/>
    <mergeCell ref="R62:Z62"/>
    <mergeCell ref="AA62:AH62"/>
    <mergeCell ref="AI62:AP62"/>
    <mergeCell ref="AQ62:AW62"/>
    <mergeCell ref="AA58:AH58"/>
    <mergeCell ref="R60:Z60"/>
    <mergeCell ref="AA60:AH60"/>
    <mergeCell ref="AI60:AP60"/>
    <mergeCell ref="AI58:AP58"/>
    <mergeCell ref="R59:Z59"/>
    <mergeCell ref="AA59:AH59"/>
    <mergeCell ref="AQ60:AW60"/>
    <mergeCell ref="R61:Z61"/>
    <mergeCell ref="AA61:AH61"/>
    <mergeCell ref="AI61:AP61"/>
    <mergeCell ref="AQ61:AW61"/>
    <mergeCell ref="AA50:AH50"/>
    <mergeCell ref="AI51:AP51"/>
    <mergeCell ref="AQ51:AW51"/>
    <mergeCell ref="AI59:AP59"/>
    <mergeCell ref="AQ59:AW59"/>
    <mergeCell ref="AI57:AP57"/>
    <mergeCell ref="AQ57:AW57"/>
    <mergeCell ref="R57:Z57"/>
    <mergeCell ref="AA57:AH57"/>
    <mergeCell ref="R58:Z58"/>
    <mergeCell ref="AQ58:AW58"/>
    <mergeCell ref="AI55:AP55"/>
    <mergeCell ref="AQ55:AW55"/>
    <mergeCell ref="AI56:AP56"/>
    <mergeCell ref="U35:V35"/>
    <mergeCell ref="AI35:AP35"/>
    <mergeCell ref="AR35:AU35"/>
    <mergeCell ref="AI49:AP49"/>
    <mergeCell ref="AQ49:AW49"/>
    <mergeCell ref="AQ48:AW48"/>
    <mergeCell ref="I42:K42"/>
    <mergeCell ref="R42:Z42"/>
    <mergeCell ref="AA42:AH42"/>
    <mergeCell ref="AI42:AP42"/>
    <mergeCell ref="AI41:AP41"/>
    <mergeCell ref="AQ41:AW41"/>
    <mergeCell ref="AQ42:AW42"/>
    <mergeCell ref="U44:V44"/>
    <mergeCell ref="AI44:AP44"/>
    <mergeCell ref="AR44:AU44"/>
    <mergeCell ref="AQ40:AW40"/>
    <mergeCell ref="R41:Z41"/>
    <mergeCell ref="AA41:AH41"/>
    <mergeCell ref="N87:V87"/>
    <mergeCell ref="W87:AE87"/>
    <mergeCell ref="AF87:AN87"/>
    <mergeCell ref="AO87:AW87"/>
    <mergeCell ref="R36:Z36"/>
    <mergeCell ref="I87:K87"/>
    <mergeCell ref="AQ56:AW56"/>
    <mergeCell ref="AI53:AP53"/>
    <mergeCell ref="R54:Z54"/>
    <mergeCell ref="AA54:AH54"/>
    <mergeCell ref="AI54:AP54"/>
    <mergeCell ref="U53:V53"/>
    <mergeCell ref="AQ53:AU53"/>
    <mergeCell ref="AQ54:AW54"/>
    <mergeCell ref="AA51:AH51"/>
    <mergeCell ref="R55:Z55"/>
    <mergeCell ref="AA55:AH55"/>
    <mergeCell ref="R56:Z56"/>
    <mergeCell ref="AA56:AH56"/>
    <mergeCell ref="I50:K50"/>
    <mergeCell ref="R50:Z50"/>
    <mergeCell ref="A3:C3"/>
    <mergeCell ref="A31:L31"/>
    <mergeCell ref="A33:AW33"/>
    <mergeCell ref="AO83:AW83"/>
    <mergeCell ref="W82:AE82"/>
    <mergeCell ref="A29:L29"/>
    <mergeCell ref="A30:L30"/>
    <mergeCell ref="O30:R30"/>
    <mergeCell ref="S30:T30"/>
    <mergeCell ref="AF82:AN82"/>
    <mergeCell ref="AO82:AW82"/>
    <mergeCell ref="O32:AE32"/>
    <mergeCell ref="AF32:AL32"/>
    <mergeCell ref="AF80:AN80"/>
    <mergeCell ref="W81:AE81"/>
    <mergeCell ref="AF81:AN81"/>
    <mergeCell ref="I83:K83"/>
    <mergeCell ref="AO81:AW81"/>
    <mergeCell ref="I82:K82"/>
    <mergeCell ref="N82:V82"/>
    <mergeCell ref="E7:E12"/>
    <mergeCell ref="AQ38:AW38"/>
    <mergeCell ref="AI39:AP39"/>
    <mergeCell ref="AQ39:AW39"/>
    <mergeCell ref="AO86:AW86"/>
    <mergeCell ref="A28:AW28"/>
    <mergeCell ref="N86:V86"/>
    <mergeCell ref="W86:AE86"/>
    <mergeCell ref="AF86:AN86"/>
    <mergeCell ref="I84:K84"/>
    <mergeCell ref="N83:V83"/>
    <mergeCell ref="W83:AE83"/>
    <mergeCell ref="AF83:AN83"/>
    <mergeCell ref="AP79:AS79"/>
    <mergeCell ref="AO85:AW85"/>
    <mergeCell ref="N84:V84"/>
    <mergeCell ref="W84:AE84"/>
    <mergeCell ref="AF84:AN84"/>
    <mergeCell ref="AO84:AW84"/>
    <mergeCell ref="AF85:AN85"/>
    <mergeCell ref="I86:K86"/>
    <mergeCell ref="I85:K85"/>
    <mergeCell ref="N85:V85"/>
    <mergeCell ref="W85:AE85"/>
    <mergeCell ref="I40:K40"/>
    <mergeCell ref="R40:Z40"/>
    <mergeCell ref="AA40:AH40"/>
    <mergeCell ref="AI40:AP40"/>
  </mergeCells>
  <phoneticPr fontId="69" type="noConversion"/>
  <conditionalFormatting sqref="AO81:AW87">
    <cfRule type="cellIs" dxfId="9" priority="19" stopIfTrue="1" operator="notBetween">
      <formula>$AF$9</formula>
      <formula>-$AF$9</formula>
    </cfRule>
  </conditionalFormatting>
  <conditionalFormatting sqref="AQ37:AW42">
    <cfRule type="cellIs" dxfId="8" priority="18" stopIfTrue="1" operator="notBetween">
      <formula>$AF$8</formula>
      <formula>-$AF$8</formula>
    </cfRule>
  </conditionalFormatting>
  <conditionalFormatting sqref="AQ46:AW52 AQ65:AW65 AQ88:AW88">
    <cfRule type="cellIs" dxfId="7" priority="16" stopIfTrue="1" operator="notBetween">
      <formula>$AF$8</formula>
      <formula>-$AF$8</formula>
    </cfRule>
  </conditionalFormatting>
  <conditionalFormatting sqref="AQ55:AW64">
    <cfRule type="cellIs" dxfId="6" priority="14" stopIfTrue="1" operator="notBetween">
      <formula>$AF$9</formula>
      <formula>-$AF$9</formula>
    </cfRule>
  </conditionalFormatting>
  <conditionalFormatting sqref="AQ68:AW78">
    <cfRule type="cellIs" dxfId="5" priority="12" stopIfTrue="1" operator="notBetween">
      <formula>$AF$9</formula>
      <formula>-$AF$9</formula>
    </cfRule>
  </conditionalFormatting>
  <conditionalFormatting sqref="AQ91:AW95">
    <cfRule type="cellIs" dxfId="4" priority="10" stopIfTrue="1" operator="notBetween">
      <formula>$AF$10</formula>
      <formula>-$AF$10</formula>
    </cfRule>
  </conditionalFormatting>
  <conditionalFormatting sqref="AM98:AS107">
    <cfRule type="cellIs" dxfId="3" priority="8" stopIfTrue="1" operator="notBetween">
      <formula>$AF$8</formula>
      <formula>-$AF$8</formula>
    </cfRule>
  </conditionalFormatting>
  <conditionalFormatting sqref="R37:Z42 R46:Z52 R65:Z65 R88:Z88 N98:V98">
    <cfRule type="expression" dxfId="2" priority="49" stopIfTrue="1">
      <formula>$AR$81=1</formula>
    </cfRule>
  </conditionalFormatting>
  <conditionalFormatting sqref="R55:Z64 R68:Z78">
    <cfRule type="expression" dxfId="1" priority="53" stopIfTrue="1">
      <formula>$AR$82=1</formula>
    </cfRule>
  </conditionalFormatting>
  <conditionalFormatting sqref="R91:Z95 N99:V107">
    <cfRule type="expression" dxfId="0" priority="55" stopIfTrue="1">
      <formula>$AR$83=1</formula>
    </cfRule>
  </conditionalFormatting>
  <pageMargins left="0.75" right="0.75" top="1" bottom="1" header="0.5" footer="0.5"/>
  <legacyDrawing r:id="rId1"/>
</worksheet>
</file>

<file path=xl/worksheets/sheet78.xml><?xml version="1.0" encoding="utf-8"?>
<worksheet xmlns="http://schemas.openxmlformats.org/spreadsheetml/2006/main" xmlns:r="http://schemas.openxmlformats.org/officeDocument/2006/relationships">
  <dimension ref="A1:T20"/>
  <sheetViews>
    <sheetView topLeftCell="B1" workbookViewId="0">
      <selection activeCell="D16" sqref="D16:E16"/>
    </sheetView>
  </sheetViews>
  <sheetFormatPr defaultRowHeight="14.25"/>
  <sheetData>
    <row r="1" spans="1:20">
      <c r="A1" t="s">
        <v>3987</v>
      </c>
      <c r="B1" s="529"/>
      <c r="C1" s="529"/>
      <c r="D1" s="529"/>
    </row>
    <row r="2" spans="1:20" ht="15.75">
      <c r="A2" s="1749" t="s">
        <v>3988</v>
      </c>
      <c r="B2" s="1749"/>
      <c r="C2" s="1749"/>
      <c r="D2" s="1749"/>
      <c r="E2" s="1749"/>
      <c r="F2" s="1749"/>
      <c r="G2" s="1749"/>
      <c r="H2" s="1749"/>
      <c r="I2" s="1749"/>
      <c r="J2" s="1749"/>
      <c r="K2" s="1749"/>
      <c r="L2" s="1749"/>
    </row>
    <row r="3" spans="1:20">
      <c r="B3" s="1749" t="s">
        <v>3989</v>
      </c>
      <c r="C3" s="1749"/>
      <c r="D3" s="1749"/>
      <c r="E3" s="1749"/>
      <c r="F3" s="1749"/>
      <c r="G3" s="1749"/>
      <c r="H3" s="1749"/>
      <c r="I3" s="1749"/>
      <c r="J3" s="1749"/>
    </row>
    <row r="4" spans="1:20" ht="15.75">
      <c r="A4" s="1605" t="s">
        <v>3990</v>
      </c>
      <c r="B4" s="1605"/>
      <c r="C4" s="1605"/>
      <c r="D4" s="1605"/>
      <c r="E4" s="1605"/>
    </row>
    <row r="5" spans="1:20">
      <c r="A5" s="2455" t="s">
        <v>3991</v>
      </c>
      <c r="B5" s="2455"/>
      <c r="C5" s="2455"/>
      <c r="D5" s="347" t="s">
        <v>3992</v>
      </c>
      <c r="E5" s="2455" t="s">
        <v>3993</v>
      </c>
      <c r="F5" s="2455"/>
      <c r="G5" s="2455"/>
      <c r="H5" s="2455"/>
      <c r="I5" s="2455" t="s">
        <v>3994</v>
      </c>
      <c r="J5" s="2455"/>
      <c r="K5" s="2455" t="s">
        <v>3995</v>
      </c>
      <c r="L5" s="2455"/>
      <c r="M5" s="1749"/>
    </row>
    <row r="6" spans="1:20">
      <c r="A6" s="2451">
        <v>0.99447300000000005</v>
      </c>
      <c r="B6" s="2451"/>
      <c r="C6" s="2451"/>
      <c r="D6" s="349">
        <v>0.99545300000000003</v>
      </c>
      <c r="E6" s="2451">
        <v>0.99447300000000005</v>
      </c>
      <c r="F6" s="2451"/>
      <c r="G6" s="2451"/>
      <c r="H6" s="2451"/>
      <c r="I6" s="2451">
        <v>0.99545300000000003</v>
      </c>
      <c r="J6" s="2451"/>
      <c r="K6" s="2451">
        <v>0.99447300000000005</v>
      </c>
      <c r="L6" s="2451"/>
      <c r="M6" s="1749"/>
    </row>
    <row r="7" spans="1:20">
      <c r="A7" s="2451">
        <v>0.99545300000000003</v>
      </c>
      <c r="B7" s="2451"/>
      <c r="C7" s="2451"/>
      <c r="D7" s="349">
        <v>0.99447300000000005</v>
      </c>
      <c r="E7" s="2451">
        <v>0.99545300000000003</v>
      </c>
      <c r="F7" s="2451"/>
      <c r="G7" s="2451"/>
      <c r="H7" s="2451"/>
      <c r="I7" s="2451">
        <v>0.99447300000000005</v>
      </c>
      <c r="J7" s="2451"/>
      <c r="K7" s="2451">
        <v>0.99545300000000003</v>
      </c>
      <c r="L7" s="2451"/>
      <c r="M7" s="1749"/>
    </row>
    <row r="8" spans="1:20" ht="18.75">
      <c r="A8" s="1749" t="s">
        <v>3996</v>
      </c>
      <c r="B8" s="1749"/>
      <c r="C8" s="1749"/>
      <c r="D8" s="1814"/>
      <c r="E8" s="1713"/>
      <c r="F8" s="1713"/>
      <c r="G8" s="1713"/>
      <c r="H8" s="1713"/>
      <c r="I8" s="1713"/>
      <c r="J8" s="1713"/>
      <c r="K8" s="1713"/>
      <c r="L8" s="1713"/>
      <c r="M8" s="1714"/>
    </row>
    <row r="10" spans="1:20" ht="15.75">
      <c r="A10" s="1605" t="s">
        <v>3997</v>
      </c>
      <c r="B10" s="1605"/>
      <c r="C10" s="1605"/>
      <c r="D10" s="1605"/>
      <c r="E10" s="1605"/>
    </row>
    <row r="11" spans="1:20" ht="18.75">
      <c r="A11" s="2" t="s">
        <v>3998</v>
      </c>
      <c r="B11" s="2234" t="s">
        <v>3999</v>
      </c>
      <c r="C11" s="2234"/>
      <c r="D11" s="2234"/>
      <c r="E11" s="2234"/>
      <c r="F11" s="2234"/>
      <c r="G11" s="2234"/>
      <c r="H11" s="2234"/>
      <c r="I11" s="2234"/>
      <c r="J11" s="2450" t="s">
        <v>4000</v>
      </c>
      <c r="K11" s="2450"/>
      <c r="L11" s="2450" t="s">
        <v>4001</v>
      </c>
      <c r="M11" s="2450"/>
      <c r="N11" s="2450"/>
      <c r="O11" s="2234" t="s">
        <v>959</v>
      </c>
      <c r="P11" s="2450"/>
      <c r="Q11" s="2298" t="s">
        <v>4002</v>
      </c>
      <c r="R11" s="2450"/>
      <c r="S11" s="2450"/>
      <c r="T11" s="2450"/>
    </row>
    <row r="12" spans="1:20" ht="15.75">
      <c r="A12" s="2">
        <v>1</v>
      </c>
      <c r="B12" s="2234" t="s">
        <v>4003</v>
      </c>
      <c r="C12" s="2234"/>
      <c r="D12" s="2234"/>
      <c r="E12" s="2234"/>
      <c r="F12" s="2234"/>
      <c r="G12" s="2234"/>
      <c r="H12" s="2234"/>
      <c r="I12" s="2234"/>
      <c r="J12" s="2234">
        <v>1E-4</v>
      </c>
      <c r="K12" s="2234"/>
      <c r="L12" s="2450" t="s">
        <v>4004</v>
      </c>
      <c r="M12" s="2450"/>
      <c r="N12" s="2450"/>
      <c r="O12" s="2450">
        <v>2</v>
      </c>
      <c r="P12" s="2450"/>
      <c r="Q12" s="2298">
        <v>5.0000000000000002E-5</v>
      </c>
      <c r="R12" s="2298"/>
      <c r="S12" s="2298"/>
      <c r="T12" s="2298"/>
    </row>
    <row r="13" spans="1:20" ht="15.75">
      <c r="A13" s="2">
        <v>2</v>
      </c>
      <c r="B13" s="2234" t="s">
        <v>4005</v>
      </c>
      <c r="C13" s="2234"/>
      <c r="D13" s="2234"/>
      <c r="E13" s="2234"/>
      <c r="F13" s="2234"/>
      <c r="G13" s="2234"/>
      <c r="H13" s="2234"/>
      <c r="I13" s="2234"/>
      <c r="J13" s="2234">
        <v>5.0000000000000004E-6</v>
      </c>
      <c r="K13" s="2234"/>
      <c r="L13" s="2450" t="s">
        <v>4004</v>
      </c>
      <c r="M13" s="2450"/>
      <c r="N13" s="2450"/>
      <c r="O13" s="2450">
        <v>2</v>
      </c>
      <c r="P13" s="2450"/>
      <c r="Q13" s="2298">
        <v>2.5000000000000002E-6</v>
      </c>
      <c r="R13" s="2298"/>
      <c r="S13" s="2298"/>
      <c r="T13" s="2298"/>
    </row>
    <row r="14" spans="1:20" ht="16.5">
      <c r="A14" s="1608" t="s">
        <v>4006</v>
      </c>
      <c r="B14" s="2298"/>
      <c r="C14" s="2298"/>
      <c r="D14" s="2298"/>
      <c r="E14" s="2298"/>
      <c r="F14" s="2298"/>
      <c r="G14" s="2298"/>
      <c r="H14" s="2298"/>
      <c r="I14" s="2298"/>
      <c r="J14" s="2298"/>
      <c r="K14" s="2298"/>
      <c r="L14" s="2298"/>
      <c r="M14" s="2298"/>
      <c r="N14" s="2298"/>
      <c r="O14" s="2298"/>
      <c r="P14" s="2298"/>
      <c r="Q14" s="2298"/>
      <c r="R14" s="2298"/>
      <c r="S14" s="2298"/>
      <c r="T14" s="2298"/>
    </row>
    <row r="15" spans="1:20" ht="15.75">
      <c r="A15" s="1605" t="s">
        <v>4007</v>
      </c>
      <c r="B15" s="1605"/>
      <c r="C15" s="1605"/>
      <c r="D15" s="1605"/>
      <c r="E15" s="1605"/>
    </row>
    <row r="16" spans="1:20" ht="18.75">
      <c r="A16" s="1605"/>
      <c r="B16" s="1605" t="s">
        <v>4008</v>
      </c>
      <c r="C16" s="1605"/>
      <c r="D16" s="1749"/>
      <c r="E16" s="1749"/>
    </row>
    <row r="17" spans="1:5" ht="15.75">
      <c r="A17" s="1605" t="s">
        <v>4009</v>
      </c>
      <c r="B17" s="1605"/>
      <c r="C17" s="1605"/>
      <c r="D17" s="1605"/>
      <c r="E17" s="1605"/>
    </row>
    <row r="18" spans="1:5" ht="18.75">
      <c r="A18" s="1749" t="s">
        <v>4010</v>
      </c>
      <c r="B18" s="1749"/>
      <c r="C18" s="1749"/>
      <c r="D18" s="1749"/>
      <c r="E18" s="1605"/>
    </row>
    <row r="19" spans="1:5" ht="15.75">
      <c r="A19" s="1605" t="s">
        <v>4011</v>
      </c>
      <c r="B19" s="1605"/>
      <c r="C19" s="1605"/>
      <c r="D19" s="1605"/>
      <c r="E19" s="1605"/>
    </row>
    <row r="20" spans="1:5">
      <c r="A20" t="s">
        <v>4012</v>
      </c>
    </row>
  </sheetData>
  <mergeCells count="35">
    <mergeCell ref="A2:L2"/>
    <mergeCell ref="B3:J3"/>
    <mergeCell ref="A5:C5"/>
    <mergeCell ref="E5:H5"/>
    <mergeCell ref="I5:J5"/>
    <mergeCell ref="K5:M5"/>
    <mergeCell ref="A6:C6"/>
    <mergeCell ref="E6:H6"/>
    <mergeCell ref="I6:J6"/>
    <mergeCell ref="K6:M6"/>
    <mergeCell ref="A7:C7"/>
    <mergeCell ref="E7:H7"/>
    <mergeCell ref="I7:J7"/>
    <mergeCell ref="K7:M7"/>
    <mergeCell ref="A8:C8"/>
    <mergeCell ref="D8:M8"/>
    <mergeCell ref="B11:I11"/>
    <mergeCell ref="J11:K11"/>
    <mergeCell ref="L11:N11"/>
    <mergeCell ref="L13:N13"/>
    <mergeCell ref="O13:P13"/>
    <mergeCell ref="Q13:T13"/>
    <mergeCell ref="B14:T14"/>
    <mergeCell ref="Q11:T11"/>
    <mergeCell ref="B12:I12"/>
    <mergeCell ref="J12:K12"/>
    <mergeCell ref="L12:N12"/>
    <mergeCell ref="O12:P12"/>
    <mergeCell ref="Q12:T12"/>
    <mergeCell ref="O11:P11"/>
    <mergeCell ref="D16:E16"/>
    <mergeCell ref="A18:B18"/>
    <mergeCell ref="C18:D18"/>
    <mergeCell ref="B13:I13"/>
    <mergeCell ref="J13:K13"/>
  </mergeCells>
  <phoneticPr fontId="2" type="noConversion"/>
  <pageMargins left="0.7" right="0.7" top="0.75" bottom="0.75" header="0.3" footer="0.3"/>
  <pageSetup paperSize="9" orientation="portrait" r:id="rId1"/>
  <legacyDrawing r:id="rId2"/>
  <oleObjects>
    <oleObject progId="Equation.3" shapeId="249857" r:id="rId3"/>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78</vt:i4>
      </vt:variant>
      <vt:variant>
        <vt:lpstr>命名范围</vt:lpstr>
      </vt:variant>
      <vt:variant>
        <vt:i4>7</vt:i4>
      </vt:variant>
    </vt:vector>
  </HeadingPairs>
  <TitlesOfParts>
    <vt:vector size="85" baseType="lpstr">
      <vt:lpstr>综述</vt:lpstr>
      <vt:lpstr>检定项目标明颜色说明</vt:lpstr>
      <vt:lpstr>各实验室规程总结</vt:lpstr>
      <vt:lpstr>JJG 124-2005电流电压</vt:lpstr>
      <vt:lpstr>JJG124-2005不确定度算法</vt:lpstr>
      <vt:lpstr>JJG 440-2008 工频单相相位表</vt:lpstr>
      <vt:lpstr>JJG 603-2006 频率表</vt:lpstr>
      <vt:lpstr>JJG 603-2006不确定度算法</vt:lpstr>
      <vt:lpstr>JJG 622-1997绝缘电阻</vt:lpstr>
      <vt:lpstr>JJG 622-1997不确定度算法</vt:lpstr>
      <vt:lpstr>JJG 1005-2005 电子式绝缘电阻表</vt:lpstr>
      <vt:lpstr>JJG 1005-2005 不确定算法同绝缘电阻</vt:lpstr>
      <vt:lpstr>JJG 366-2004 接地电阻表</vt:lpstr>
      <vt:lpstr>JJG 366-2004不确定度</vt:lpstr>
      <vt:lpstr>JJG 445-1986 直流标准电压源检定规程</vt:lpstr>
      <vt:lpstr>JJG(航天) 38-1987 直流标准电流源检定规程</vt:lpstr>
      <vt:lpstr>JJG(航天)34-1999 交流数字电压表检定规程</vt:lpstr>
      <vt:lpstr>JJG(航天)34-1999 -交流电压测量-单相</vt:lpstr>
      <vt:lpstr>JJG(航天)34-1999 -交流电压测量-两相</vt:lpstr>
      <vt:lpstr>JJG(航天)34-1999 -交流电压测量-三相</vt:lpstr>
      <vt:lpstr>JJG(航天)34-1999不确定算法</vt:lpstr>
      <vt:lpstr>JJG 410-94 精密交流电压校准源检定规程</vt:lpstr>
      <vt:lpstr>JJG(航天) 51-1999 交流标准电流源检定规程</vt:lpstr>
      <vt:lpstr>JJG(航天) 51-1999 不确定度算法</vt:lpstr>
      <vt:lpstr>JJG 315-1983 直流数字电压表检定规程（试行）</vt:lpstr>
      <vt:lpstr>JJG 315-1983-直流电压测量-一列（正负极性）</vt:lpstr>
      <vt:lpstr>JJG 315-1983-直流电压测量-一列多通道（正负极性）</vt:lpstr>
      <vt:lpstr>JJG 315-1983-直流电压测量-一列（非正负极）</vt:lpstr>
      <vt:lpstr>JJG 315-1983-直流电压测量-三列多通道</vt:lpstr>
      <vt:lpstr>JJG 598-1989 直流数字电流表检定规程（试行）</vt:lpstr>
      <vt:lpstr>JJG 598-1989-直流电流测量-一列（正负极性）</vt:lpstr>
      <vt:lpstr>JJG 598-1989-直流电流测量-一列（非正负极）</vt:lpstr>
      <vt:lpstr>JJG（航天）35-1999 交流数字电流表检定规程</vt:lpstr>
      <vt:lpstr>JJG(航天)35-1999-交流电流测量-单相</vt:lpstr>
      <vt:lpstr>JJG(航天)35-1999-交流电流测量-两相</vt:lpstr>
      <vt:lpstr>JJG(航天)35-1999-交流电流测量-三相</vt:lpstr>
      <vt:lpstr>JJG（航天）35-1999不确定度算法</vt:lpstr>
      <vt:lpstr>JJG 724-1991 直流数字式欧姆表检定规程</vt:lpstr>
      <vt:lpstr>JJG 1052-2009 回路电阻测试仪、直阻仪检定</vt:lpstr>
      <vt:lpstr>JJG 1052-2009直阻仪不确定度算法</vt:lpstr>
      <vt:lpstr>JJG 1052-2009 回路不确定度算法</vt:lpstr>
      <vt:lpstr>JJG 166-1993直流电阻器</vt:lpstr>
      <vt:lpstr>JJG 166-1993  不确定度算法</vt:lpstr>
      <vt:lpstr>JJG 125-2004 直流电桥检定规程</vt:lpstr>
      <vt:lpstr>JJG 125-2004 不确定度算法</vt:lpstr>
      <vt:lpstr>JJG 982-2003 直流电阻箱检定规程</vt:lpstr>
      <vt:lpstr>JJG 982-2003不确定度算法</vt:lpstr>
      <vt:lpstr>JJG 984-2004 接地导通电阻测试仪检定规程</vt:lpstr>
      <vt:lpstr>JJG 984-2004 不确定度算法</vt:lpstr>
      <vt:lpstr>JJG 837-2003 直流低电阻表检定规程</vt:lpstr>
      <vt:lpstr>JJG 837-2003 不确定度算法</vt:lpstr>
      <vt:lpstr>JJF 1101-2003 环境试验设备温度、湿度校准规范</vt:lpstr>
      <vt:lpstr>SD112-83 直流仪表检验装置检定方法</vt:lpstr>
      <vt:lpstr>SD112-83 不确定度算法</vt:lpstr>
      <vt:lpstr>JJG 1072-2011 直流高压高值电阻器</vt:lpstr>
      <vt:lpstr>JJG 1072-2011不确定度算法</vt:lpstr>
      <vt:lpstr>JJG 603-2006 频率表检定规程</vt:lpstr>
      <vt:lpstr>JJG 603-2006数表不确定度算法</vt:lpstr>
      <vt:lpstr>JJG 440-2008 工频单相相位表检定规程</vt:lpstr>
      <vt:lpstr>JJG 440-2008 不确定度算法</vt:lpstr>
      <vt:lpstr>JJG 410-94 精密交流电压校准源检定</vt:lpstr>
      <vt:lpstr>JJG 410-94 不确定度算法</vt:lpstr>
      <vt:lpstr>JJG 780-92 交流数字功率表检定规程</vt:lpstr>
      <vt:lpstr>国家电网公司交流采样测量装置校验规范</vt:lpstr>
      <vt:lpstr>JJG 1085-2013《标准电能表检定规程》</vt:lpstr>
      <vt:lpstr>JJG 596-2012 电子式交流电能表检定规程</vt:lpstr>
      <vt:lpstr>JJG 597-2005 交流电能表检定装置</vt:lpstr>
      <vt:lpstr>JJG-313-2010测量用电流互感器</vt:lpstr>
      <vt:lpstr>JJF 1075-2001 钳形电流表校准规范</vt:lpstr>
      <vt:lpstr>JJF 1075-2001不确定算法</vt:lpstr>
      <vt:lpstr>JJG970-2002《变压比电桥》</vt:lpstr>
      <vt:lpstr>JJG 970-2002 不确定度算法</vt:lpstr>
      <vt:lpstr>JJG 169-2010《互感器校验仪》</vt:lpstr>
      <vt:lpstr>JJG 169-2010不确定度算法</vt:lpstr>
      <vt:lpstr>JJF 1264-2010 互感器负荷箱校准规范</vt:lpstr>
      <vt:lpstr>JJF 1264-2010 不确定度算法</vt:lpstr>
      <vt:lpstr>JJG126-1995 交流电量变换为直流电量电工测量变送器</vt:lpstr>
      <vt:lpstr>JJG126-1995不确定度算法</vt:lpstr>
      <vt:lpstr>'JJG 315-1983-直流电压测量-三列多通道'!Print_Area</vt:lpstr>
      <vt:lpstr>'JJG 315-1983-直流电压测量-一列（正负极性）'!Print_Area</vt:lpstr>
      <vt:lpstr>'JJG 315-1983-直流电压测量-一列多通道（正负极性）'!Print_Area</vt:lpstr>
      <vt:lpstr>'JJG 315-1983-直流电压测量-三列多通道'!Print_Titles</vt:lpstr>
      <vt:lpstr>'JJG 315-1983-直流电压测量-一列（正负极性）'!Print_Titles</vt:lpstr>
      <vt:lpstr>'JJG 315-1983-直流电压测量-一列多通道（正负极性）'!Print_Titles</vt:lpstr>
      <vt:lpstr>'JJG 598-1989-直流电流测量-一列（正负极性）'!Print_Titles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good</dc:creator>
  <cp:lastModifiedBy>cb</cp:lastModifiedBy>
  <dcterms:created xsi:type="dcterms:W3CDTF">2016-02-16T02:52:23Z</dcterms:created>
  <dcterms:modified xsi:type="dcterms:W3CDTF">2016-11-06T12:08:08Z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2052-8.1.0.2424</vt:lpwstr>
  </property>
</Properties>
</file>